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565" yWindow="285" windowWidth="20730" windowHeight="1107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H98" i="7"/>
  <c r="J31" i="15"/>
  <c r="S91" l="1"/>
  <c r="J115" l="1"/>
  <c r="H15" i="36"/>
  <c r="H14"/>
  <c r="H13"/>
  <c r="H12"/>
  <c r="H11"/>
  <c r="H10"/>
  <c r="K15" i="29" l="1"/>
  <c r="L15"/>
  <c r="J15"/>
  <c r="S114" i="15"/>
  <c r="S113"/>
  <c r="S112"/>
  <c r="S111"/>
  <c r="J108"/>
  <c r="S100"/>
  <c r="S95"/>
  <c r="S93"/>
  <c r="S92"/>
  <c r="S90"/>
  <c r="J80"/>
  <c r="S77"/>
  <c r="J74"/>
  <c r="J73"/>
  <c r="J71"/>
  <c r="J68"/>
  <c r="J67"/>
  <c r="J65"/>
  <c r="J63"/>
  <c r="J62"/>
  <c r="J61"/>
  <c r="J59"/>
  <c r="J55"/>
  <c r="J53"/>
  <c r="J52"/>
  <c r="J51"/>
  <c r="S79"/>
  <c r="S66"/>
  <c r="S49"/>
  <c r="S48"/>
  <c r="J42"/>
  <c r="J35"/>
  <c r="J34"/>
  <c r="J29"/>
  <c r="J25"/>
  <c r="S21"/>
  <c r="S19"/>
  <c r="J12"/>
  <c r="J11"/>
  <c r="J10"/>
  <c r="J9"/>
  <c r="J8"/>
  <c r="G19"/>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40" i="8" l="1"/>
  <c r="P218" i="11"/>
  <c r="C70" i="8"/>
  <c r="C100"/>
  <c r="O273" i="11"/>
  <c r="P273"/>
  <c r="D40" i="8" l="1"/>
  <c r="D100"/>
  <c r="D70"/>
  <c r="E40"/>
  <c r="M291" i="11"/>
  <c r="M6" s="1"/>
  <c r="L277"/>
  <c r="A265"/>
  <c r="P246"/>
  <c r="O246"/>
  <c r="L233"/>
  <c r="K221"/>
  <c r="O242" l="1"/>
  <c r="P242"/>
  <c r="O218"/>
  <c r="F40" i="8"/>
  <c r="E70"/>
  <c r="E100"/>
  <c r="O264" i="11"/>
  <c r="P264"/>
  <c r="L211"/>
  <c r="F100" i="8" l="1"/>
  <c r="F7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H40" i="8" l="1"/>
  <c r="G70"/>
  <c r="G100"/>
  <c r="B23"/>
  <c r="B53"/>
  <c r="D53"/>
  <c r="F53"/>
  <c r="H53"/>
  <c r="J53"/>
  <c r="C23"/>
  <c r="C53"/>
  <c r="E53"/>
  <c r="G53"/>
  <c r="I53"/>
  <c r="K53"/>
  <c r="Q16" i="3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F108"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18" s="1"/>
  <c r="D20" s="1"/>
  <c r="D5" i="26"/>
  <c r="D11" s="1"/>
  <c r="D12" s="1"/>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c r="K27"/>
  <c r="L27" s="1"/>
  <c r="K28"/>
  <c r="L28" s="1"/>
  <c r="K29"/>
  <c r="L29" s="1"/>
  <c r="K30"/>
  <c r="L30" s="1"/>
  <c r="K31"/>
  <c r="L31" s="1"/>
  <c r="K32"/>
  <c r="L32" s="1"/>
  <c r="K33"/>
  <c r="L33" s="1"/>
  <c r="K34"/>
  <c r="L34" s="1"/>
  <c r="K35"/>
  <c r="L35" s="1"/>
  <c r="K36"/>
  <c r="L36" s="1"/>
  <c r="K37"/>
  <c r="L37" s="1"/>
  <c r="K38"/>
  <c r="L38" s="1"/>
  <c r="K39"/>
  <c r="L39" s="1"/>
  <c r="K40"/>
  <c r="L40" s="1"/>
  <c r="K41"/>
  <c r="L41" s="1"/>
  <c r="K42"/>
  <c r="L42"/>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K80"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I20" i="8" l="1"/>
  <c r="E20"/>
  <c r="C50"/>
  <c r="G50"/>
  <c r="K50"/>
  <c r="E80"/>
  <c r="I80"/>
  <c r="H20"/>
  <c r="D20"/>
  <c r="D50"/>
  <c r="H50"/>
  <c r="B80"/>
  <c r="F80"/>
  <c r="J80"/>
  <c r="K20"/>
  <c r="G20"/>
  <c r="C20"/>
  <c r="E50"/>
  <c r="I50"/>
  <c r="C80"/>
  <c r="G80"/>
  <c r="J20"/>
  <c r="F20"/>
  <c r="B50"/>
  <c r="F50"/>
  <c r="J50"/>
  <c r="D80"/>
  <c r="H80"/>
  <c r="B39" i="15"/>
  <c r="F42" s="1"/>
  <c r="AV48" i="36"/>
  <c r="I65" s="1"/>
  <c r="BD48"/>
  <c r="L64" s="1"/>
  <c r="CT48"/>
  <c r="V48"/>
  <c r="H56" s="1"/>
  <c r="AO48"/>
  <c r="L59" s="1"/>
  <c r="Y48"/>
  <c r="K56" s="1"/>
  <c r="GI48"/>
  <c r="L87" s="1"/>
  <c r="AU48"/>
  <c r="H65" s="1"/>
  <c r="BC48"/>
  <c r="K64" s="1"/>
  <c r="AK48"/>
  <c r="H59" s="1"/>
  <c r="W48"/>
  <c r="I56" s="1"/>
  <c r="AQ48"/>
  <c r="AM48"/>
  <c r="J59" s="1"/>
  <c r="FN48"/>
  <c r="K91" s="1"/>
  <c r="AS48"/>
  <c r="Z48"/>
  <c r="L56" s="1"/>
  <c r="X48"/>
  <c r="J56" s="1"/>
  <c r="AZ48"/>
  <c r="H64" s="1"/>
  <c r="BB48"/>
  <c r="J64" s="1"/>
  <c r="FT48"/>
  <c r="L90" s="1"/>
  <c r="CV48"/>
  <c r="CS48"/>
  <c r="GS48"/>
  <c r="AX48"/>
  <c r="K65" s="1"/>
  <c r="G29" i="8"/>
  <c r="F29"/>
  <c r="C29"/>
  <c r="J29"/>
  <c r="I29"/>
  <c r="E29"/>
  <c r="D29"/>
  <c r="K29"/>
  <c r="H29"/>
  <c r="B36"/>
  <c r="H18"/>
  <c r="I17"/>
  <c r="B17"/>
  <c r="I18"/>
  <c r="E18"/>
  <c r="GZ48" i="36"/>
  <c r="HL48"/>
  <c r="F34" i="15"/>
  <c r="BA48" i="36"/>
  <c r="I64" s="1"/>
  <c r="C109" i="15"/>
  <c r="GO48" i="36"/>
  <c r="BG48"/>
  <c r="AN48"/>
  <c r="K59" s="1"/>
  <c r="AC48"/>
  <c r="J57" s="1"/>
  <c r="D37" i="3"/>
  <c r="M123" i="15"/>
  <c r="M140" s="1"/>
  <c r="M142" s="1"/>
  <c r="M144" s="1"/>
  <c r="G17" i="8"/>
  <c r="HF48" i="36"/>
  <c r="C18" i="8"/>
  <c r="I24"/>
  <c r="F54"/>
  <c r="D84"/>
  <c r="J54"/>
  <c r="B54"/>
  <c r="H24"/>
  <c r="C84"/>
  <c r="I54"/>
  <c r="G24"/>
  <c r="J84"/>
  <c r="H54"/>
  <c r="F24"/>
  <c r="G54"/>
  <c r="E24"/>
  <c r="H84"/>
  <c r="K84"/>
  <c r="B84"/>
  <c r="I84"/>
  <c r="G84"/>
  <c r="E54"/>
  <c r="K24"/>
  <c r="C24"/>
  <c r="F84"/>
  <c r="D54"/>
  <c r="J24"/>
  <c r="B24"/>
  <c r="E84"/>
  <c r="K54"/>
  <c r="C54"/>
  <c r="D24"/>
  <c r="AR48" i="36"/>
  <c r="FW48"/>
  <c r="J85" s="1"/>
  <c r="FH48"/>
  <c r="J92" s="1"/>
  <c r="E17" i="8"/>
  <c r="GH48" i="36"/>
  <c r="K87" s="1"/>
  <c r="CW48"/>
  <c r="F85" i="8"/>
  <c r="B25"/>
  <c r="J85"/>
  <c r="B85"/>
  <c r="H55"/>
  <c r="F25"/>
  <c r="I85"/>
  <c r="G55"/>
  <c r="E25"/>
  <c r="H85"/>
  <c r="K25"/>
  <c r="D55"/>
  <c r="J25"/>
  <c r="F55"/>
  <c r="D25"/>
  <c r="G85"/>
  <c r="E55"/>
  <c r="C25"/>
  <c r="E85"/>
  <c r="K55"/>
  <c r="C55"/>
  <c r="I25"/>
  <c r="D85"/>
  <c r="J55"/>
  <c r="B55"/>
  <c r="H25"/>
  <c r="K85"/>
  <c r="C85"/>
  <c r="I55"/>
  <c r="G25"/>
  <c r="AE48" i="36"/>
  <c r="L57" s="1"/>
  <c r="AA48"/>
  <c r="H57" s="1"/>
  <c r="D18" i="8"/>
  <c r="FP48" i="36"/>
  <c r="H90" s="1"/>
  <c r="EX48"/>
  <c r="BY48"/>
  <c r="H94" s="1"/>
  <c r="AD48"/>
  <c r="K57" s="1"/>
  <c r="F17" i="8"/>
  <c r="G18"/>
  <c r="F107" i="15"/>
  <c r="GG48" i="36"/>
  <c r="J87" s="1"/>
  <c r="FB48"/>
  <c r="I89" s="1"/>
  <c r="K17" i="8"/>
  <c r="D17"/>
  <c r="J18"/>
  <c r="F18"/>
  <c r="I86"/>
  <c r="J56"/>
  <c r="H86"/>
  <c r="F56"/>
  <c r="D26"/>
  <c r="G86"/>
  <c r="E56"/>
  <c r="K26"/>
  <c r="C26"/>
  <c r="D56"/>
  <c r="B26"/>
  <c r="K56"/>
  <c r="D86"/>
  <c r="B56"/>
  <c r="F86"/>
  <c r="J26"/>
  <c r="E86"/>
  <c r="C56"/>
  <c r="I26"/>
  <c r="K86"/>
  <c r="C86"/>
  <c r="I56"/>
  <c r="G26"/>
  <c r="J86"/>
  <c r="B86"/>
  <c r="H56"/>
  <c r="F26"/>
  <c r="G56"/>
  <c r="E26"/>
  <c r="H26"/>
  <c r="AY48" i="36"/>
  <c r="L65" s="1"/>
  <c r="AP48"/>
  <c r="FY48"/>
  <c r="L85" s="1"/>
  <c r="H17" i="8"/>
  <c r="B18"/>
  <c r="AT48" i="36"/>
  <c r="CU48"/>
  <c r="F106" i="15"/>
  <c r="J154"/>
  <c r="K18" i="8"/>
  <c r="AW48" i="36"/>
  <c r="J65" s="1"/>
  <c r="J17" i="8"/>
  <c r="C17"/>
  <c r="GF48" i="36"/>
  <c r="I87" s="1"/>
  <c r="AL48"/>
  <c r="I59" s="1"/>
  <c r="AB48"/>
  <c r="I57" s="1"/>
  <c r="L254" i="11"/>
  <c r="H100" i="8"/>
  <c r="H70"/>
  <c r="I4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J153" s="1"/>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D23" i="8"/>
  <c r="F23"/>
  <c r="J23"/>
  <c r="K92"/>
  <c r="E23"/>
  <c r="G23"/>
  <c r="I23"/>
  <c r="K23"/>
  <c r="GN48" i="36"/>
  <c r="L88" s="1"/>
  <c r="GL48"/>
  <c r="J88" s="1"/>
  <c r="GJ48"/>
  <c r="H88" s="1"/>
  <c r="GD48"/>
  <c r="L86" s="1"/>
  <c r="GB48"/>
  <c r="J86" s="1"/>
  <c r="FZ48"/>
  <c r="H86" s="1"/>
  <c r="FX48"/>
  <c r="K85" s="1"/>
  <c r="FV48"/>
  <c r="I85" s="1"/>
  <c r="FO48"/>
  <c r="L91" s="1"/>
  <c r="FM48"/>
  <c r="J91" s="1"/>
  <c r="FI48"/>
  <c r="K92" s="1"/>
  <c r="FG48"/>
  <c r="I92" s="1"/>
  <c r="E33" i="15"/>
  <c r="C28" i="8"/>
  <c r="B59"/>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D63" i="8" l="1"/>
  <c r="F62"/>
  <c r="B32"/>
  <c r="J63"/>
  <c r="H66" i="36"/>
  <c r="L58"/>
  <c r="L60" s="1"/>
  <c r="L62" s="1"/>
  <c r="H58"/>
  <c r="H60" s="1"/>
  <c r="H62" s="1"/>
  <c r="K58"/>
  <c r="K60" s="1"/>
  <c r="K62" s="1"/>
  <c r="L66"/>
  <c r="M56"/>
  <c r="M59"/>
  <c r="Q59" s="1"/>
  <c r="K66"/>
  <c r="M72"/>
  <c r="Q72" s="1"/>
  <c r="I58"/>
  <c r="I60" s="1"/>
  <c r="I62" s="1"/>
  <c r="M64"/>
  <c r="M65"/>
  <c r="M90"/>
  <c r="Q90" s="1"/>
  <c r="J58"/>
  <c r="J60" s="1"/>
  <c r="J62" s="1"/>
  <c r="J66"/>
  <c r="J70"/>
  <c r="K80"/>
  <c r="I80"/>
  <c r="M89"/>
  <c r="Q89" s="1"/>
  <c r="K70"/>
  <c r="J80"/>
  <c r="M57"/>
  <c r="K77"/>
  <c r="H74"/>
  <c r="M87"/>
  <c r="M69"/>
  <c r="Q69" s="1"/>
  <c r="I77"/>
  <c r="L70"/>
  <c r="M79"/>
  <c r="Q79" s="1"/>
  <c r="J77"/>
  <c r="J155" i="15"/>
  <c r="J157" s="1"/>
  <c r="J159" s="1"/>
  <c r="B41" i="8"/>
  <c r="D92"/>
  <c r="B63"/>
  <c r="L80" i="36"/>
  <c r="M75"/>
  <c r="Q75" s="1"/>
  <c r="H33" i="8"/>
  <c r="I84" i="36"/>
  <c r="H70"/>
  <c r="M76"/>
  <c r="Q76" s="1"/>
  <c r="J282" i="11"/>
  <c r="H32" i="8"/>
  <c r="M61" i="36"/>
  <c r="M91"/>
  <c r="Q91" s="1"/>
  <c r="L77"/>
  <c r="I66"/>
  <c r="B33" i="8"/>
  <c r="D93"/>
  <c r="M78" i="36"/>
  <c r="Q78" s="1"/>
  <c r="M99"/>
  <c r="M73"/>
  <c r="Q73" s="1"/>
  <c r="F63" i="8"/>
  <c r="J40"/>
  <c r="I70"/>
  <c r="I100"/>
  <c r="F33"/>
  <c r="P157" i="36"/>
  <c r="B19" i="8" s="1"/>
  <c r="I70" i="36"/>
  <c r="B14" i="8"/>
  <c r="D74" s="1"/>
  <c r="G104" i="36"/>
  <c r="H80"/>
  <c r="K84"/>
  <c r="M68"/>
  <c r="Q68" s="1"/>
  <c r="H77"/>
  <c r="I74"/>
  <c r="H50" i="3"/>
  <c r="O42" s="1"/>
  <c r="I213" i="11"/>
  <c r="I214" s="1"/>
  <c r="M85" i="36"/>
  <c r="J84"/>
  <c r="H84"/>
  <c r="L84"/>
  <c r="M88"/>
  <c r="M86"/>
  <c r="J74"/>
  <c r="L74"/>
  <c r="K74"/>
  <c r="D33" i="8"/>
  <c r="B34"/>
  <c r="H92"/>
  <c r="H93"/>
  <c r="D32"/>
  <c r="J62"/>
  <c r="B62"/>
  <c r="F92"/>
  <c r="F93"/>
  <c r="H62"/>
  <c r="J32"/>
  <c r="J33"/>
  <c r="J92"/>
  <c r="J93"/>
  <c r="B93"/>
  <c r="B92"/>
  <c r="D62"/>
  <c r="F32"/>
  <c r="H63"/>
  <c r="G92"/>
  <c r="C92"/>
  <c r="I62"/>
  <c r="E62"/>
  <c r="K32"/>
  <c r="G32"/>
  <c r="C32"/>
  <c r="I92"/>
  <c r="E92"/>
  <c r="K62"/>
  <c r="G62"/>
  <c r="C62"/>
  <c r="I32"/>
  <c r="E32"/>
  <c r="J96" i="36"/>
  <c r="J98" s="1"/>
  <c r="J100" s="1"/>
  <c r="K96"/>
  <c r="K98" s="1"/>
  <c r="K100" s="1"/>
  <c r="L96"/>
  <c r="L98" s="1"/>
  <c r="L100" s="1"/>
  <c r="M97"/>
  <c r="M92"/>
  <c r="Q92"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11" l="1"/>
  <c r="Q14"/>
  <c r="Q15"/>
  <c r="Q13"/>
  <c r="Q10"/>
  <c r="Q12"/>
  <c r="D14" i="8"/>
  <c r="E74"/>
  <c r="B74"/>
  <c r="B44"/>
  <c r="J44"/>
  <c r="Q56" i="36"/>
  <c r="H52" i="7"/>
  <c r="H51"/>
  <c r="Q64" i="36"/>
  <c r="I51" i="7"/>
  <c r="Q97" i="36"/>
  <c r="Q57"/>
  <c r="M66"/>
  <c r="Q66" s="1"/>
  <c r="M58"/>
  <c r="Q58" s="1"/>
  <c r="Q61"/>
  <c r="H54" i="7"/>
  <c r="I50"/>
  <c r="Q65" i="36"/>
  <c r="H50" i="7"/>
  <c r="P52"/>
  <c r="M80" i="36"/>
  <c r="M70"/>
  <c r="Q70" s="1"/>
  <c r="L214" i="11"/>
  <c r="C41" i="8"/>
  <c r="M60" i="36"/>
  <c r="I44" i="8"/>
  <c r="F74"/>
  <c r="K14"/>
  <c r="G14"/>
  <c r="M77" i="36"/>
  <c r="Q77" s="1"/>
  <c r="M84"/>
  <c r="Q84" s="1"/>
  <c r="H14" i="8"/>
  <c r="F44"/>
  <c r="Q99" i="36"/>
  <c r="J100" i="8"/>
  <c r="J70"/>
  <c r="K40"/>
  <c r="O201" i="11"/>
  <c r="E49" i="8"/>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P50" i="7"/>
  <c r="F14" i="8"/>
  <c r="G44"/>
  <c r="C74"/>
  <c r="K74"/>
  <c r="I14"/>
  <c r="D44"/>
  <c r="O41" i="3"/>
  <c r="O43" s="1"/>
  <c r="H51"/>
  <c r="M74" i="36"/>
  <c r="C36" i="8"/>
  <c r="M62" i="36"/>
  <c r="R13" i="24"/>
  <c r="R11"/>
  <c r="D125" i="15" s="1"/>
  <c r="R12" i="24"/>
  <c r="E28" i="8"/>
  <c r="M96" i="36"/>
  <c r="H98"/>
  <c r="C45" i="8" l="1"/>
  <c r="C46" s="1"/>
  <c r="K15"/>
  <c r="K16" s="1"/>
  <c r="E75"/>
  <c r="E76" s="1"/>
  <c r="I15"/>
  <c r="I16" s="1"/>
  <c r="B75"/>
  <c r="B76" s="1"/>
  <c r="G15"/>
  <c r="G16" s="1"/>
  <c r="J45"/>
  <c r="J46" s="1"/>
  <c r="F75"/>
  <c r="F76" s="1"/>
  <c r="D45"/>
  <c r="D46" s="1"/>
  <c r="K45"/>
  <c r="H49" i="7"/>
  <c r="H53" s="1"/>
  <c r="H55" s="1"/>
  <c r="P140"/>
  <c r="Q80" i="36"/>
  <c r="L32" i="11"/>
  <c r="F45" i="7"/>
  <c r="L31" i="11"/>
  <c r="Q60" i="36"/>
  <c r="F44" i="7"/>
  <c r="P201" i="11"/>
  <c r="P193" s="1"/>
  <c r="D41" i="8"/>
  <c r="D36"/>
  <c r="J15"/>
  <c r="J16" s="1"/>
  <c r="F45"/>
  <c r="F46" s="1"/>
  <c r="P141" i="7"/>
  <c r="K70" i="8"/>
  <c r="K100"/>
  <c r="J75"/>
  <c r="J76" s="1"/>
  <c r="D15"/>
  <c r="D16" s="1"/>
  <c r="E45"/>
  <c r="E46" s="1"/>
  <c r="B45"/>
  <c r="B46" s="1"/>
  <c r="I75"/>
  <c r="I76" s="1"/>
  <c r="O193" i="11"/>
  <c r="C15" i="8"/>
  <c r="C16" s="1"/>
  <c r="D75"/>
  <c r="D76" s="1"/>
  <c r="H15"/>
  <c r="H16" s="1"/>
  <c r="I45"/>
  <c r="I46" s="1"/>
  <c r="G75"/>
  <c r="G76" s="1"/>
  <c r="J177" i="11"/>
  <c r="L177" s="1"/>
  <c r="E93" i="15"/>
  <c r="B16" i="8"/>
  <c r="K7" s="1"/>
  <c r="E15"/>
  <c r="E16" s="1"/>
  <c r="H45"/>
  <c r="H46" s="1"/>
  <c r="H75"/>
  <c r="H76" s="1"/>
  <c r="F15"/>
  <c r="F16" s="1"/>
  <c r="G45"/>
  <c r="G46" s="1"/>
  <c r="C75"/>
  <c r="C76" s="1"/>
  <c r="F42" i="7"/>
  <c r="Q74" i="36"/>
  <c r="K76" i="8"/>
  <c r="K46"/>
  <c r="J158" i="36"/>
  <c r="J157"/>
  <c r="P71" i="7"/>
  <c r="N148" i="36"/>
  <c r="P69" i="7"/>
  <c r="Q62" i="36"/>
  <c r="G125" i="15"/>
  <c r="J159" i="36"/>
  <c r="N149"/>
  <c r="N157"/>
  <c r="P67" i="7"/>
  <c r="F115" i="15"/>
  <c r="P160" i="36"/>
  <c r="D38" i="15"/>
  <c r="F28" i="8"/>
  <c r="M98" i="36"/>
  <c r="Q98" s="1"/>
  <c r="H100"/>
  <c r="M100" s="1"/>
  <c r="P49" i="7"/>
  <c r="P51" s="1"/>
  <c r="P53" s="1"/>
  <c r="P58" s="1"/>
  <c r="Q96" i="36"/>
  <c r="O30" i="11" l="1"/>
  <c r="P30"/>
  <c r="E41" i="8"/>
  <c r="E36"/>
  <c r="J145" i="15"/>
  <c r="J146" s="1"/>
  <c r="J148" s="1"/>
  <c r="K5" i="8"/>
  <c r="P145" i="15"/>
  <c r="P146" s="1"/>
  <c r="P148" s="1"/>
  <c r="K6" i="8"/>
  <c r="M145" i="15"/>
  <c r="M146" s="1"/>
  <c r="M148" s="1"/>
  <c r="J152"/>
  <c r="M151"/>
  <c r="B21" i="8"/>
  <c r="P165" i="36"/>
  <c r="G28" i="8"/>
  <c r="Q100" i="36"/>
  <c r="Q53" s="1"/>
  <c r="D39" i="15"/>
  <c r="M125"/>
  <c r="B35" i="8" l="1"/>
  <c r="P291" i="11"/>
  <c r="P6" s="1"/>
  <c r="L30"/>
  <c r="O291"/>
  <c r="O6" s="1"/>
  <c r="R30"/>
  <c r="F41" i="8"/>
  <c r="F36"/>
  <c r="J149" i="15"/>
  <c r="J161" s="1"/>
  <c r="B81" i="8"/>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H28"/>
  <c r="M163" i="15" l="1"/>
  <c r="J165"/>
  <c r="O292" i="11"/>
  <c r="P292"/>
  <c r="B30" i="8"/>
  <c r="B31"/>
  <c r="G41"/>
  <c r="G36"/>
  <c r="C22"/>
  <c r="E82"/>
  <c r="E91" s="1"/>
  <c r="J52"/>
  <c r="J61" s="1"/>
  <c r="H22"/>
  <c r="H31" s="1"/>
  <c r="E52"/>
  <c r="E61" s="1"/>
  <c r="C82"/>
  <c r="C91" s="1"/>
  <c r="J82"/>
  <c r="J91" s="1"/>
  <c r="G22"/>
  <c r="B52"/>
  <c r="B61" s="1"/>
  <c r="F52"/>
  <c r="F61" s="1"/>
  <c r="J22"/>
  <c r="J31" s="1"/>
  <c r="C52"/>
  <c r="C61" s="1"/>
  <c r="K52"/>
  <c r="K61" s="1"/>
  <c r="H82"/>
  <c r="H91" s="1"/>
  <c r="I22"/>
  <c r="I31" s="1"/>
  <c r="H52"/>
  <c r="H61" s="1"/>
  <c r="E22"/>
  <c r="K82"/>
  <c r="K91" s="1"/>
  <c r="D22"/>
  <c r="I52"/>
  <c r="I61" s="1"/>
  <c r="F82"/>
  <c r="F91" s="1"/>
  <c r="K22"/>
  <c r="K31" s="1"/>
  <c r="D52"/>
  <c r="D61" s="1"/>
  <c r="I82"/>
  <c r="I91" s="1"/>
  <c r="G82"/>
  <c r="G91" s="1"/>
  <c r="F22"/>
  <c r="G52"/>
  <c r="G61" s="1"/>
  <c r="D82"/>
  <c r="D91" s="1"/>
  <c r="B82"/>
  <c r="B91" s="1"/>
  <c r="I28"/>
  <c r="J6" i="7" l="1"/>
  <c r="E92" i="15"/>
  <c r="J40" i="3"/>
  <c r="L40" s="1"/>
  <c r="J41"/>
  <c r="L41" s="1"/>
  <c r="H30" i="8"/>
  <c r="E30"/>
  <c r="E31"/>
  <c r="C30"/>
  <c r="C31"/>
  <c r="G30"/>
  <c r="G31"/>
  <c r="D30"/>
  <c r="D31"/>
  <c r="F30"/>
  <c r="F31"/>
  <c r="H41"/>
  <c r="H36"/>
  <c r="J28"/>
  <c r="I30"/>
  <c r="I41" l="1"/>
  <c r="I36"/>
  <c r="K28"/>
  <c r="J30"/>
  <c r="J41" l="1"/>
  <c r="J36"/>
  <c r="B58"/>
  <c r="K30"/>
  <c r="K41" l="1"/>
  <c r="K36"/>
  <c r="C58"/>
  <c r="B60"/>
  <c r="B71" l="1"/>
  <c r="B66"/>
  <c r="D58"/>
  <c r="C60"/>
  <c r="C71" l="1"/>
  <c r="C66"/>
  <c r="E58"/>
  <c r="D60"/>
  <c r="D71" l="1"/>
  <c r="D66"/>
  <c r="F58"/>
  <c r="E60"/>
  <c r="E71" l="1"/>
  <c r="E66"/>
  <c r="G58"/>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<sst xmlns="http://schemas.openxmlformats.org/spreadsheetml/2006/main" count="7901" uniqueCount="4101">
  <si>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</si>
  <si>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</si>
  <si>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</si>
  <si>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</si>
  <si>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</si>
  <si>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</si>
  <si>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</si>
  <si>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</si>
  <si>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</si>
  <si>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</si>
  <si>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</si>
  <si>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</si>
  <si>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</si>
  <si>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</si>
  <si>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</si>
  <si>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</si>
  <si>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</si>
  <si>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</si>
  <si>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</si>
  <si>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</si>
  <si>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</si>
  <si>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</si>
  <si>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</si>
  <si>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</si>
  <si>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</si>
  <si>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</si>
  <si>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</si>
  <si>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</si>
  <si>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</si>
  <si>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</si>
  <si>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</si>
  <si>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</si>
  <si>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</si>
  <si>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</si>
  <si>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</si>
  <si>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</si>
  <si>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</si>
  <si>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</si>
  <si>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</si>
  <si>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</si>
  <si>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</si>
  <si>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</si>
  <si>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</si>
  <si>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</si>
  <si>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</si>
  <si>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</si>
  <si>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</si>
  <si>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</si>
  <si>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</si>
  <si>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</si>
  <si>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</si>
  <si>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</si>
  <si>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</si>
  <si>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</si>
  <si>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</si>
  <si>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</si>
  <si>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</si>
  <si>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</si>
  <si>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</si>
  <si>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</si>
  <si>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</si>
  <si>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</si>
  <si>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</si>
  <si>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</si>
  <si>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</si>
  <si>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</si>
  <si>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</si>
  <si>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</si>
  <si>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</si>
  <si>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</si>
  <si>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</si>
  <si>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</si>
  <si>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</si>
  <si>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</si>
  <si>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</si>
  <si>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</si>
  <si>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</si>
  <si>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</si>
  <si>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</si>
  <si>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</si>
  <si>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</si>
  <si>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</si>
  <si>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</si>
  <si>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</si>
  <si>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</si>
  <si>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</si>
  <si>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</si>
  <si>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</si>
  <si>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</si>
  <si>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</si>
  <si>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</si>
  <si>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</si>
  <si>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</si>
  <si>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</si>
  <si>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</si>
  <si>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</si>
  <si>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</si>
  <si>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</si>
  <si>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</si>
  <si>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</si>
  <si>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</si>
  <si>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</si>
  <si>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</si>
  <si>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</si>
  <si>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</si>
  <si>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</si>
  <si>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</si>
  <si>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</si>
  <si>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</si>
  <si>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</si>
  <si>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</si>
  <si>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</si>
  <si>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</si>
  <si>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</si>
  <si>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</si>
  <si>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</si>
  <si>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</si>
  <si>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</si>
  <si>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</si>
  <si>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</si>
  <si>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</si>
  <si>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</si>
  <si>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</si>
  <si>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</si>
  <si>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</si>
  <si>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</si>
  <si>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</si>
  <si>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</si>
  <si>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</si>
  <si>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</si>
  <si>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</si>
  <si>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</si>
  <si>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</si>
  <si>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</si>
  <si>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</si>
  <si>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</si>
  <si>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</si>
  <si>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</si>
  <si>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</si>
  <si>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</si>
  <si>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</si>
  <si>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</si>
  <si>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</si>
  <si>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</si>
  <si>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</si>
  <si>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</si>
  <si>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</si>
  <si>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</si>
  <si>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</si>
  <si>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</si>
  <si>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</si>
  <si>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</si>
  <si>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</si>
  <si>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</si>
  <si>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</si>
  <si>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</si>
  <si>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</si>
  <si>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</si>
  <si>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</si>
  <si>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</si>
  <si>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</si>
  <si>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</si>
  <si>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</si>
  <si>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</si>
  <si>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</si>
  <si>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</si>
  <si>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</si>
  <si>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</si>
  <si>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</si>
  <si>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</si>
  <si>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</si>
  <si>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</si>
  <si>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</si>
  <si>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</si>
  <si>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</si>
  <si>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</si>
  <si>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</si>
  <si>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</si>
  <si>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</si>
  <si>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</si>
  <si>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</si>
  <si>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</si>
  <si>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</si>
  <si>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</si>
  <si>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</si>
  <si>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</si>
  <si>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</si>
  <si>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</si>
  <si>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</si>
  <si>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</si>
  <si>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</si>
  <si>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</si>
  <si>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</si>
  <si>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</si>
  <si>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</si>
  <si>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</si>
  <si>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</si>
  <si>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</si>
  <si>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</si>
  <si>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</si>
  <si>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</si>
  <si>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</si>
  <si>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</si>
  <si>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</si>
  <si>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</si>
  <si>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</si>
  <si>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</si>
  <si>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</si>
  <si>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</si>
  <si>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</si>
  <si>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</si>
  <si>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</si>
  <si>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</si>
  <si>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</si>
  <si>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</si>
  <si>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</si>
  <si>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</si>
  <si>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</si>
  <si>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</si>
  <si>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</si>
  <si>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</si>
  <si>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</si>
  <si>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</si>
  <si>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</si>
  <si>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</si>
  <si>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</si>
  <si>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</si>
  <si>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</si>
  <si>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</si>
  <si>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</si>
  <si>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</si>
  <si>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</si>
  <si>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</si>
  <si>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</si>
  <si>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</si>
  <si>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</si>
  <si>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</si>
  <si>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</si>
  <si>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</si>
  <si>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</si>
  <si>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</si>
  <si>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</si>
  <si>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</si>
  <si>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</si>
  <si>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</si>
  <si>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</si>
  <si>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</si>
  <si>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</si>
  <si>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</si>
  <si>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</si>
  <si>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</si>
  <si>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</si>
  <si>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</si>
  <si>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</si>
  <si>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</si>
  <si>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</si>
  <si>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</si>
  <si>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</si>
  <si>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</si>
  <si>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</si>
  <si>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</si>
  <si>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</si>
  <si>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</si>
  <si>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</si>
  <si>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</si>
  <si>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</si>
  <si>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</si>
  <si>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</si>
  <si>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</si>
  <si>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</si>
  <si>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</si>
  <si>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</si>
  <si>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</si>
  <si>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</si>
  <si>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</si>
  <si>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</si>
  <si>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</si>
  <si>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</si>
  <si>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</si>
  <si>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</si>
  <si>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</si>
  <si>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</si>
  <si>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</si>
  <si>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</si>
  <si>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</si>
  <si>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</si>
  <si>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</si>
  <si>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</si>
  <si>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</si>
  <si>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</si>
  <si>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</si>
  <si>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</si>
  <si>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</si>
  <si>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</si>
  <si>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</si>
  <si>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</si>
  <si>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</si>
  <si>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</si>
  <si>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</si>
  <si>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</si>
  <si>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</si>
  <si>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</si>
  <si>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</si>
  <si>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</si>
  <si>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</si>
  <si>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</si>
  <si>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</si>
  <si>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</si>
  <si>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</si>
  <si>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</si>
  <si>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</si>
  <si>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</si>
  <si>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</si>
  <si>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</si>
  <si>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</si>
  <si>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</si>
  <si>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</si>
  <si>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</si>
  <si>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</si>
  <si>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</si>
  <si>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</si>
  <si>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</si>
  <si>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</si>
  <si>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</si>
  <si>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</si>
  <si>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</si>
  <si>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</si>
  <si>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</si>
  <si>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</si>
  <si>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</si>
  <si>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</si>
  <si>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</si>
  <si>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</si>
  <si>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</si>
  <si>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</si>
  <si>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</si>
  <si>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</si>
  <si>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</si>
  <si>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</si>
  <si>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</si>
  <si>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</si>
  <si>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</si>
  <si>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</si>
  <si>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</si>
  <si>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</si>
  <si>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</si>
  <si>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</si>
  <si>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</si>
  <si>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</si>
  <si>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</si>
  <si>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</si>
  <si>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</si>
  <si>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</si>
  <si>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</si>
  <si>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</si>
  <si>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</si>
  <si>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</si>
  <si>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</si>
  <si>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</si>
  <si>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</si>
  <si>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</si>
  <si>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</si>
  <si>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</si>
  <si>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</si>
  <si>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</si>
  <si>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</si>
  <si>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</si>
  <si>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</si>
  <si>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</si>
  <si>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</si>
  <si>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</si>
  <si>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</si>
  <si>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</si>
  <si>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</si>
  <si>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</si>
  <si>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</si>
  <si>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</si>
  <si>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</si>
  <si>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</si>
  <si>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</si>
  <si>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</si>
  <si>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</si>
  <si>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</si>
  <si>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</si>
  <si>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</si>
  <si>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</si>
  <si>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</si>
  <si>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</si>
  <si>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</si>
  <si>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</si>
  <si>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</si>
  <si>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</si>
  <si>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</si>
  <si>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</si>
  <si>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</si>
  <si>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</si>
  <si>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</si>
  <si>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</si>
  <si>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</si>
  <si>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</si>
  <si>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</si>
  <si>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</si>
  <si>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</si>
  <si>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</si>
  <si>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</si>
  <si>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</si>
  <si>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</si>
  <si>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</si>
  <si>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</si>
  <si>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</si>
  <si>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</si>
  <si>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</si>
  <si>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</si>
  <si>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</si>
  <si>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</si>
  <si>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</si>
  <si>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</si>
  <si>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</si>
  <si>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</si>
  <si>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</si>
  <si>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</si>
  <si>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</si>
  <si>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</si>
  <si>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</si>
  <si>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</si>
  <si>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</si>
  <si>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</si>
  <si>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</si>
  <si>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</si>
  <si>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</si>
  <si>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</si>
  <si>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</si>
  <si>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</si>
  <si>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</si>
  <si>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</si>
  <si>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</si>
  <si>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</si>
  <si>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</si>
  <si>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</si>
  <si>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</si>
  <si>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</si>
  <si>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</si>
  <si>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</si>
  <si>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</si>
  <si>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</si>
  <si>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</si>
  <si>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</si>
  <si>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</si>
  <si>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</si>
  <si>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</si>
  <si>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</si>
  <si>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</si>
  <si>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</si>
  <si>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</si>
  <si>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</si>
  <si>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</si>
  <si>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</si>
  <si>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</si>
  <si>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</si>
  <si>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</si>
  <si>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</si>
  <si>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</si>
  <si>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</si>
  <si>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</si>
  <si>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</si>
  <si>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</si>
  <si>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</si>
  <si>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</si>
  <si>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</si>
  <si>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</si>
  <si>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</si>
  <si>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</si>
  <si>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</si>
  <si>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</si>
  <si>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</si>
  <si>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</si>
  <si>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</si>
  <si>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</si>
  <si>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</si>
  <si>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</si>
  <si>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</si>
  <si>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</si>
  <si>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</si>
  <si>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</si>
  <si>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</si>
  <si>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</si>
  <si>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</si>
  <si>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</si>
  <si>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</si>
  <si>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</si>
  <si>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</si>
  <si>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</si>
  <si>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</si>
  <si>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</si>
  <si>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</si>
  <si>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</si>
  <si>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</si>
  <si>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</si>
  <si>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</si>
  <si>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</si>
  <si>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</si>
  <si>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</si>
  <si>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</si>
  <si>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</si>
  <si>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</si>
  <si>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</si>
  <si>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</si>
  <si>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</si>
  <si>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</si>
  <si>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</si>
  <si>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</si>
  <si>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</si>
  <si>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</si>
  <si>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</si>
  <si>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</si>
  <si>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</si>
  <si>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</si>
  <si>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</si>
  <si>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</si>
  <si>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</si>
  <si>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</si>
  <si>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</si>
  <si>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</si>
  <si>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</si>
  <si>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</si>
  <si>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</si>
  <si>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</si>
  <si>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</si>
  <si>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</si>
  <si>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</si>
  <si>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</si>
  <si>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</si>
  <si>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</si>
  <si>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</si>
  <si>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</si>
  <si>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</si>
  <si>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</si>
  <si>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</si>
  <si>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</si>
  <si>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</si>
  <si>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</si>
  <si>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</si>
  <si>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</si>
  <si>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</si>
  <si>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</si>
  <si>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</si>
  <si>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</si>
  <si>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</si>
  <si>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</si>
  <si>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</si>
  <si>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</si>
  <si>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</si>
  <si>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</si>
  <si>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</si>
  <si>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</si>
  <si>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</si>
  <si>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</si>
  <si>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</si>
  <si>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</si>
  <si>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</si>
  <si>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</si>
  <si>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</si>
  <si>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</si>
  <si>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</si>
  <si>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</si>
  <si>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</si>
  <si>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</si>
  <si>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</si>
  <si>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</si>
  <si>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</si>
  <si>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</si>
  <si>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</si>
  <si>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</si>
  <si>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</si>
  <si>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</si>
  <si>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</si>
  <si>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</si>
  <si>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</si>
  <si>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</si>
  <si>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</si>
  <si>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</si>
  <si>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</si>
  <si>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</si>
  <si>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</si>
  <si>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</si>
  <si>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</si>
  <si>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</si>
  <si>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</si>
  <si>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</si>
  <si>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</si>
  <si>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</si>
  <si>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</si>
  <si>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</si>
  <si>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</si>
  <si>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</si>
  <si>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</si>
  <si>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</si>
  <si>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</si>
  <si>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</si>
  <si>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</si>
  <si>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</si>
  <si>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</si>
  <si>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</si>
  <si>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</si>
  <si>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</si>
  <si>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</si>
  <si>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</si>
  <si>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</si>
  <si>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</si>
  <si>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</si>
  <si>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</si>
  <si>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</si>
  <si>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</si>
  <si>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</si>
  <si>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</si>
  <si>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</si>
  <si>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</si>
  <si>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</si>
  <si>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</si>
  <si>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</si>
  <si>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</si>
  <si>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</si>
  <si>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</si>
  <si>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</si>
  <si>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</si>
  <si>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</si>
  <si>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</si>
  <si>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</si>
  <si>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</si>
  <si>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</si>
  <si>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</si>
  <si>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</si>
  <si>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</si>
  <si>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</si>
  <si>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</si>
  <si>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</si>
  <si>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</si>
  <si>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</si>
  <si>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</si>
  <si>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</si>
  <si>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</si>
  <si>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</si>
  <si>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</si>
  <si>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</si>
  <si>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</si>
  <si>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</si>
  <si>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</si>
  <si>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</si>
  <si>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</si>
  <si>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</si>
  <si>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</si>
  <si>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</si>
  <si>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</si>
  <si>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</si>
  <si>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</si>
  <si>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</si>
  <si>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</si>
  <si>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</si>
  <si>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</si>
  <si>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</si>
  <si>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</si>
  <si>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</si>
  <si>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</si>
  <si>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</si>
  <si>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</si>
  <si>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</si>
  <si>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</si>
  <si>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</si>
  <si>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</si>
  <si>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</si>
  <si>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</si>
  <si>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</si>
  <si>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</si>
  <si>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</si>
  <si>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</si>
  <si>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</si>
  <si>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</si>
  <si>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</si>
  <si>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</si>
  <si>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</si>
  <si>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</si>
  <si>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</si>
  <si>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</si>
  <si>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</si>
  <si>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</si>
  <si>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</si>
  <si>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</si>
  <si>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</si>
  <si>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</si>
  <si>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</si>
  <si>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</si>
  <si>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</si>
  <si>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</si>
  <si>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</si>
  <si>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</si>
  <si>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</si>
  <si>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</si>
  <si>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</si>
  <si>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</si>
  <si>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</si>
  <si>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</si>
  <si>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</si>
  <si>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</si>
  <si>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</si>
  <si>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</si>
  <si>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</si>
  <si>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</si>
  <si>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</si>
  <si>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</si>
  <si>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</si>
  <si>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</si>
  <si>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</si>
  <si>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</si>
  <si>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</si>
  <si>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</si>
  <si>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</si>
  <si>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</si>
  <si>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</si>
  <si>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</si>
  <si>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</si>
  <si>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</si>
  <si>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</si>
  <si>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</si>
  <si>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</si>
  <si>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</si>
  <si>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</si>
  <si>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</si>
  <si>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</si>
  <si>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</si>
  <si>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</si>
  <si>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</si>
  <si>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</si>
  <si>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</si>
  <si>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</si>
  <si>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</si>
  <si>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</si>
  <si>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</si>
  <si>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</si>
  <si>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</si>
  <si>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</si>
  <si>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</si>
  <si>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</si>
  <si>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</si>
  <si>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</si>
  <si>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</si>
  <si>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</si>
  <si>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</si>
  <si>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</si>
  <si>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</si>
  <si>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</si>
  <si>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</si>
  <si>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</si>
  <si>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</si>
  <si>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</si>
  <si>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</si>
  <si>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</si>
  <si>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</si>
  <si>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</si>
  <si>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</si>
  <si>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</si>
  <si>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</si>
  <si>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</si>
  <si>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</si>
  <si>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</si>
  <si>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</si>
  <si>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</si>
  <si>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</si>
  <si>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</si>
  <si>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</si>
  <si>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</si>
  <si>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</si>
  <si>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</si>
  <si>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</si>
  <si>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</si>
  <si>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</si>
  <si>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</si>
  <si>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</si>
  <si>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</si>
  <si>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</si>
  <si>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</si>
  <si>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</si>
  <si>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</si>
  <si>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</si>
  <si>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</si>
  <si>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</si>
  <si>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</si>
  <si>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</si>
  <si>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</si>
  <si>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</si>
  <si>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</si>
  <si>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</si>
  <si>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</si>
  <si>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</si>
  <si>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</si>
  <si>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</si>
  <si>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</si>
  <si>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</si>
  <si>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</si>
  <si>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</si>
  <si>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</si>
  <si>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</si>
  <si>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</si>
  <si>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</si>
  <si>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</si>
  <si>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</si>
  <si>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</si>
  <si>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</si>
  <si>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</si>
  <si>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</si>
  <si>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</si>
  <si>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</si>
  <si>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</si>
  <si>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</si>
  <si>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</si>
  <si>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</si>
  <si>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</si>
  <si>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</si>
  <si>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</si>
  <si>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</si>
  <si>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</si>
  <si>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</si>
  <si>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</si>
  <si>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</si>
  <si>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</si>
  <si>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</si>
  <si>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</si>
  <si>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</si>
  <si>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</si>
  <si>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</si>
  <si>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</si>
  <si>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</si>
  <si>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</si>
  <si>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</si>
  <si>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</si>
  <si>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</si>
  <si>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</si>
  <si>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</si>
  <si>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</si>
  <si>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</si>
  <si>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</si>
  <si>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</si>
  <si>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</si>
  <si>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</si>
  <si>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</si>
  <si>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</si>
  <si>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</si>
  <si>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</si>
  <si>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</si>
  <si>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</si>
  <si>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</si>
  <si>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</si>
  <si>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</si>
  <si>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</si>
  <si>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</si>
  <si>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</si>
  <si>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</si>
  <si>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</si>
  <si>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</si>
  <si>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</si>
  <si>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</si>
  <si>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</si>
  <si>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</si>
  <si>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</si>
  <si>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</si>
  <si>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</si>
  <si>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</si>
  <si>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</si>
  <si>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</si>
  <si>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</si>
  <si>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</si>
  <si>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</si>
  <si>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</si>
  <si>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</si>
  <si>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</si>
  <si>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</si>
  <si>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</si>
  <si>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</si>
  <si>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</si>
  <si>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</si>
  <si>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</si>
  <si>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</si>
  <si>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</si>
  <si>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</si>
  <si>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</si>
  <si>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</si>
  <si>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</si>
  <si>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</si>
  <si>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</si>
  <si>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</si>
  <si>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</si>
  <si>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</si>
  <si>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</si>
  <si>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</si>
  <si>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</si>
  <si>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</si>
  <si>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</si>
  <si>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</si>
  <si>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</si>
  <si>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</si>
  <si>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</si>
  <si>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</si>
  <si>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</si>
  <si>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</si>
  <si>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</si>
  <si>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</si>
  <si>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</si>
  <si>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</si>
  <si>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</si>
  <si>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</si>
  <si>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</si>
  <si>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</si>
  <si>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</si>
  <si>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</si>
  <si>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</si>
  <si>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</si>
  <si>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</si>
  <si>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</si>
  <si>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</si>
  <si>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</si>
  <si>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</si>
  <si>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</si>
  <si>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</si>
  <si>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</si>
  <si>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</si>
  <si>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</si>
  <si>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</si>
  <si>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</si>
  <si>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</si>
  <si>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</si>
  <si>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</si>
  <si>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</si>
  <si>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</si>
  <si>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</si>
  <si>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</si>
  <si>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</si>
  <si>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</si>
  <si>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</si>
  <si>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</si>
  <si>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</si>
  <si>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</si>
  <si>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</si>
  <si>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</si>
  <si>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</si>
  <si>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</si>
  <si>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</si>
  <si>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</si>
  <si>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</si>
  <si>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</si>
  <si>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</si>
  <si>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</si>
  <si>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</si>
  <si>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</si>
  <si>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</si>
  <si>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</si>
  <si>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</si>
  <si>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</si>
  <si>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</si>
  <si>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</si>
  <si>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</si>
  <si>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</si>
  <si>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</si>
  <si>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</si>
  <si>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</si>
  <si>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</si>
  <si>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</si>
  <si>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</si>
  <si>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</si>
  <si>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</si>
  <si>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</si>
  <si>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</si>
  <si>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</si>
  <si>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</si>
  <si>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</si>
  <si>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</si>
  <si>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</si>
  <si>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</si>
  <si>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</si>
  <si>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</si>
  <si>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</si>
  <si>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</si>
  <si>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</si>
  <si>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</si>
  <si>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</si>
  <si>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</si>
  <si>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</si>
  <si>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</si>
  <si>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</si>
  <si>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</si>
  <si>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</si>
  <si>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</si>
  <si>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</si>
  <si>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</si>
  <si>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</si>
  <si>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</si>
  <si>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</si>
  <si>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</si>
  <si>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</si>
  <si>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</si>
  <si>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</si>
  <si>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</si>
  <si>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</si>
  <si>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</si>
  <si>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</si>
  <si>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</si>
  <si>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</si>
  <si>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</si>
  <si>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</si>
  <si>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</si>
  <si>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</si>
  <si>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</si>
  <si>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</si>
  <si>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</si>
  <si>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</si>
  <si>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</si>
  <si>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</si>
  <si>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</si>
  <si>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</si>
  <si>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</si>
  <si>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</si>
  <si>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</si>
  <si>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</si>
  <si>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</si>
  <si>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</si>
  <si>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</si>
  <si>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</si>
  <si>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</si>
  <si>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</si>
  <si>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</si>
  <si>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</si>
  <si>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</si>
  <si>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</si>
  <si>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</si>
  <si>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</si>
  <si>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</si>
  <si>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</si>
  <si>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</si>
  <si>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</si>
  <si>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</si>
  <si>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</si>
  <si>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</si>
  <si>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</si>
  <si>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</si>
  <si>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</si>
  <si>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</si>
  <si>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</si>
  <si>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</si>
  <si>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</si>
  <si>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</si>
  <si>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</si>
  <si>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</si>
  <si>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</si>
  <si>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</si>
  <si>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</si>
  <si>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</si>
  <si>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</si>
  <si>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</si>
  <si>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</si>
  <si>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</si>
  <si>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</si>
  <si>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</si>
  <si>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</si>
  <si>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</si>
  <si>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</si>
  <si>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</si>
  <si>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</si>
  <si>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</si>
  <si>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</si>
  <si>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</si>
  <si>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</si>
  <si>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</si>
  <si>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</si>
  <si>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</si>
  <si>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</si>
  <si>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</si>
  <si>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</si>
  <si>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</si>
  <si>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</si>
  <si>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</si>
  <si>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</si>
  <si>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</si>
  <si>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</si>
  <si>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</si>
  <si>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</si>
  <si>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</si>
  <si>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</si>
  <si>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</si>
  <si>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</si>
  <si>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</si>
  <si>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</si>
  <si>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</si>
  <si>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</si>
  <si>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</si>
  <si>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</si>
  <si>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</si>
  <si>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</si>
  <si>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</si>
  <si>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</si>
  <si>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</si>
  <si>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</si>
  <si>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</si>
  <si>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</si>
  <si>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</si>
  <si>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</si>
  <si>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</si>
  <si>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</si>
  <si>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</si>
  <si>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</si>
  <si>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</si>
  <si>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</si>
  <si>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</si>
  <si>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</si>
  <si>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</si>
  <si>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</si>
  <si>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</si>
  <si>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</si>
  <si>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</si>
  <si>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</si>
  <si>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</si>
  <si>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</si>
  <si>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</si>
  <si>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</si>
  <si>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</si>
  <si>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</si>
  <si>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</si>
  <si>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</si>
  <si>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</si>
  <si>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</si>
  <si>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</si>
  <si>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</si>
  <si>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</si>
  <si>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</si>
  <si>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</si>
  <si>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</si>
  <si>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</si>
  <si>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</si>
  <si>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</si>
  <si>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</si>
  <si>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</si>
  <si>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</si>
  <si>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</si>
  <si>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</si>
  <si>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</si>
  <si>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</si>
  <si>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</si>
  <si>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</si>
  <si>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</si>
  <si>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</si>
  <si>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</si>
  <si>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</si>
  <si>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</si>
  <si>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</si>
  <si>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</si>
  <si>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</si>
  <si>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</si>
  <si>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</si>
  <si>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</si>
  <si>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</si>
  <si>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</si>
  <si>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</si>
  <si>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</si>
  <si>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</si>
  <si>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</si>
  <si>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</si>
  <si>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</si>
  <si>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</si>
  <si>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</si>
  <si>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</si>
  <si>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</si>
  <si>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</si>
  <si>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</si>
  <si>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</si>
  <si>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</si>
  <si>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</si>
  <si>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</si>
  <si>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</si>
  <si>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</si>
  <si>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</si>
  <si>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</si>
  <si>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</si>
  <si>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</si>
  <si>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</si>
  <si>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</si>
  <si>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</si>
  <si>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</si>
  <si>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</si>
  <si>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</si>
  <si>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</si>
  <si>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</si>
  <si>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</si>
  <si>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</si>
  <si>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</si>
  <si>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</si>
  <si>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</si>
  <si>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</si>
  <si>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</si>
  <si>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</si>
  <si>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</si>
  <si>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</si>
  <si>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</si>
  <si>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</si>
  <si>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</si>
  <si>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</si>
  <si>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</si>
  <si>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</si>
  <si>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</si>
  <si>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</si>
  <si>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</si>
  <si>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</si>
  <si>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</si>
  <si>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</si>
  <si>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</si>
  <si>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</si>
  <si>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</si>
  <si>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</si>
  <si>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</si>
  <si>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</si>
  <si>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</si>
  <si>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</si>
  <si>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</si>
  <si>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</si>
  <si>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</si>
  <si>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</si>
  <si>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</si>
  <si>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</si>
  <si>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</si>
  <si>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</si>
  <si>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</si>
  <si>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</si>
  <si>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</si>
  <si>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</si>
  <si>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</si>
  <si>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</si>
  <si>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</si>
  <si>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</si>
  <si>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</si>
  <si>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</si>
  <si>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</si>
  <si>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</si>
  <si>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</si>
  <si>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</si>
  <si>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</si>
  <si>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</si>
  <si>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</si>
  <si>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</si>
  <si>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</si>
  <si>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</si>
  <si>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</si>
  <si>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</si>
  <si>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</si>
  <si>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</si>
  <si>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</si>
  <si>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</si>
  <si>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</si>
  <si>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</si>
  <si>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</si>
  <si>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</si>
  <si>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</si>
  <si>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</si>
  <si>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</si>
  <si>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</si>
  <si>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</si>
  <si>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</si>
  <si>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</si>
  <si>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</si>
  <si>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</si>
  <si>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</si>
  <si>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</si>
  <si>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</si>
  <si>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</si>
  <si>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</si>
  <si>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</si>
  <si>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</si>
  <si>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</si>
  <si>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</si>
  <si>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</si>
  <si>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</si>
  <si>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</si>
  <si>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</si>
  <si>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</si>
  <si>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</si>
  <si>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</si>
  <si>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</si>
  <si>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</si>
  <si>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</si>
  <si>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</si>
  <si>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</si>
  <si>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</si>
  <si>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</si>
  <si>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</si>
  <si>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</si>
  <si>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</si>
  <si>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</si>
  <si>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</si>
  <si>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</si>
  <si>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</si>
  <si>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</si>
  <si>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</si>
  <si>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</si>
  <si>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</si>
  <si>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</si>
  <si>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</si>
  <si>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</si>
  <si>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</si>
  <si>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</si>
  <si>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</si>
  <si>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</si>
  <si>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</si>
  <si>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</si>
  <si>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</si>
  <si>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</si>
  <si>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</si>
  <si>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</si>
  <si>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</si>
  <si>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</si>
  <si>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</si>
  <si>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</si>
  <si>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</si>
  <si>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</si>
  <si>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</si>
  <si>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</si>
  <si>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</si>
  <si>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</si>
  <si>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</si>
  <si>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</si>
  <si>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</si>
  <si>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</si>
  <si>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</si>
  <si>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</si>
  <si>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</si>
  <si>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</si>
  <si>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</si>
  <si>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</si>
  <si>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</si>
  <si>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</si>
  <si>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</si>
  <si>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</si>
  <si>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</si>
  <si>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</si>
  <si>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</si>
  <si>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</si>
  <si>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</si>
  <si>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</si>
  <si>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</si>
  <si>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</si>
  <si>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</si>
  <si>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</si>
  <si>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</si>
  <si>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</si>
  <si>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</si>
  <si>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</si>
  <si>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</si>
  <si>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</si>
  <si>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</si>
  <si>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</si>
  <si>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</si>
  <si>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</si>
  <si>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</si>
  <si>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</si>
  <si>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</si>
  <si>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</si>
  <si>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</si>
  <si>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</si>
  <si>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</si>
  <si>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</si>
  <si>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</si>
  <si>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</si>
  <si>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</si>
  <si>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</si>
  <si>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</si>
  <si>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</si>
  <si>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</si>
  <si>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</si>
  <si>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</si>
  <si>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</si>
  <si>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</si>
  <si>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</si>
  <si>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</si>
  <si>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</si>
  <si>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</si>
  <si>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</si>
  <si>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</si>
  <si>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</si>
  <si>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</si>
  <si>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</si>
  <si>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</si>
  <si>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</si>
  <si>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</si>
  <si>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</si>
  <si>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</si>
  <si>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</si>
  <si>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</si>
  <si>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</si>
  <si>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</si>
  <si>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</si>
  <si>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</si>
  <si>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</si>
  <si>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</si>
  <si>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</si>
  <si>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</si>
  <si>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</si>
  <si>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</si>
  <si>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</si>
  <si>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</si>
  <si>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</si>
  <si>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</si>
  <si>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</si>
  <si>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</si>
  <si>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</si>
  <si>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</si>
  <si>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</si>
  <si>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</si>
  <si>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</si>
  <si>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</si>
  <si>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</si>
  <si>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</si>
  <si>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</si>
  <si>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</si>
  <si>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</si>
  <si>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</si>
  <si>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</si>
  <si>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</si>
  <si>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</si>
  <si>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</si>
  <si>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</si>
  <si>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</si>
  <si>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</si>
  <si>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</si>
  <si>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</si>
  <si>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</si>
  <si>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</si>
  <si>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</si>
  <si>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</si>
  <si>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</si>
  <si>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</si>
  <si>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</si>
  <si>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</si>
  <si>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</si>
  <si>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</si>
  <si>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</si>
  <si>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</si>
  <si>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</si>
  <si>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</si>
  <si>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</si>
  <si>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</si>
  <si>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</si>
  <si>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</si>
  <si>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</si>
  <si>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</si>
  <si>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</si>
  <si>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</si>
  <si>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</si>
  <si>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</si>
  <si>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</si>
  <si>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</si>
  <si>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</si>
  <si>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</si>
  <si>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</si>
  <si>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</si>
  <si>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</si>
  <si>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</si>
  <si>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</si>
  <si>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</si>
  <si>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</si>
  <si>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</si>
  <si>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</si>
  <si>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</si>
  <si>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</si>
  <si>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</si>
  <si>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</si>
  <si>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</si>
  <si>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</si>
  <si>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</si>
  <si>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</si>
  <si>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</si>
  <si>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</si>
  <si>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</si>
  <si>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</si>
  <si>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</si>
  <si>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</si>
  <si>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</si>
  <si>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</si>
  <si>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</si>
  <si>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</si>
  <si>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</si>
  <si>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</si>
  <si>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</si>
  <si>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</si>
  <si>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</si>
  <si>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</si>
  <si>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</si>
  <si>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</si>
  <si>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</si>
  <si>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</si>
  <si>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</si>
  <si>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</si>
  <si>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</si>
  <si>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</si>
  <si>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</si>
  <si>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</si>
  <si>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</si>
  <si>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</si>
  <si>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</si>
  <si>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</si>
  <si>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</si>
  <si>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</si>
  <si>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</si>
  <si>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</si>
  <si>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</si>
  <si>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</si>
  <si>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</si>
  <si>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</si>
  <si>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</si>
  <si>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</si>
  <si>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</si>
  <si>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</si>
  <si>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</si>
  <si>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</si>
  <si>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</si>
  <si>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</si>
  <si>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</si>
  <si>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</si>
  <si>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</si>
  <si>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</si>
  <si>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</si>
  <si>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</si>
  <si>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</si>
  <si>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</si>
  <si>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</si>
  <si>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</si>
  <si>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</si>
  <si>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</si>
  <si>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</si>
  <si>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</si>
  <si>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</si>
  <si>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</si>
  <si>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</si>
  <si>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</si>
  <si>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</si>
  <si>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</si>
  <si>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</si>
  <si>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</si>
  <si>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</si>
  <si>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</si>
  <si>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</si>
  <si>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</si>
  <si>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</si>
  <si>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</si>
  <si>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</si>
  <si>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</si>
  <si>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</si>
  <si>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</si>
  <si>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</si>
  <si>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</si>
  <si>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</si>
  <si>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</si>
  <si>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</si>
  <si>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</si>
  <si>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</si>
  <si>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</si>
  <si>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</si>
  <si>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</si>
  <si>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</si>
  <si>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</si>
  <si>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</si>
  <si>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</si>
  <si>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</si>
  <si>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</si>
  <si>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</si>
  <si>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</si>
  <si>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</si>
  <si>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</si>
  <si>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</si>
  <si>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</si>
  <si>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</si>
  <si>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</si>
  <si>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</si>
  <si>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</si>
  <si>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</si>
  <si>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</si>
  <si>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</si>
  <si>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</si>
  <si>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</si>
  <si>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</si>
  <si>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</si>
  <si>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</si>
  <si>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</si>
  <si>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</si>
  <si>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</si>
  <si>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</si>
  <si>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</si>
  <si>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</si>
  <si>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</si>
  <si>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</si>
  <si>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</si>
  <si>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</si>
  <si>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</si>
  <si>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</si>
  <si>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</si>
  <si>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</si>
  <si>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</si>
  <si>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</si>
  <si>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</si>
  <si>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</si>
  <si>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</si>
  <si>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</si>
  <si>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</si>
  <si>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</si>
  <si>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</si>
  <si>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</si>
  <si>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</si>
  <si>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</si>
  <si>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</si>
  <si>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</si>
  <si>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</si>
  <si>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</si>
  <si>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</si>
  <si>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</si>
  <si>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</si>
  <si>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</si>
  <si>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</si>
  <si>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</si>
  <si>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</si>
  <si>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</si>
  <si>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</si>
  <si>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</si>
  <si>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</si>
  <si>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</si>
  <si>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</si>
  <si>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</si>
  <si>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</si>
  <si>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</si>
  <si>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</si>
  <si>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</si>
  <si>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</si>
  <si>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</si>
  <si>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</si>
  <si>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</si>
  <si>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</si>
  <si>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</si>
  <si>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</si>
  <si>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</si>
  <si>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</si>
  <si>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</si>
  <si>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</si>
  <si>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</si>
  <si>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</si>
  <si>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</si>
  <si>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</si>
  <si>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</si>
  <si>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</si>
  <si>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</si>
  <si>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</si>
  <si>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</si>
  <si>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</si>
  <si>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</si>
  <si>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</si>
  <si>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</si>
  <si>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</si>
  <si>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</si>
  <si>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</si>
  <si>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</si>
  <si>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</si>
  <si>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</si>
  <si>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</si>
  <si>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</si>
  <si>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</si>
  <si>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</si>
  <si>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</si>
  <si>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</si>
  <si>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</si>
  <si>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</si>
  <si>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</si>
  <si>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</si>
  <si>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</si>
  <si>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</si>
  <si>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</si>
  <si>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</si>
  <si>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</si>
  <si>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</si>
  <si>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</si>
  <si>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</si>
  <si>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</si>
  <si>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</si>
  <si>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</si>
  <si>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</si>
  <si>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</si>
  <si>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</si>
  <si>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</si>
  <si>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</si>
  <si>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</si>
  <si>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</si>
  <si>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</si>
  <si>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</si>
  <si>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</si>
  <si>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</si>
  <si>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</si>
  <si>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</si>
  <si>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</si>
  <si>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</si>
  <si>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</si>
  <si>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</si>
  <si>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</si>
  <si>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</si>
  <si>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</si>
  <si>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</si>
  <si>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</si>
  <si>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</si>
  <si>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</si>
  <si>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</si>
  <si>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</si>
  <si>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</si>
  <si>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</si>
  <si>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</si>
  <si>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</si>
  <si>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</si>
  <si>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</si>
  <si>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</si>
  <si>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</si>
  <si>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</si>
  <si>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</si>
  <si>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</si>
  <si>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</si>
  <si>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</si>
  <si>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</si>
  <si>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</si>
  <si>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</si>
  <si>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</si>
  <si>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</si>
  <si>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</si>
  <si>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</si>
  <si>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</si>
  <si>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</si>
  <si>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</si>
  <si>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</si>
  <si>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</si>
  <si>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</si>
  <si>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</si>
  <si>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</si>
  <si>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</si>
  <si>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</si>
  <si>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</si>
  <si>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</si>
  <si>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</si>
  <si>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</si>
  <si>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</si>
  <si>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</si>
  <si>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</si>
  <si>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</si>
  <si>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</si>
  <si>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</si>
  <si>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</si>
  <si>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</si>
  <si>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</si>
  <si>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</si>
  <si>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</si>
  <si>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</si>
  <si>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</si>
  <si>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</si>
  <si>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</si>
  <si>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</si>
  <si>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</si>
  <si>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</si>
  <si>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</si>
  <si>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</si>
  <si>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</si>
  <si>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</si>
  <si>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</si>
  <si>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</si>
  <si>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</si>
  <si>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</si>
  <si>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</si>
  <si>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</si>
  <si>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</si>
  <si>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</si>
  <si>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</si>
  <si>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</si>
  <si>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</si>
  <si>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</si>
  <si>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</si>
  <si>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</si>
  <si>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</si>
  <si>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</si>
  <si>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</si>
  <si>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</si>
  <si>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</si>
  <si>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</si>
  <si>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</si>
  <si>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</si>
  <si>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</si>
  <si>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</si>
  <si>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</si>
  <si>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</si>
  <si>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</si>
  <si>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</si>
  <si>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</si>
  <si>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</si>
  <si>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</si>
  <si>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</si>
  <si>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</si>
  <si>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</si>
  <si>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</si>
  <si>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</si>
  <si>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</si>
  <si>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</si>
  <si>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</si>
  <si>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</si>
  <si>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</si>
  <si>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</si>
  <si>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</si>
  <si>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</si>
  <si>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</si>
  <si>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</si>
  <si>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</si>
  <si>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</si>
  <si>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</si>
  <si>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</si>
  <si>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</si>
  <si>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</si>
  <si>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</si>
  <si>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</si>
  <si>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</si>
  <si>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</si>
  <si>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</si>
  <si>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</si>
  <si>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</si>
  <si>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</si>
  <si>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</si>
  <si>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</si>
  <si>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</si>
  <si>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</si>
  <si>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</si>
  <si>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</si>
  <si>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</si>
  <si>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</si>
  <si>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</si>
  <si>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</si>
  <si>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</si>
  <si>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</si>
  <si>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</si>
  <si>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</si>
  <si>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</si>
  <si>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</si>
  <si>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</si>
  <si>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</si>
  <si>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</si>
  <si>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</si>
  <si>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</si>
  <si>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</si>
  <si>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</si>
  <si>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</si>
  <si>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</si>
  <si>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</si>
  <si>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</si>
  <si>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</si>
  <si>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</si>
  <si>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</si>
  <si>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</si>
  <si>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</si>
  <si>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</si>
  <si>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</si>
  <si>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</si>
  <si>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</si>
  <si>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</si>
  <si>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</si>
  <si>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</si>
  <si>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</si>
  <si>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</si>
  <si>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</si>
  <si>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</si>
  <si>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</si>
  <si>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</si>
  <si>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</si>
  <si>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</si>
  <si>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</si>
  <si>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</si>
  <si>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</si>
  <si>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</si>
  <si>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</si>
  <si>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</si>
  <si>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</si>
  <si>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</si>
  <si>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</si>
  <si>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</si>
  <si>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</si>
  <si>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</si>
  <si>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</si>
  <si>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</si>
  <si>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</si>
  <si>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</si>
  <si>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</si>
  <si>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</si>
  <si>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</si>
  <si>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</si>
  <si>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</si>
  <si>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</si>
  <si>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</si>
  <si>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</si>
  <si>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</si>
  <si>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</si>
  <si>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</si>
  <si>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</si>
  <si>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</si>
  <si>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</si>
  <si>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</si>
  <si>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</si>
  <si>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</si>
  <si>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</si>
  <si>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</si>
  <si>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</si>
  <si>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</si>
  <si>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</si>
  <si>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</si>
  <si>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</si>
  <si>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</si>
  <si>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</si>
  <si>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</si>
  <si>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</si>
  <si>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</si>
  <si>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</si>
  <si>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</si>
  <si>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</si>
  <si>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</si>
  <si>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</si>
  <si>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</si>
  <si>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</si>
  <si>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</si>
  <si>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</si>
  <si>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</si>
  <si>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</si>
  <si>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</si>
  <si>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</si>
  <si>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</si>
  <si>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</si>
  <si>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</si>
  <si>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</si>
  <si>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</si>
  <si>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</si>
  <si>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</si>
  <si>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</si>
  <si>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</si>
  <si>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</si>
  <si>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</si>
  <si>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</si>
  <si>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</si>
  <si>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</si>
  <si>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</si>
  <si>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</si>
  <si>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</si>
  <si>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</si>
  <si>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</si>
  <si>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</si>
  <si>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</si>
  <si>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</si>
  <si>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</si>
  <si>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</si>
  <si>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</si>
  <si>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</si>
  <si>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</si>
  <si>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</si>
  <si>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</si>
  <si>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</si>
  <si>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</si>
  <si>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</si>
  <si>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</si>
  <si>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</si>
  <si>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</si>
  <si>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</si>
  <si>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</si>
  <si>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</si>
  <si>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</si>
  <si>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</si>
  <si>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</si>
  <si>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</si>
  <si>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</si>
  <si>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</si>
  <si>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</si>
  <si>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</si>
  <si>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</si>
  <si>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</si>
  <si>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</si>
  <si>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</si>
  <si>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</si>
  <si>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</si>
  <si>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</si>
  <si>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</si>
  <si>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</si>
  <si>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</si>
  <si>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</si>
  <si>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</si>
  <si>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</si>
  <si>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</si>
  <si>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</si>
  <si>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</si>
  <si>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</si>
  <si>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</si>
  <si>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</si>
  <si>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</si>
  <si>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</si>
  <si>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</si>
  <si>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</si>
  <si>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</si>
  <si>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</si>
  <si>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</si>
  <si>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</si>
  <si>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</si>
  <si>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</si>
  <si>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</si>
  <si>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</si>
  <si>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</si>
  <si>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</si>
  <si>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</si>
  <si>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</si>
  <si>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</si>
  <si>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</si>
  <si>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</si>
  <si>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</si>
  <si>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</si>
  <si>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</si>
  <si>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</si>
  <si>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</si>
  <si>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</si>
  <si>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</si>
  <si>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</si>
  <si>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</si>
  <si>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</si>
  <si>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</si>
  <si>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</si>
  <si>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</si>
  <si>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</si>
  <si>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</si>
  <si>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</si>
  <si>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</si>
  <si>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</si>
  <si>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</si>
  <si>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</si>
  <si>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</si>
  <si>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</si>
  <si>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</si>
  <si>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</si>
  <si>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</si>
  <si>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</si>
  <si>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</si>
  <si>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</si>
  <si>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</si>
  <si>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</si>
  <si>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</si>
  <si>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</si>
  <si>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</si>
  <si>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</si>
  <si>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</si>
  <si>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</si>
  <si>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</si>
  <si>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</si>
  <si>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</si>
  <si>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</si>
  <si>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</si>
  <si>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</si>
  <si>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</si>
  <si>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</si>
  <si>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</si>
  <si>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</si>
  <si>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</si>
  <si>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</si>
  <si>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</si>
  <si>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</si>
  <si>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</si>
  <si>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</si>
  <si>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</si>
  <si>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</si>
  <si>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</si>
  <si>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</si>
  <si>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</si>
  <si>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</si>
  <si>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</si>
  <si>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</si>
  <si>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</si>
  <si>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</si>
  <si>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</si>
  <si>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</si>
  <si>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</si>
  <si>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</si>
  <si>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</si>
  <si>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</si>
  <si>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</si>
  <si>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</si>
  <si>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</si>
  <si>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</si>
  <si>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</si>
  <si>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</si>
  <si>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</si>
  <si>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</si>
  <si>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</si>
  <si>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</si>
  <si>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</si>
  <si>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</si>
  <si>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</si>
  <si>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</si>
  <si>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</si>
  <si>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</si>
  <si>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</si>
  <si>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</si>
  <si>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</si>
  <si>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</si>
  <si>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</si>
  <si>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</si>
  <si>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</si>
  <si>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</si>
  <si>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</si>
  <si>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</si>
  <si>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</si>
  <si>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</si>
  <si>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</si>
  <si>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</si>
  <si>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</si>
  <si>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</si>
  <si>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</si>
  <si>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</si>
  <si>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</si>
  <si>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</si>
  <si>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</si>
  <si>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</si>
  <si>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</si>
  <si>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</si>
  <si>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</si>
  <si>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</si>
  <si>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</si>
  <si>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</si>
  <si>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</si>
  <si>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</si>
  <si>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</si>
  <si>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</si>
  <si>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</si>
  <si>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</si>
  <si>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</si>
  <si>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</si>
  <si>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</si>
  <si>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</si>
  <si>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</si>
  <si>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</si>
  <si>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</si>
  <si>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</si>
  <si>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</si>
  <si>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</si>
  <si>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</si>
  <si>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</si>
  <si>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</si>
  <si>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</si>
  <si>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</si>
  <si>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</si>
  <si>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</si>
  <si>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</si>
  <si>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</si>
  <si>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</si>
  <si>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</si>
  <si>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</si>
  <si>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</si>
  <si>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</si>
  <si>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</si>
  <si>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</si>
  <si>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</si>
  <si>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</si>
  <si>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</si>
  <si>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</si>
  <si>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</si>
  <si>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</si>
  <si>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</si>
  <si>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</si>
  <si>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</si>
  <si>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</si>
  <si>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</si>
  <si>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</si>
  <si>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</si>
  <si>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</si>
  <si>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</si>
  <si>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</si>
  <si>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</si>
  <si>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</si>
  <si>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</si>
  <si>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</si>
  <si>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</si>
  <si>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</si>
  <si>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</si>
  <si>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</si>
  <si>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</si>
  <si>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</si>
  <si>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</si>
  <si>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</si>
  <si>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</si>
  <si>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</si>
  <si>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</si>
  <si>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</si>
  <si>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</si>
  <si>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</si>
  <si>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</si>
  <si>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</si>
  <si>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</si>
  <si>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</si>
  <si>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</si>
  <si>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</si>
  <si>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</si>
  <si>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</si>
  <si>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</si>
  <si>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</si>
  <si>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</si>
  <si>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</si>
  <si>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</si>
  <si>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</si>
  <si>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</si>
  <si>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</si>
  <si>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</si>
  <si>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</si>
  <si>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</si>
  <si>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</si>
  <si>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</si>
  <si>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</si>
  <si>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</si>
  <si>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</si>
  <si>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</si>
  <si>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</si>
  <si>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</si>
  <si>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</si>
  <si>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</si>
  <si>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</si>
  <si>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</si>
  <si>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</si>
  <si>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</si>
  <si>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</si>
  <si>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</si>
  <si>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</si>
  <si>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</si>
  <si>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</si>
  <si>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</si>
  <si>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</si>
  <si>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</si>
  <si>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</si>
  <si>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</si>
  <si>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</si>
  <si>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</si>
  <si>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</si>
  <si>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</si>
  <si>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</si>
  <si>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</si>
  <si>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</si>
  <si>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</si>
  <si>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</si>
  <si>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</si>
  <si>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</si>
  <si>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</si>
  <si>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</si>
  <si>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</si>
  <si>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</si>
  <si>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</si>
  <si>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</si>
  <si>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</si>
  <si>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</si>
  <si>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</si>
  <si>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</si>
  <si>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</si>
  <si>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</si>
  <si>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</si>
  <si>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</si>
  <si>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</si>
  <si>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</si>
  <si>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</si>
  <si>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</si>
  <si>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</si>
  <si>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</si>
  <si>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</si>
  <si>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</si>
  <si>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</si>
  <si>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</si>
  <si>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</si>
  <si>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</si>
  <si>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</si>
  <si>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</si>
  <si>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</si>
  <si>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</si>
  <si>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</si>
  <si>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</si>
  <si>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</si>
  <si>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</si>
  <si>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</si>
  <si>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</si>
  <si>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</si>
  <si>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</si>
  <si>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</si>
  <si>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</si>
  <si>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</si>
  <si>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</si>
  <si>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</si>
  <si>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</si>
  <si>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</si>
  <si>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</si>
  <si>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</si>
  <si>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</si>
  <si>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</si>
  <si>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</si>
  <si>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</si>
  <si>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</si>
  <si>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</si>
  <si>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</si>
  <si>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</si>
  <si>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</si>
  <si>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</si>
  <si>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</si>
  <si>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</si>
  <si>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</si>
  <si>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</si>
  <si>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</si>
  <si>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</si>
  <si>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</si>
  <si>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</si>
  <si>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</si>
  <si>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</si>
  <si>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</si>
  <si>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</si>
  <si>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</si>
  <si>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</si>
  <si>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</si>
  <si>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</si>
  <si>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</si>
  <si>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</si>
  <si>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</si>
  <si>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</si>
  <si>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</si>
  <si>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</si>
  <si>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</si>
  <si>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</si>
  <si>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</si>
  <si>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</si>
  <si>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</si>
  <si>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</si>
  <si>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</si>
  <si>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</si>
  <si>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</si>
  <si>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</si>
  <si>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</si>
  <si>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</si>
  <si>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</si>
  <si>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</si>
  <si>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</si>
  <si>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</si>
  <si>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</si>
  <si>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</si>
  <si>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</si>
  <si>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</si>
  <si>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</si>
  <si>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</si>
  <si>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</si>
  <si>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</si>
  <si>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</si>
  <si>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</si>
  <si>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</si>
  <si>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</si>
  <si>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</si>
  <si>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</si>
  <si>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</si>
  <si>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</si>
  <si>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</si>
  <si>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</si>
  <si>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</si>
  <si>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</si>
  <si>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</si>
  <si>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</si>
  <si>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</si>
  <si>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</si>
  <si>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</si>
  <si>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</si>
  <si>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</si>
  <si>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</si>
  <si>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</si>
  <si>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</si>
  <si>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</si>
  <si>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</si>
  <si>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</si>
  <si>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</si>
  <si>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</si>
  <si>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</si>
  <si>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</si>
  <si>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</si>
  <si>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</si>
  <si>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</si>
  <si>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</si>
  <si>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</si>
  <si>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</si>
  <si>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</si>
  <si>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</si>
  <si>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</si>
  <si>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</si>
  <si>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</si>
  <si>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</si>
  <si>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</si>
  <si>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</si>
  <si>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</si>
  <si>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</si>
  <si>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</si>
  <si>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</si>
  <si>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</si>
  <si>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</si>
  <si>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</si>
  <si>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</si>
  <si>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</si>
  <si>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</si>
  <si>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</si>
  <si>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</si>
  <si>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</si>
  <si>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</si>
  <si>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</si>
  <si>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</si>
  <si>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</si>
  <si>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</si>
  <si>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</si>
  <si>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</si>
  <si>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</si>
  <si>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</si>
  <si>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</si>
  <si>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</si>
  <si>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</si>
  <si>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</si>
  <si>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</si>
  <si>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</si>
  <si>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</si>
  <si>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</si>
  <si>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</si>
  <si>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</si>
  <si>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</si>
  <si>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</si>
  <si>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</si>
  <si>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</si>
  <si>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</si>
  <si>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</si>
  <si>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</si>
  <si>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</si>
  <si>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</si>
  <si>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</si>
  <si>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</si>
  <si>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</si>
  <si>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</si>
  <si>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</si>
  <si>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</si>
  <si>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</si>
  <si>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</si>
  <si>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</si>
  <si>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</si>
  <si>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</si>
  <si>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</si>
  <si>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</si>
  <si>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</si>
  <si>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</si>
  <si>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</si>
  <si>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</si>
  <si>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</si>
  <si>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</si>
  <si>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</si>
  <si>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</si>
  <si>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</si>
  <si>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</si>
  <si>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</si>
  <si>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</si>
  <si>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</si>
  <si>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</si>
  <si>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</si>
  <si>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</si>
  <si>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</si>
  <si>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</si>
  <si>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</si>
  <si>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</si>
  <si>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</si>
  <si>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</si>
  <si>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</si>
  <si>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</si>
  <si>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</si>
  <si>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</si>
  <si>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</si>
  <si>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</si>
  <si>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</si>
  <si>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</si>
  <si>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</si>
  <si>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</si>
  <si>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</si>
  <si>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</si>
  <si>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</si>
  <si>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</si>
  <si>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</si>
  <si>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</si>
  <si>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</si>
  <si>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</si>
  <si>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</si>
  <si>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</si>
  <si>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</si>
  <si>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</si>
  <si>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</si>
  <si>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</si>
  <si>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</si>
  <si>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</si>
  <si>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</si>
  <si>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</si>
  <si>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</si>
  <si>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</si>
  <si>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</si>
  <si>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</si>
  <si>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</si>
  <si>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</si>
  <si>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</si>
  <si>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</si>
  <si>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</si>
  <si>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</si>
  <si>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</si>
  <si>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</si>
  <si>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</si>
  <si>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</si>
  <si>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</si>
  <si>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</si>
  <si>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</si>
  <si>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</si>
  <si>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</si>
  <si>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</si>
  <si>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</si>
  <si>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</si>
  <si>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</si>
  <si>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</si>
  <si>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</si>
  <si>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</si>
  <si>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</si>
  <si>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</si>
  <si>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</si>
  <si>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</si>
  <si>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</si>
  <si>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</si>
  <si>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</si>
  <si>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</si>
  <si>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</si>
  <si>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</si>
  <si>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</si>
  <si>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</si>
  <si>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</si>
  <si>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</si>
  <si>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</si>
  <si>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</si>
  <si>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</si>
  <si>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</si>
  <si>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</si>
  <si>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</si>
  <si>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</si>
  <si>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</si>
  <si>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</si>
  <si>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</si>
  <si>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</si>
  <si>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</si>
  <si>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</si>
  <si>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</si>
  <si>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</si>
  <si>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</si>
  <si>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</si>
  <si>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</si>
  <si>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</si>
  <si>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</si>
  <si>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</si>
  <si>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</si>
  <si>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</si>
  <si>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</si>
  <si>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</si>
  <si>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</si>
  <si>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</si>
  <si>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</si>
  <si>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</si>
  <si>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</si>
  <si>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</si>
  <si>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</si>
  <si>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</si>
  <si>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</si>
  <si>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</si>
  <si>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</si>
  <si>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</si>
  <si>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</si>
  <si>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</si>
  <si>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</si>
  <si>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</si>
  <si>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</si>
  <si>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</si>
  <si>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</si>
  <si>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</si>
  <si>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</si>
  <si>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</si>
  <si>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</si>
  <si>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</si>
  <si>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</si>
  <si>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</si>
  <si>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</si>
  <si>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</si>
  <si>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</si>
  <si>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</si>
  <si>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</si>
  <si>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</si>
  <si>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</si>
  <si>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</si>
  <si>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</si>
  <si>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</si>
  <si>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</si>
  <si>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</si>
  <si>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</si>
  <si>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</si>
  <si>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</si>
  <si>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</si>
  <si>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</si>
  <si>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</si>
  <si>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</si>
  <si>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</si>
  <si>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</si>
  <si>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</si>
  <si>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</si>
  <si>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</si>
  <si>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</si>
  <si>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</si>
  <si>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</si>
  <si>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</si>
  <si>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</si>
  <si>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</si>
  <si>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</si>
  <si>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</si>
  <si>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</si>
  <si>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</si>
  <si>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</si>
  <si>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</si>
  <si>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</si>
  <si>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</si>
  <si>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</si>
  <si>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</si>
  <si>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</si>
  <si>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</si>
  <si>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</si>
  <si>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</si>
  <si>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</si>
  <si>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</si>
  <si>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</si>
  <si>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</si>
  <si>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</si>
  <si>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</si>
  <si>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</si>
  <si>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</si>
  <si>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</si>
  <si>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</si>
  <si>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</si>
  <si>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</si>
  <si>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</si>
  <si>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</si>
  <si>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</si>
  <si>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</si>
  <si>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</si>
  <si>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</si>
  <si>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</si>
  <si>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</si>
  <si>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</si>
  <si>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</si>
  <si>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</si>
  <si>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</si>
  <si>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</si>
  <si>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</si>
  <si>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</si>
  <si>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</si>
  <si>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</si>
  <si>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</si>
  <si>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</si>
  <si>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</si>
  <si>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</si>
  <si>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</si>
  <si>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</si>
  <si>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</si>
  <si>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</si>
  <si>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</si>
  <si>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</si>
  <si>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</si>
  <si>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</si>
  <si>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</si>
  <si>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</si>
  <si>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</si>
  <si>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</si>
  <si>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</si>
  <si>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</si>
  <si>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</si>
  <si>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</si>
  <si>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</si>
  <si>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</si>
  <si>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</si>
  <si>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</si>
  <si>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</si>
  <si>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</si>
  <si>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</si>
  <si>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</si>
  <si>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</si>
  <si>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</si>
  <si>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</si>
  <si>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</si>
  <si>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</si>
  <si>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</si>
  <si>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</si>
  <si>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</si>
  <si>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</si>
  <si>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</si>
  <si>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</si>
  <si>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</si>
  <si>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</si>
  <si>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</si>
  <si>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</si>
  <si>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</si>
  <si>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</si>
  <si>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</si>
  <si>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</si>
  <si>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</si>
  <si>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</si>
  <si>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</si>
  <si>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</si>
  <si>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</si>
  <si>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</si>
  <si>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</si>
  <si>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</si>
  <si>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</si>
  <si>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</si>
  <si>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</si>
  <si>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</si>
  <si>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</si>
  <si>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</si>
  <si>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</si>
  <si>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</si>
  <si>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</si>
  <si>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</si>
  <si>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</si>
  <si>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</si>
  <si>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</si>
  <si>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</si>
  <si>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</si>
  <si>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</si>
  <si>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</si>
  <si>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</si>
  <si>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</si>
  <si>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</si>
  <si>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</si>
  <si>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</si>
  <si>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</si>
  <si>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</si>
  <si>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</si>
  <si>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</si>
  <si>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</si>
  <si>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</si>
  <si>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</si>
  <si>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</si>
  <si>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</si>
  <si>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</si>
  <si>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</si>
  <si>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</si>
  <si>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</si>
  <si>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</si>
  <si>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</si>
  <si>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</si>
  <si>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</si>
  <si>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</si>
  <si>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</si>
  <si>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</si>
  <si>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</si>
  <si>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</si>
  <si>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</si>
  <si>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</si>
  <si>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</si>
  <si>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</si>
  <si>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</si>
  <si>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</si>
  <si>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</si>
  <si>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</si>
  <si>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</si>
  <si>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</si>
  <si>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</si>
  <si>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</si>
  <si>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</si>
  <si>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</si>
  <si>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</si>
  <si>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</si>
  <si>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</si>
  <si>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</si>
  <si>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</si>
  <si>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</si>
  <si>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</si>
  <si>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</si>
  <si>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</si>
  <si>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</si>
  <si>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</si>
  <si>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</si>
  <si>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</si>
  <si>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</si>
  <si>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</si>
  <si>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</si>
  <si>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</si>
  <si>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</si>
  <si>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</si>
  <si>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</si>
  <si>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</si>
  <si>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</si>
  <si>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</si>
  <si>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</si>
  <si>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</si>
  <si>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</si>
  <si>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</si>
  <si>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</si>
  <si>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</si>
  <si>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</si>
  <si>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</si>
  <si>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</si>
  <si>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</si>
  <si>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</si>
  <si>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</si>
  <si>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</si>
  <si>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</si>
  <si>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</si>
  <si>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</si>
  <si>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</si>
  <si>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</si>
  <si>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</si>
  <si>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</si>
  <si>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</si>
  <si>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</si>
  <si>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</si>
  <si>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</si>
  <si>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</si>
  <si>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</si>
  <si>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</si>
  <si>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</si>
  <si>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</si>
  <si>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</si>
  <si>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</si>
  <si>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</si>
  <si>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</si>
  <si>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</si>
  <si>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</si>
  <si>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</si>
  <si>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</si>
  <si>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</si>
  <si>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</si>
  <si>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</si>
  <si>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</si>
  <si>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</si>
  <si>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</si>
  <si>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</si>
  <si>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</si>
  <si>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</si>
  <si>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</si>
  <si>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</si>
  <si>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</si>
  <si>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</si>
  <si>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</si>
  <si>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</si>
  <si>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</si>
  <si>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</si>
  <si>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</si>
  <si>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</si>
  <si>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</si>
  <si>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</si>
  <si>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</si>
  <si>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</si>
  <si>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</si>
  <si>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</si>
  <si>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</si>
  <si>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</si>
  <si>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</si>
  <si>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</si>
  <si>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</si>
  <si>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</si>
  <si>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</si>
  <si>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</si>
  <si>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</si>
  <si>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</si>
  <si>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</si>
  <si>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</si>
  <si>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</si>
  <si>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</si>
  <si>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</si>
  <si>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</si>
  <si>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</si>
  <si>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</si>
  <si>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</si>
  <si>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</si>
  <si>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</si>
  <si>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</si>
  <si>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</si>
  <si>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</si>
  <si>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</si>
  <si>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</si>
  <si>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</si>
  <si>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</si>
  <si>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</si>
  <si>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</si>
  <si>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</si>
  <si>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</si>
  <si>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</si>
  <si>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</si>
  <si>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</si>
  <si>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</si>
  <si>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</si>
  <si>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</si>
  <si>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</si>
  <si>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</si>
  <si>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</si>
  <si>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</si>
  <si>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</si>
  <si>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</si>
  <si>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</si>
  <si>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</si>
  <si>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</si>
  <si>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</si>
  <si>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</si>
  <si>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</si>
  <si>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</si>
  <si>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</si>
  <si>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</si>
  <si>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</si>
  <si>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</si>
  <si>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</si>
  <si>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</si>
  <si>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</si>
  <si>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</si>
  <si>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</si>
  <si>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</si>
  <si>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</si>
  <si>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</si>
  <si>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</si>
  <si>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</si>
  <si>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</si>
  <si>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</si>
  <si>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</si>
  <si>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</si>
  <si>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</si>
  <si>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</si>
  <si>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</si>
  <si>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</si>
  <si>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</si>
  <si>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</si>
  <si>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</si>
  <si>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</si>
  <si>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</si>
  <si>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</si>
  <si>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</si>
  <si>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</si>
  <si>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</si>
  <si>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</si>
  <si>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</si>
  <si>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</si>
  <si>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</si>
  <si>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</si>
  <si>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</si>
  <si>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</si>
  <si>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</si>
  <si>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</si>
  <si>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</si>
  <si>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</si>
  <si>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</si>
  <si>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</si>
  <si>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</si>
  <si>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</si>
  <si>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</si>
  <si>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</si>
  <si>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</si>
  <si>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</si>
  <si>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</si>
  <si>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</si>
  <si>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</si>
  <si>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</si>
  <si>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</si>
  <si>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</si>
  <si>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</si>
  <si>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</si>
  <si>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</si>
  <si>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</si>
  <si>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</si>
  <si>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</si>
  <si>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</si>
  <si>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</si>
  <si>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</si>
  <si>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</si>
  <si>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</si>
  <si>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</si>
  <si>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</si>
  <si>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</si>
  <si>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</si>
  <si>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</si>
  <si>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</si>
  <si>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</si>
  <si>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</si>
  <si>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</si>
  <si>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</si>
  <si>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</si>
  <si>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</si>
  <si>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</si>
  <si>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</si>
  <si>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</si>
  <si>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</si>
  <si>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</si>
  <si>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</si>
  <si>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</si>
  <si>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</si>
  <si>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</si>
  <si>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</si>
  <si>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</si>
  <si>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</si>
  <si>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</si>
  <si>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</si>
  <si>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</si>
  <si>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</si>
  <si>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</si>
  <si>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</si>
  <si>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</si>
  <si>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</si>
  <si>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</si>
  <si>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</si>
  <si>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</si>
  <si>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</si>
  <si>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</si>
  <si>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</si>
  <si>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</si>
  <si>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</si>
  <si>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</si>
  <si>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</si>
  <si>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</si>
  <si>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</si>
  <si>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</si>
  <si>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</si>
  <si>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</si>
  <si>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</si>
  <si>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</si>
  <si>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</si>
  <si>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</si>
  <si>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</si>
  <si>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</si>
  <si>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</si>
  <si>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</si>
  <si>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</si>
  <si>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</si>
  <si>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</si>
  <si>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</si>
  <si>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</si>
  <si>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</si>
  <si>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</si>
  <si>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</si>
  <si>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</si>
  <si>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</si>
  <si>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</si>
  <si>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</si>
  <si>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</si>
  <si>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</si>
  <si>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</si>
  <si>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</si>
  <si>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</si>
  <si>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</si>
  <si>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</si>
  <si>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</si>
  <si>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</si>
  <si>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</si>
  <si>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</si>
  <si>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</si>
  <si>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</si>
  <si>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</si>
  <si>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</si>
  <si>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</si>
  <si>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</si>
  <si>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</si>
  <si>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</si>
  <si>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</si>
  <si>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</si>
  <si>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</si>
  <si>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</si>
  <si>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</si>
  <si>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</si>
  <si>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</si>
  <si>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</si>
  <si>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</si>
  <si>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</si>
  <si>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</si>
  <si>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</si>
  <si>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</si>
  <si>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</si>
  <si>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</si>
  <si>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</si>
  <si>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</si>
  <si>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</si>
  <si>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</si>
  <si>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</si>
  <si>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</si>
  <si>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</si>
  <si>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</si>
  <si>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</si>
  <si>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</si>
  <si>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</si>
  <si>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</si>
  <si>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</si>
  <si>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</si>
  <si>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</si>
  <si>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</si>
  <si>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</si>
  <si>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</si>
  <si>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</si>
  <si>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</si>
  <si>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</si>
  <si>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</si>
  <si>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</si>
  <si>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</si>
  <si>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</si>
  <si>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</si>
  <si>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</si>
  <si>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</si>
  <si>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</si>
  <si>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</si>
  <si>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</si>
  <si>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</si>
  <si>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</si>
  <si>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</si>
  <si>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</si>
  <si>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</si>
  <si>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</si>
  <si>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</si>
  <si>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</si>
  <si>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</si>
  <si>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</si>
  <si>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</si>
  <si>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</si>
  <si>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</si>
  <si>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</si>
  <si>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</si>
  <si>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</si>
  <si>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</si>
  <si>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</si>
  <si>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</si>
  <si>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</si>
  <si>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</si>
  <si>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</si>
  <si>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</si>
  <si>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</si>
  <si>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</si>
  <si>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</si>
  <si>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</si>
  <si>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</si>
  <si>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</si>
  <si>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</si>
  <si>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</si>
  <si>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</si>
  <si>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</si>
  <si>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</si>
  <si>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</si>
  <si>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</si>
  <si>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</si>
  <si>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</si>
  <si>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</si>
  <si>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</si>
  <si>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</si>
  <si>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</si>
  <si>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</si>
  <si>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</si>
  <si>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</si>
  <si>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</si>
  <si>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</si>
  <si>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</si>
  <si>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</si>
  <si>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</si>
  <si>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</si>
  <si>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</si>
  <si>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</si>
  <si>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</si>
  <si>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</si>
  <si>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</si>
  <si>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</si>
  <si>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</si>
  <si>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</si>
  <si>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</si>
  <si>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</si>
  <si>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</si>
  <si>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</si>
  <si>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</si>
  <si>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</si>
  <si>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</si>
  <si>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</si>
  <si>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</si>
  <si>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</si>
  <si>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</si>
  <si>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</si>
  <si>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</si>
  <si>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</si>
  <si>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</si>
  <si>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</si>
  <si>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</si>
  <si>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</si>
  <si>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</si>
  <si>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</si>
  <si>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</si>
  <si>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</si>
  <si>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</si>
  <si>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</si>
  <si>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</si>
  <si>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</si>
  <si>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</si>
  <si>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</si>
  <si>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</si>
  <si>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</si>
  <si>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</si>
  <si>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</si>
  <si>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</si>
  <si>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</si>
  <si>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</si>
  <si>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</si>
  <si>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</si>
  <si>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</si>
  <si>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</si>
  <si>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</si>
  <si>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</si>
  <si>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</si>
  <si>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</si>
  <si>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</si>
  <si>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</si>
  <si>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</si>
  <si>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</si>
  <si>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</si>
  <si>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</si>
  <si>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</si>
  <si>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</si>
  <si>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</si>
  <si>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</si>
  <si>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</si>
  <si>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</si>
  <si>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</si>
  <si>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</si>
  <si>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</si>
  <si>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</si>
  <si>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</si>
  <si>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</si>
  <si>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</si>
  <si>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</si>
  <si>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</si>
  <si>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</si>
  <si>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</si>
  <si>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</si>
  <si>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</si>
  <si>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</si>
  <si>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</si>
  <si>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</si>
  <si>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</si>
  <si>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</si>
  <si>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</si>
  <si>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</si>
  <si>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</si>
  <si>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</si>
  <si>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</si>
  <si>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</si>
  <si>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</si>
  <si>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</si>
  <si>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</si>
  <si>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</si>
  <si>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</si>
  <si>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</si>
  <si>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</si>
  <si>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</si>
  <si>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</si>
  <si>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</si>
  <si>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</si>
  <si>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</si>
  <si>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</si>
  <si>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</si>
  <si>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</si>
  <si>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</si>
  <si>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</si>
  <si>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</si>
  <si>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</si>
  <si>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</si>
  <si>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</si>
  <si>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</si>
  <si>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</si>
  <si>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</si>
  <si>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</si>
  <si>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</si>
  <si>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</si>
  <si>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</si>
  <si>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</si>
  <si>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</si>
  <si>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</si>
  <si>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</si>
  <si>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</si>
  <si>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</si>
  <si>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</si>
  <si>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</si>
  <si>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</si>
  <si>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</si>
  <si>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</si>
  <si>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</si>
  <si>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</si>
  <si>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</si>
  <si>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</si>
  <si>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</si>
  <si>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</si>
  <si>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</si>
  <si>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</si>
  <si>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</si>
  <si>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</si>
  <si>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</si>
  <si>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</si>
  <si>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</si>
  <si>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</si>
  <si>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</si>
  <si>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</si>
  <si>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</si>
  <si>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</si>
  <si>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</si>
  <si>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</si>
  <si>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</si>
  <si>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</si>
  <si>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</si>
  <si>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</si>
  <si>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</si>
  <si>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</si>
  <si>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</si>
  <si>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</si>
  <si>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</si>
  <si>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</si>
  <si>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</si>
  <si>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</si>
  <si>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</si>
  <si>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</si>
  <si>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</si>
  <si>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</si>
  <si>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</si>
  <si>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</si>
  <si>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</si>
  <si>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</si>
  <si>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</si>
  <si>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</si>
  <si>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</si>
  <si>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</si>
  <si>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</si>
  <si>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</si>
  <si>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</si>
  <si>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</si>
  <si>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</si>
  <si>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</si>
  <si>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</si>
  <si>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</si>
  <si>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</si>
  <si>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</si>
  <si>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</si>
  <si>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</si>
  <si>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</si>
  <si>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</si>
  <si>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</si>
  <si>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</si>
  <si>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</si>
  <si>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</si>
  <si>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</si>
  <si>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</si>
  <si>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</si>
  <si>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</si>
  <si>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</si>
  <si>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</si>
  <si>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</si>
  <si>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</si>
  <si>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</si>
  <si>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</si>
  <si>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</si>
  <si>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</si>
  <si>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</si>
  <si>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</si>
  <si>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</si>
  <si>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</si>
  <si>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</si>
  <si>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</si>
  <si>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</si>
  <si>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</si>
  <si>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</si>
  <si>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</si>
  <si>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</si>
  <si>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</si>
  <si>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</si>
  <si>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</si>
  <si>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</si>
  <si>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</si>
  <si>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</si>
  <si>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</si>
  <si>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</si>
  <si>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</si>
  <si>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</si>
  <si>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</si>
  <si>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</si>
  <si>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</si>
  <si>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</si>
  <si>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</si>
  <si>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</si>
  <si>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</si>
  <si>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</si>
  <si>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</si>
  <si>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</si>
  <si>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</si>
  <si>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</si>
  <si>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</si>
  <si>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</si>
  <si>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</si>
  <si>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</si>
  <si>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</si>
  <si>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</si>
  <si>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</si>
  <si>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</si>
  <si>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</si>
  <si>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</si>
  <si>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</si>
  <si>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</si>
  <si>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</si>
  <si>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</si>
  <si>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</si>
  <si>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</si>
  <si>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</si>
  <si>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</si>
  <si>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</si>
  <si>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</si>
  <si>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</si>
  <si>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</si>
  <si>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</si>
  <si>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</si>
  <si>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</si>
  <si>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</si>
  <si>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</si>
  <si>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</si>
  <si>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</si>
  <si>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</si>
  <si>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</si>
  <si>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</si>
  <si>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</si>
  <si>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</si>
  <si>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</si>
  <si>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</si>
  <si>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</si>
  <si>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</si>
  <si>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</si>
  <si>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</si>
  <si>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</si>
  <si>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</si>
  <si>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</si>
  <si>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</si>
  <si>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</si>
  <si>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</si>
  <si>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</si>
  <si>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</si>
  <si>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</si>
  <si>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</si>
  <si>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</si>
  <si>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</si>
  <si>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</si>
  <si>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</si>
  <si>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</si>
  <si>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</si>
  <si>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</si>
  <si>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</si>
  <si>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</si>
  <si>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</si>
  <si>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</si>
  <si>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</si>
  <si>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</si>
  <si>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</si>
  <si>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</si>
  <si>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</si>
  <si>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</si>
  <si>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</si>
  <si>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</si>
  <si>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</si>
  <si>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</si>
  <si>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</si>
  <si>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</si>
  <si>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</si>
  <si>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</si>
  <si>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</si>
  <si>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</si>
  <si>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</si>
  <si>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</si>
  <si>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</si>
  <si>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</si>
  <si>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</si>
  <si>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</si>
  <si>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</si>
  <si>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</si>
  <si>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</si>
  <si>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</si>
  <si>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</si>
  <si>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</si>
  <si>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</si>
  <si>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</si>
  <si>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</si>
  <si>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</si>
  <si>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</si>
  <si>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</si>
  <si>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</si>
  <si>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</si>
  <si>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</si>
  <si>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</si>
  <si>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</si>
  <si>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</si>
  <si>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</si>
  <si>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</si>
  <si>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</si>
  <si>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</si>
  <si>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</si>
  <si>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</si>
  <si>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</si>
  <si>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</si>
  <si>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</si>
  <si>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</si>
  <si>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</si>
  <si>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</si>
  <si>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</si>
  <si>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</si>
  <si>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</si>
  <si>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</si>
  <si>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</si>
  <si>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</si>
  <si>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</si>
  <si>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</si>
  <si>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</si>
  <si>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</si>
  <si>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</si>
  <si>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</si>
  <si>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</si>
  <si>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</si>
  <si>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</si>
  <si>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</si>
  <si>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</si>
  <si>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</si>
  <si>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</si>
  <si>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</si>
  <si>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</si>
  <si>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</si>
  <si>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</si>
  <si>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</si>
  <si>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</si>
  <si>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</si>
  <si>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</si>
  <si>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</si>
  <si>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</si>
  <si>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</si>
  <si>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</si>
  <si>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</si>
  <si>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</si>
  <si>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</si>
  <si>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</si>
  <si>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</si>
  <si>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</si>
  <si>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</si>
  <si>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</si>
  <si>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</si>
  <si>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</si>
  <si>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</si>
  <si>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</si>
  <si>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</si>
  <si>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</si>
  <si>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</si>
  <si>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</si>
  <si>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</si>
  <si>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</si>
  <si>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</si>
  <si>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</si>
  <si>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</si>
  <si>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</si>
  <si>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</si>
  <si>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</si>
  <si>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</si>
  <si>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</si>
  <si>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</si>
  <si>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</si>
  <si>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</si>
  <si>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</si>
  <si>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</si>
  <si>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</si>
  <si>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</si>
  <si>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</si>
  <si>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</si>
  <si>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</si>
  <si>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</si>
  <si>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</si>
  <si>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</si>
  <si>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</si>
  <si>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</si>
  <si>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</si>
  <si>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</si>
  <si>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</si>
  <si>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</si>
  <si>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</si>
  <si>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</si>
  <si>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</si>
  <si>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</si>
  <si>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</si>
  <si>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</si>
  <si>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</si>
  <si>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</si>
  <si>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</si>
  <si>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</si>
  <si>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</si>
  <si>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</si>
  <si>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</si>
  <si>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</si>
  <si>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</si>
  <si>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</si>
  <si>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</si>
  <si>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</si>
  <si>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</si>
  <si>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</si>
  <si>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</si>
  <si>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</si>
  <si>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</si>
  <si>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</si>
  <si>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</si>
  <si>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</si>
  <si>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</si>
  <si>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</si>
  <si>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</si>
  <si>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</si>
  <si>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</si>
  <si>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</si>
  <si>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</si>
  <si>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</si>
  <si>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</si>
  <si>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</si>
  <si>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</si>
  <si>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</si>
  <si>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</si>
  <si>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</si>
  <si>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</si>
  <si>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</si>
  <si>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</si>
  <si>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</si>
  <si>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</si>
  <si>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</si>
  <si>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</si>
  <si>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</si>
  <si>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</si>
  <si>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</si>
  <si>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</si>
  <si>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</si>
  <si>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</si>
  <si>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</si>
  <si>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</si>
  <si>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</si>
  <si>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</si>
  <si>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</si>
  <si>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</si>
  <si>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</si>
  <si>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</si>
  <si>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</si>
  <si>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</si>
  <si>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</si>
  <si>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</si>
  <si>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</si>
  <si>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</si>
  <si>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</si>
  <si>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</si>
  <si>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</si>
  <si>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</si>
  <si>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</si>
  <si>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</si>
  <si>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</si>
  <si>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</si>
  <si>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</si>
  <si>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</si>
  <si>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</si>
  <si>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</si>
  <si>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</si>
  <si>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</si>
  <si>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</si>
  <si>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</si>
  <si>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</si>
  <si>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</si>
  <si>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</si>
  <si>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</si>
  <si>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</si>
  <si>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</si>
  <si>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</si>
  <si>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</si>
  <si>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</si>
  <si>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</si>
  <si>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</si>
  <si>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</si>
  <si>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</si>
  <si>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</si>
  <si>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</si>
  <si>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</si>
  <si>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</si>
  <si>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</si>
  <si>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</si>
  <si>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</si>
  <si>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</si>
  <si>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</si>
  <si>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</si>
  <si>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</si>
  <si>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</si>
  <si>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</si>
  <si>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</si>
  <si>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</si>
  <si>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</si>
  <si>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</si>
  <si>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</si>
  <si>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</si>
  <si>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</si>
  <si>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</si>
  <si>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</si>
  <si>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</si>
  <si>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</si>
  <si>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</si>
  <si>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</si>
  <si>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</si>
  <si>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</si>
  <si>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</si>
  <si>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</si>
  <si>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</si>
  <si>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</si>
  <si>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</si>
  <si>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</si>
  <si>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</si>
  <si>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</si>
  <si>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</si>
  <si>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</si>
  <si>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</si>
  <si>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</si>
  <si>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</si>
  <si>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</si>
  <si>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</si>
  <si>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</si>
  <si>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</si>
  <si>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</si>
  <si>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</si>
  <si>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</si>
  <si>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</si>
  <si>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</si>
  <si>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</si>
  <si>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</si>
  <si>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</si>
  <si>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</si>
  <si>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</si>
  <si>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</si>
  <si>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</si>
  <si>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</si>
  <si>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</si>
  <si>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</si>
  <si>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</si>
  <si>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</si>
  <si>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</si>
  <si>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</si>
  <si>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</si>
  <si>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</si>
  <si>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</si>
  <si>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</si>
  <si>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</si>
  <si>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</si>
  <si>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</si>
  <si>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</si>
  <si>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</si>
  <si>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</si>
  <si>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</si>
  <si>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</si>
  <si>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</si>
  <si>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</si>
  <si>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</si>
  <si>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</si>
  <si>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</si>
  <si>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</si>
  <si>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</si>
  <si>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</si>
  <si>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</si>
  <si>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</si>
  <si>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</si>
  <si>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</si>
  <si>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</si>
  <si>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</si>
  <si>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</si>
  <si>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</si>
  <si>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</si>
  <si>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</si>
  <si>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</si>
  <si>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</si>
  <si>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</si>
  <si>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</si>
  <si>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</si>
  <si>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</si>
  <si>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</si>
  <si>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</si>
  <si>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</si>
  <si>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</si>
  <si>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</si>
  <si>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</si>
  <si>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</si>
  <si>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</si>
  <si>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</si>
  <si>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</si>
  <si>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</si>
  <si>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</si>
  <si>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</si>
  <si>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</si>
  <si>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</si>
  <si>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</si>
  <si>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</si>
  <si>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</si>
  <si>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</si>
  <si>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</si>
  <si>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</si>
  <si>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</si>
  <si>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</si>
  <si>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</si>
  <si>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</si>
  <si>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</si>
  <si>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</si>
  <si>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</si>
  <si>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</si>
  <si>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</si>
  <si>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</si>
  <si>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</si>
  <si>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</si>
  <si>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</si>
  <si>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</si>
  <si>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</si>
  <si>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</si>
  <si>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</si>
  <si>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</si>
  <si>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</si>
  <si>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</si>
  <si>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</si>
  <si>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</si>
  <si>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</si>
  <si>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</si>
  <si>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</si>
  <si>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</si>
  <si>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</si>
  <si>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</si>
  <si>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</si>
  <si>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</si>
  <si>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</si>
  <si>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</si>
  <si>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</si>
  <si>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</si>
  <si>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</si>
  <si>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</si>
  <si>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</si>
  <si>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</si>
  <si>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</si>
  <si>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</si>
  <si>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</si>
  <si>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</si>
  <si>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</si>
  <si>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</si>
  <si>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</si>
  <si>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</si>
  <si>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</si>
  <si>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</si>
  <si>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</si>
  <si>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</si>
  <si>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</si>
  <si>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</si>
  <si>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</si>
  <si>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</si>
  <si>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</si>
  <si>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</si>
  <si>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</si>
  <si>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</si>
  <si>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</si>
  <si>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</si>
  <si>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</si>
  <si>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</si>
  <si>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</si>
  <si>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</si>
  <si>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</si>
  <si>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</si>
  <si>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</si>
  <si>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</si>
  <si>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</si>
  <si>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</si>
  <si>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</si>
  <si>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</si>
  <si>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</si>
  <si>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</si>
  <si>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</si>
  <si>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</si>
  <si>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</si>
  <si>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</si>
  <si>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</si>
  <si>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</si>
  <si>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</si>
  <si>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</si>
  <si>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</si>
  <si>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</si>
  <si>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</si>
  <si>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</si>
  <si>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</si>
  <si>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</si>
  <si>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</si>
  <si>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</si>
  <si>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</si>
  <si>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</si>
  <si>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</si>
  <si>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</si>
  <si>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</si>
  <si>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</si>
  <si>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</si>
  <si>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</si>
  <si>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</si>
  <si>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</si>
  <si>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</si>
  <si>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</si>
  <si>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</si>
  <si>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</si>
  <si>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</si>
  <si>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</si>
  <si>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</si>
  <si>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</si>
  <si>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</si>
  <si>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</si>
  <si>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</si>
  <si>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</si>
  <si>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</si>
  <si>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</si>
  <si>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</si>
  <si>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</si>
  <si>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</si>
  <si>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</si>
  <si>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</si>
  <si>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</si>
  <si>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</si>
  <si>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</si>
  <si>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</si>
  <si>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</si>
  <si>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</si>
  <si>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</si>
  <si>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</si>
  <si>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</si>
  <si>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</si>
  <si>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</si>
  <si>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</si>
  <si>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</si>
  <si>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</si>
  <si>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</si>
  <si>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</si>
  <si>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</si>
  <si>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</si>
  <si>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</si>
  <si>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</si>
  <si>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</si>
  <si>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</si>
  <si>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</si>
  <si>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</si>
  <si>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</si>
  <si>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</si>
  <si>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</si>
  <si>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</si>
  <si>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</si>
  <si>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</si>
  <si>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</si>
  <si>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</si>
  <si>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</si>
  <si>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</si>
  <si>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</si>
  <si>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</si>
  <si>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</si>
  <si>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</si>
  <si>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</si>
  <si>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</si>
  <si>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</si>
  <si>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</si>
  <si>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</si>
  <si>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</si>
  <si>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</si>
  <si>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</si>
  <si>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</si>
  <si>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</si>
  <si>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</si>
  <si>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</si>
  <si>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</si>
  <si>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</si>
  <si>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</si>
  <si>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</si>
  <si>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</si>
  <si>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</si>
  <si>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</si>
  <si>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</si>
  <si>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</si>
  <si>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Stan Brading</t>
  </si>
  <si>
    <t>1201 West Peachtree Street, Suite 3250</t>
  </si>
  <si>
    <t xml:space="preserve">Atlanta </t>
  </si>
  <si>
    <t>President</t>
  </si>
  <si>
    <t>Goshen Crossing II</t>
  </si>
  <si>
    <t>Yes- w/Master Plan</t>
  </si>
  <si>
    <t>No</t>
  </si>
  <si>
    <t>121 Goshen Commercial Park Drive</t>
  </si>
  <si>
    <t>Yes</t>
  </si>
  <si>
    <t>Family</t>
  </si>
  <si>
    <t>Quality Housing Foundation I, Inc</t>
  </si>
  <si>
    <t>Quality Housing Development, LLC</t>
  </si>
  <si>
    <t>Effingham Goshen Crossing II, LP</t>
  </si>
  <si>
    <t>Stan  Brading</t>
  </si>
  <si>
    <t>Quality Housing/Goshen Crossing II, Inc</t>
  </si>
  <si>
    <t>Affordable Equity Partners</t>
  </si>
  <si>
    <t>206 Peach Way</t>
  </si>
  <si>
    <t>Brian Kimes</t>
  </si>
  <si>
    <t>Director of Acquisitions</t>
  </si>
  <si>
    <t>bkimes@aepartners.com</t>
  </si>
  <si>
    <t>Great Southern, LLC</t>
  </si>
  <si>
    <t>mike@greatsouthernllc.com</t>
  </si>
  <si>
    <t>Boyd Management Company</t>
  </si>
  <si>
    <t>7700 Trenholm Road Extension</t>
  </si>
  <si>
    <t>Vice President</t>
  </si>
  <si>
    <t>Barbara Jaco</t>
  </si>
  <si>
    <t>babbie.jaco@boydmanagement.com</t>
  </si>
  <si>
    <t>Coleman Talley, LLP</t>
  </si>
  <si>
    <t>910 North Patterson</t>
  </si>
  <si>
    <t>Thompson Kurrie, Jr.</t>
  </si>
  <si>
    <t>Partner</t>
  </si>
  <si>
    <t>tom.kurrie@colemantalley.com</t>
  </si>
  <si>
    <t>Reznick Group, P.C.</t>
  </si>
  <si>
    <t>3560 Lenox Road, Suite 2800</t>
  </si>
  <si>
    <t>R. Hampton Mallis</t>
  </si>
  <si>
    <t>hampton.mallis@reznickgroup.com</t>
  </si>
  <si>
    <t>Martin Riley Associates</t>
  </si>
  <si>
    <t>215 Church Street</t>
  </si>
  <si>
    <t>Mike Riley</t>
  </si>
  <si>
    <t>mriley@martinriley.com</t>
  </si>
  <si>
    <t>For Profit</t>
  </si>
  <si>
    <t>Quality Housing Foundation I, Inc.</t>
  </si>
  <si>
    <t>Agree</t>
  </si>
  <si>
    <t>Social and recreational programs to consist of monthly birthday parties and monthly game nights.  Intent of two different social programs is to foster increased interest in activities by providing residents with variety.  The site manager will plan and coordinate on-site classes on a variety of topics.  The purpose of these classes is to provide an educational and experiential opportunity for the residents as well as promote a healthy, informed, active lifesyle.</t>
  </si>
  <si>
    <t>John Wall &amp; Associates</t>
  </si>
  <si>
    <t>Geotechnical &amp; Environmental Consultants, Inc.</t>
  </si>
  <si>
    <t>None</t>
  </si>
  <si>
    <t>Contract/Option</t>
  </si>
  <si>
    <t>Georgia Power</t>
  </si>
  <si>
    <t>Effingham County</t>
  </si>
  <si>
    <t>Covered Porch</t>
  </si>
  <si>
    <t>On-site laundry</t>
  </si>
  <si>
    <t>Computer Center</t>
  </si>
  <si>
    <t>Fitness Center</t>
  </si>
  <si>
    <t>Qualified without Conditions</t>
  </si>
  <si>
    <t>Application completed.</t>
  </si>
  <si>
    <t>Earth Craft Communities</t>
  </si>
  <si>
    <t>Goshen Crossing</t>
  </si>
  <si>
    <t>Pass</t>
  </si>
  <si>
    <t>Stable Communities &lt; 10%</t>
  </si>
  <si>
    <t>GA 5th</t>
  </si>
  <si>
    <t>quality.housing.goshen@gmail.com</t>
  </si>
  <si>
    <t>Effingham County, GA</t>
  </si>
  <si>
    <t>Dusty Zeigler</t>
  </si>
  <si>
    <t>Chairman At Large</t>
  </si>
  <si>
    <t>601 North Laurel Street</t>
  </si>
  <si>
    <t xml:space="preserve">Goshen Crossing </t>
  </si>
  <si>
    <t>2010-070</t>
  </si>
  <si>
    <t>2010-040</t>
  </si>
  <si>
    <t>Silverwood Place</t>
  </si>
  <si>
    <t>Goshen Crossing II will be the second Phase of Goshen Crossing which will be completed in July 2012.  Goshen Crossing and Goshen Crossing II are Family tenancy.  Silverwood Place is HFOP tenancy.</t>
  </si>
  <si>
    <t>Not Applicable</t>
  </si>
  <si>
    <t>Please see Purchase and Sale Contract in Tab 9</t>
  </si>
  <si>
    <t>Please see zoning letter and zoning ordinance in Tab 11</t>
  </si>
  <si>
    <t>Electrical utilities provided by Georgia Power.  Letter of availability located in Tab 12</t>
  </si>
  <si>
    <t>Letters of availability are located in Tab 12</t>
  </si>
  <si>
    <t>Evidence of Public Meetings (Commission Meetings, etc.) located in Tab 13</t>
  </si>
  <si>
    <t>Goshen Crossing II has a Family Tenancy.</t>
  </si>
  <si>
    <t>Conceptual Site Plan with Labeled Amenities located in Tab 15</t>
  </si>
  <si>
    <t>The legal opinion regarding nonprofit tax-exempt qualification status was written by Coleman Talley, LLP.  The letter is located in Tab 2.</t>
  </si>
  <si>
    <t>Applicant will list Goshen Crossing II when units are receive certificate of occupancy.</t>
  </si>
  <si>
    <t>Not Applicable.</t>
  </si>
  <si>
    <t xml:space="preserve">Desirable/Undesirable certification form, site map of desirable activities, and photographs of desirable activities located in Tab 19.  </t>
  </si>
  <si>
    <t xml:space="preserve">Please see documents from USDA in Tab 2 indicating project is located in rural area.  </t>
  </si>
  <si>
    <t xml:space="preserve">Applicant agrees to forego cancellation option for at least 5 years after close of Compliance Period.  Documentation located in Tab 30. </t>
  </si>
  <si>
    <t>Sterling Bank</t>
  </si>
  <si>
    <t>Amortizing</t>
  </si>
  <si>
    <t>State Boost</t>
  </si>
  <si>
    <t>DCA - Southern Region</t>
  </si>
  <si>
    <t>MF</t>
  </si>
  <si>
    <t>Electric Heat Pump</t>
  </si>
  <si>
    <t>3+ Story</t>
  </si>
  <si>
    <t>Goshen Crossing II Partner, LLC</t>
  </si>
  <si>
    <t>2964 Peachtree Rd NW, Suite 640</t>
  </si>
  <si>
    <t>William J. Rea, Jr.</t>
  </si>
  <si>
    <t>Manager</t>
  </si>
  <si>
    <t>billrea@reaventures.com</t>
  </si>
  <si>
    <t>Rea Ventures Group, LLC</t>
  </si>
  <si>
    <t>The Non-Profit sponsor owns 100% of the stock of the non-profit Managing General Partner and Developer.  The Other GP 1 is a related party to Co-Developer 1.  The Federal LP and the State LP are related parties</t>
  </si>
  <si>
    <t>2009 Springhill Dr.</t>
  </si>
  <si>
    <t>Mike McGlamry</t>
  </si>
  <si>
    <t>Non-profit Points Narrative</t>
  </si>
  <si>
    <t>Please see required non-profit documentation in Tab 2. and Narrative in Tab 30</t>
  </si>
  <si>
    <t>ECC &amp; ECMF Third Party Fees not consultant or Certification above</t>
  </si>
  <si>
    <t>Quality Housing/Rea Ventures</t>
  </si>
  <si>
    <t>General Partners receive .01% of Federal Credits and 0% of State Credits; Federal Syndicator receives 98.99% of Federal Credits and 0% of State Credits; State Syndicator receives 1% of Federal Credits and 100% of State Credits.
New permanent loan from non-related party exceeds 30% of Developer Fee, so Deferred Developer Fee is not necessary to qualify for State Designated Boost.</t>
  </si>
  <si>
    <t>*Real Estate Taxes were calculated from the Tax Estimator tool available on the Effingham Co. Board of Tax Assessors website.  See Tab 8
*Insurance Expense was provided from a quote from C. J. Thomas Company.  See Tab 8</t>
  </si>
  <si>
    <t>Abbington Woods</t>
  </si>
  <si>
    <t>Rea GP Holdings Group, LLC</t>
  </si>
  <si>
    <t>Qualification Determination is requested.  Paul J. Murphy was listed as the 49% Co General Partner and Co Developer in the preapplication.  He has withdrawn from the application and a single purpose entity owned by Rea GP Holdings Group, LLC is the new Co General Partner and Rea Ventures Group, LLC is the new Co Developer.  During the Pre-application process this applicant was listed as Qualified Without Conditions.  So were the Rea entities in Abbington Woods and Abbington Meadows.</t>
  </si>
  <si>
    <t>15 units per month</t>
  </si>
  <si>
    <t>4 months</t>
  </si>
  <si>
    <t>The original 49% Co GP and Co Developer has been replaced since preapplication by two Rea entities.  The Rea entities were deemed qualified without conditions in three other pre-apps.</t>
  </si>
  <si>
    <t>Performance Workbooks were completed and submitted to DCA at pre-app date.  The updated org chart and performance workbooks are located in Tab 3 behind the signed qualification determinations.</t>
  </si>
  <si>
    <t>Quality Housing Foundation I, Inc. is the Non-Profit Sponsor for Goshen Crossing II.  The relationship is not a joint venture agreement, the partnership agreement is included instead.</t>
  </si>
  <si>
    <t xml:space="preserve"> DCA stated at their Feasability Workshop that they would be looking for applications that displayed reasonableness of costs and credits utilized.  We believe this application achieves both of these goals.  We are applying for an annual allocation of $715,066  or $11,918 credits per unit resulting in less DCA resources allocated to develop each unt and  more credits available for other DCA projects. This request is approximately $81K less than the maximum credit amount we could have requested for the same unit mix.  From this perspective of the total development costs, our per unit costs are more than $868K  below DCA's per unit cost limitation.     Our  construction and development budgets are realistic since we based them on recent LIHTC projects we have successfully closed and constructed.  When compared to other similarily sized 2012 applications, the applicant believes Goshen Crossing II shows an Optimal Use of DCA Resources. </t>
  </si>
  <si>
    <t>The site will be accessed through currently paved roads. Executed easements are from Goshen Crossing (first phase) and the owner of Goshen Commercial Park Drive, See Tab 10</t>
  </si>
  <si>
    <t>-Acquisition Land:  The purchase and sale agreement requires the purchaser to pay the real estate commission on the transaction.  As a result the purchase price in the application ($466,400) equals not only the purchase price of $440,000, but also the 6% real estate commission in the amount of $26,400.
-Local Government Fees/Impact Fees:  Effingham Co. includes all Impact Fees in the Water and Sewer Tap Fees.  The only change to the fee schedule since the first phase was built is that the individual meter fees and deposits have been required.  Phase II has the exact same unit mix, as a result the fees included under Local Government Fees are accurately the same as the closing on the first phase plus the County Engineers formula for calculating the new individual metering fees.
-Const. Legal &amp; Perm. Legal:  The applicant has confirmed that they will not be charged any legal fees associated with the construction or permanent financing from the lender.
-State Designated Boost:  Applicant is requesting a State Designated Basis Boost equal to 25%.  The property is applying as a Multifamily Rural project without DCA HOME as a source.   See the narrative included in the appropriate tab in the application.
-Construction Hard Costs:  Determined by experienced contractor, which also just built the first phase of Goshen.</t>
  </si>
  <si>
    <t>PA12-79</t>
  </si>
  <si>
    <t>&lt;65</t>
  </si>
  <si>
    <t>No potential noise contributors identified at site.</t>
  </si>
  <si>
    <t xml:space="preserve">Goshen Crossing II, is the second phase to a master planned development, located in Effingham County.  Phase I, Goshen Crossing (GA10-070) was awarded credits during the 2010 competitive round.  Quality Housing Foundation I, Inc, an IRS 501(c)(3) housing non-profit, is the 100% owner of the General Partner of Phase I, and will be the Owner of the 51% Managing General Partner and a 51% Co-Developer of Phase II.  Goshen Crossing Partner II, LLC, an entity controlled by Rea Ventures Group, LLC, will own the remaining 49% interest in the General Partner and be the 49% Co-Developer of Phase II.  Goshen Crossing II will consist of 60 units of family housing.  Goshen Crossing II will have the same Architect, Syndicator, Management Company and Contractor as Phase I.  Lease up on Phase I is exceeding expectations, with applications exceeding the available units before construction is comlete.  Market study capture rates on Phase II are well below DCA's thresholds.  This project will be qualified under the Nonprofit Set aside and is requesting the three points which DCA may award at their discretion to a project which demonstrates the best chance of success.  The amenities will include a community room, furnished exercise and fitness center, computer center and on-site laundry.  Goshen Crossing II will have the ability to integrate many advances in sustainable development that have evolved recently into new construction for the residents which is an exciting opportunity.  Goshen Crossing II received a sustainable communities waiver (see Tab 4) and will be an Earth Craft Community to achieve a higher level of sustainability.  The location of Goshen Crossing II in Effingham County is designated as a rural community eligible for the Rural Set Aside.  The financing includes LIHTC from DCA.  This combination of funding produces much lower rents which are needed in the rural community such as Effingham County.  The Effingham County Commission is in support of the project as evidenced by a Resolution of Support (see Tab 13).  Goshen Crossing II is also in a Stable Community Census Tract per the 2012 Qualified Allocation Plan with a poverty rate below 10 percent..  </t>
  </si>
  <si>
    <t>Goshen Crossing II is the second phase of Goshen Crossing which was submitted and funded in 2010.  Goshen Crossing was completed in June 2012. See Master Planned Community in Tab 1</t>
  </si>
  <si>
    <t>2012-035</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</si>
</sst>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3" fillId="0" borderId="88">
      <alignment horizontal="left" vertical="center"/>
    </xf>
  </cellStyleXfs>
  <cellXfs count="169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quotePrefix="1"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3">
    <cellStyle name="Comma" xfId="1" builtinId="3"/>
    <cellStyle name="Currency" xfId="2" builtinId="4"/>
    <cellStyle name="Grey" xfId="3"/>
    <cellStyle name="Header1" xfId="4"/>
    <cellStyle name="Header2" xfId="5"/>
    <cellStyle name="Header2 2" xfId="12"/>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2012-035, Goshen Crossing II, Effingham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3554</v>
      </c>
      <c r="B3" s="880"/>
      <c r="C3" s="880"/>
      <c r="D3" s="880"/>
      <c r="E3" s="880"/>
      <c r="F3" s="880"/>
      <c r="G3" s="880"/>
    </row>
    <row r="4" spans="1:9" s="40" customFormat="1" ht="8.25" customHeight="1">
      <c r="A4" s="95"/>
      <c r="B4" s="869" t="s">
        <v>1243</v>
      </c>
      <c r="C4" s="870"/>
      <c r="D4" s="870"/>
      <c r="E4" s="870" t="s">
        <v>3619</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3985</v>
      </c>
      <c r="I8" s="1235"/>
    </row>
    <row r="9" spans="1:9" s="40" customFormat="1" ht="12.6" customHeight="1" thickBot="1">
      <c r="A9" s="101"/>
      <c r="B9" s="789"/>
      <c r="C9" s="390"/>
      <c r="D9" s="390"/>
      <c r="E9" s="391" t="s">
        <v>3942</v>
      </c>
      <c r="F9" s="391"/>
      <c r="G9" s="1234" t="s">
        <v>3985</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3985</v>
      </c>
    </row>
    <row r="12" spans="1:9" s="40" customFormat="1" ht="12.6" customHeight="1">
      <c r="A12" s="386"/>
      <c r="B12" s="1237"/>
      <c r="C12" s="1237"/>
      <c r="D12" s="1237"/>
      <c r="E12" s="1236" t="s">
        <v>3943</v>
      </c>
      <c r="F12" s="395"/>
      <c r="G12" s="1234" t="s">
        <v>2104</v>
      </c>
    </row>
    <row r="13" spans="1:9" s="40" customFormat="1" ht="12.6"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3985</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3985</v>
      </c>
    </row>
    <row r="17" spans="1:7" s="40" customFormat="1" ht="12" customHeight="1">
      <c r="A17" s="101"/>
      <c r="B17" s="239"/>
      <c r="C17" s="789"/>
      <c r="D17" s="391"/>
      <c r="E17" s="391" t="s">
        <v>3930</v>
      </c>
      <c r="F17" s="391"/>
      <c r="G17" s="1234" t="s">
        <v>3985</v>
      </c>
    </row>
    <row r="18" spans="1:7" s="40" customFormat="1" ht="12" customHeight="1">
      <c r="A18" s="101"/>
      <c r="B18" s="239"/>
      <c r="C18" s="789"/>
      <c r="D18" s="391"/>
      <c r="E18" s="391" t="s">
        <v>3970</v>
      </c>
      <c r="F18" s="391"/>
      <c r="G18" s="1234" t="s">
        <v>3985</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3985</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3985</v>
      </c>
    </row>
    <row r="36" spans="1:7" s="40" customFormat="1" ht="12" customHeight="1">
      <c r="A36" s="97"/>
      <c r="B36" s="393"/>
      <c r="C36" s="393"/>
      <c r="D36" s="393"/>
      <c r="E36" s="395" t="s">
        <v>3336</v>
      </c>
      <c r="F36" s="394"/>
      <c r="G36" s="1234" t="s">
        <v>3985</v>
      </c>
    </row>
    <row r="37" spans="1:7" s="40" customFormat="1" ht="12" customHeight="1">
      <c r="A37" s="97"/>
      <c r="B37" s="393"/>
      <c r="C37" s="393"/>
      <c r="D37" s="393"/>
      <c r="E37" s="395" t="s">
        <v>168</v>
      </c>
      <c r="F37" s="394"/>
      <c r="G37" s="1234" t="s">
        <v>3985</v>
      </c>
    </row>
    <row r="38" spans="1:7" s="40" customFormat="1" ht="26.25" customHeight="1">
      <c r="A38" s="97"/>
      <c r="B38" s="393"/>
      <c r="C38" s="393"/>
      <c r="D38" s="393"/>
      <c r="E38" s="882" t="s">
        <v>3697</v>
      </c>
      <c r="F38" s="883"/>
      <c r="G38" s="1234" t="s">
        <v>3985</v>
      </c>
    </row>
    <row r="39" spans="1:7" s="40" customFormat="1" ht="12" customHeight="1">
      <c r="A39" s="101"/>
      <c r="B39" s="239"/>
      <c r="C39" s="391"/>
      <c r="D39" s="391"/>
      <c r="E39" s="395" t="s">
        <v>3275</v>
      </c>
      <c r="F39" s="391"/>
      <c r="G39" s="1234" t="s">
        <v>3985</v>
      </c>
    </row>
    <row r="40" spans="1:7" s="40" customFormat="1" ht="12" customHeight="1">
      <c r="A40" s="101"/>
      <c r="B40" s="239"/>
      <c r="C40" s="391"/>
      <c r="D40" s="391"/>
      <c r="E40" s="395" t="s">
        <v>3635</v>
      </c>
      <c r="F40" s="391"/>
      <c r="G40" s="1234" t="s">
        <v>3985</v>
      </c>
    </row>
    <row r="41" spans="1:7" s="40" customFormat="1" ht="12" customHeight="1">
      <c r="A41" s="97"/>
      <c r="B41" s="393"/>
      <c r="C41" s="393"/>
      <c r="D41" s="393"/>
      <c r="E41" s="395" t="s">
        <v>1782</v>
      </c>
      <c r="F41" s="394"/>
      <c r="G41" s="1234" t="s">
        <v>3985</v>
      </c>
    </row>
    <row r="42" spans="1:7" s="40" customFormat="1" ht="12" customHeight="1">
      <c r="A42" s="97"/>
      <c r="B42" s="393"/>
      <c r="C42" s="393"/>
      <c r="D42" s="393"/>
      <c r="E42" s="395" t="s">
        <v>1781</v>
      </c>
      <c r="F42" s="394"/>
      <c r="G42" s="1234" t="s">
        <v>3985</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82" t="s">
        <v>3698</v>
      </c>
      <c r="F47" s="883"/>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3985</v>
      </c>
    </row>
    <row r="50" spans="1:7" s="40" customFormat="1" ht="13.5">
      <c r="A50" s="386"/>
      <c r="B50" s="406"/>
      <c r="C50" s="1245" t="s">
        <v>3931</v>
      </c>
      <c r="D50" s="391"/>
      <c r="E50" s="882" t="s">
        <v>3969</v>
      </c>
      <c r="F50" s="883"/>
      <c r="G50" s="1234" t="s">
        <v>3983</v>
      </c>
    </row>
    <row r="51" spans="1:7" s="40" customFormat="1" ht="12" customHeight="1">
      <c r="A51" s="101"/>
      <c r="B51" s="239"/>
      <c r="C51" s="789"/>
      <c r="D51" s="391"/>
      <c r="E51" s="391" t="s">
        <v>3260</v>
      </c>
      <c r="F51" s="391"/>
      <c r="G51" s="1234" t="s">
        <v>3985</v>
      </c>
    </row>
    <row r="52" spans="1:7" s="40" customFormat="1" ht="12" customHeight="1">
      <c r="A52" s="101"/>
      <c r="B52" s="239"/>
      <c r="C52" s="789"/>
      <c r="D52" s="391"/>
      <c r="E52" s="391" t="s">
        <v>3918</v>
      </c>
      <c r="F52" s="391"/>
      <c r="G52" s="1234" t="s">
        <v>3985</v>
      </c>
    </row>
    <row r="53" spans="1:7" s="40" customFormat="1" ht="12" customHeight="1">
      <c r="A53" s="101"/>
      <c r="B53" s="239"/>
      <c r="C53" s="391"/>
      <c r="D53" s="391"/>
      <c r="E53" s="395" t="s">
        <v>3201</v>
      </c>
      <c r="F53" s="395"/>
      <c r="G53" s="1234" t="s">
        <v>3985</v>
      </c>
    </row>
    <row r="54" spans="1:7" s="40" customFormat="1" ht="12" customHeight="1">
      <c r="A54" s="101"/>
      <c r="B54" s="239"/>
      <c r="C54" s="391"/>
      <c r="D54" s="391"/>
      <c r="E54" s="882" t="s">
        <v>3920</v>
      </c>
      <c r="F54" s="883"/>
      <c r="G54" s="1234" t="s">
        <v>3985</v>
      </c>
    </row>
    <row r="55" spans="1:7" s="40" customFormat="1" ht="3" customHeight="1">
      <c r="A55" s="97"/>
      <c r="B55" s="393"/>
      <c r="C55" s="393"/>
      <c r="D55" s="393"/>
      <c r="E55" s="393"/>
      <c r="F55" s="394"/>
      <c r="G55" s="311"/>
    </row>
    <row r="56" spans="1:7" s="40" customFormat="1" ht="12" customHeight="1">
      <c r="A56" s="101"/>
      <c r="B56" s="395"/>
      <c r="C56" s="865" t="s">
        <v>3923</v>
      </c>
      <c r="D56" s="865"/>
      <c r="E56" s="395" t="s">
        <v>3288</v>
      </c>
      <c r="F56" s="395"/>
      <c r="G56" s="1234" t="s">
        <v>2104</v>
      </c>
    </row>
    <row r="57" spans="1:7" s="40" customFormat="1" ht="12" customHeight="1">
      <c r="A57" s="101"/>
      <c r="B57" s="395"/>
      <c r="C57" s="865"/>
      <c r="D57" s="865"/>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82" t="s">
        <v>3690</v>
      </c>
      <c r="F61" s="883"/>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82" t="s">
        <v>3693</v>
      </c>
      <c r="F65" s="883"/>
      <c r="G65" s="1234" t="s">
        <v>2104</v>
      </c>
    </row>
    <row r="66" spans="1:7" s="40" customFormat="1" ht="12" customHeight="1">
      <c r="A66" s="101"/>
      <c r="D66" s="391"/>
      <c r="E66" s="881" t="s">
        <v>3694</v>
      </c>
      <c r="F66" s="883"/>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3985</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3985</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3985</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78" t="s">
        <v>1724</v>
      </c>
      <c r="F88" s="879"/>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3985</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3985</v>
      </c>
    </row>
    <row r="109" spans="1:7" s="40" customFormat="1" ht="12" customHeight="1">
      <c r="A109" s="101"/>
      <c r="B109" s="239"/>
      <c r="C109" s="789"/>
      <c r="D109" s="391"/>
      <c r="E109" s="397" t="s">
        <v>3917</v>
      </c>
      <c r="F109" s="397"/>
      <c r="G109" s="1234" t="s">
        <v>3985</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3684</v>
      </c>
      <c r="F112" s="883"/>
      <c r="G112" s="1234" t="s">
        <v>3985</v>
      </c>
    </row>
    <row r="113" spans="1:7" s="40" customFormat="1" ht="12" customHeight="1">
      <c r="A113" s="101"/>
      <c r="B113" s="395"/>
      <c r="C113" s="239"/>
      <c r="D113" s="395"/>
      <c r="E113" s="395" t="s">
        <v>680</v>
      </c>
      <c r="F113" s="401"/>
      <c r="G113" s="1234" t="s">
        <v>3985</v>
      </c>
    </row>
    <row r="114" spans="1:7" s="40" customFormat="1" ht="12" customHeight="1">
      <c r="A114" s="101"/>
      <c r="B114" s="391"/>
      <c r="C114" s="239"/>
      <c r="D114" s="391"/>
      <c r="E114" s="395" t="s">
        <v>3607</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3985</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3985</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3687</v>
      </c>
      <c r="F121" s="882"/>
      <c r="G121" s="1234" t="s">
        <v>3985</v>
      </c>
    </row>
    <row r="122" spans="1:7" s="40" customFormat="1" ht="12" customHeight="1">
      <c r="A122" s="104"/>
      <c r="B122" s="390"/>
      <c r="C122" s="239"/>
      <c r="D122" s="395"/>
      <c r="E122" s="882" t="s">
        <v>3686</v>
      </c>
      <c r="F122" s="883"/>
      <c r="G122" s="1234" t="s">
        <v>3985</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3985</v>
      </c>
    </row>
    <row r="128" spans="1:7" s="40" customFormat="1" ht="12" customHeight="1">
      <c r="A128" s="101"/>
      <c r="B128" s="390"/>
      <c r="C128" s="239"/>
      <c r="D128" s="391"/>
      <c r="E128" s="391" t="s">
        <v>1537</v>
      </c>
      <c r="F128" s="391"/>
      <c r="G128" s="1234" t="s">
        <v>3985</v>
      </c>
    </row>
    <row r="129" spans="1:7" s="40" customFormat="1" ht="12" customHeight="1">
      <c r="A129" s="101"/>
      <c r="B129" s="391"/>
      <c r="C129" s="239"/>
      <c r="D129" s="391"/>
      <c r="E129" s="395" t="s">
        <v>1538</v>
      </c>
      <c r="F129" s="401"/>
      <c r="G129" s="1234" t="s">
        <v>3985</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3985</v>
      </c>
    </row>
    <row r="133" spans="1:7" s="40" customFormat="1" ht="12" customHeight="1">
      <c r="A133" s="101"/>
      <c r="B133" s="884"/>
      <c r="C133" s="885"/>
      <c r="D133" s="885"/>
      <c r="E133" s="395" t="s">
        <v>1785</v>
      </c>
      <c r="F133" s="395"/>
      <c r="G133" s="1234" t="s">
        <v>3985</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81" t="s">
        <v>3935</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3985</v>
      </c>
    </row>
    <row r="140" spans="1:7" s="40" customFormat="1" ht="12" customHeight="1">
      <c r="A140" s="386"/>
      <c r="B140" s="587" t="s">
        <v>3178</v>
      </c>
      <c r="C140" s="404"/>
      <c r="D140" s="391"/>
      <c r="E140" s="392" t="s">
        <v>2373</v>
      </c>
      <c r="F140" s="391"/>
      <c r="G140" s="1234" t="s">
        <v>3985</v>
      </c>
    </row>
    <row r="141" spans="1:7" s="40" customFormat="1" ht="12" customHeight="1">
      <c r="A141" s="101"/>
      <c r="B141" s="239"/>
      <c r="C141" s="391"/>
      <c r="D141" s="391"/>
      <c r="E141" s="391" t="s">
        <v>3092</v>
      </c>
      <c r="F141" s="391"/>
      <c r="G141" s="1234" t="s">
        <v>3985</v>
      </c>
    </row>
    <row r="142" spans="1:7" s="40" customFormat="1" ht="12" customHeight="1">
      <c r="A142" s="101"/>
      <c r="B142" s="391"/>
      <c r="C142" s="391"/>
      <c r="D142" s="391"/>
      <c r="E142" s="391" t="s">
        <v>3608</v>
      </c>
      <c r="F142" s="391"/>
      <c r="G142" s="1234" t="s">
        <v>3985</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3401</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3334</v>
      </c>
      <c r="F150" s="401"/>
      <c r="G150" s="1234" t="s">
        <v>2104</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3985</v>
      </c>
    </row>
    <row r="170" spans="1:7" s="40" customFormat="1" ht="12" customHeight="1">
      <c r="A170" s="101"/>
      <c r="B170" s="239"/>
      <c r="C170" s="789"/>
      <c r="D170" s="1236"/>
      <c r="E170" s="881" t="s">
        <v>807</v>
      </c>
      <c r="F170" s="883"/>
      <c r="G170" s="1234" t="s">
        <v>3985</v>
      </c>
    </row>
    <row r="171" spans="1:7" s="40" customFormat="1" ht="12" customHeight="1">
      <c r="A171" s="101"/>
      <c r="B171" s="400"/>
      <c r="C171" s="1236"/>
      <c r="D171" s="1236"/>
      <c r="E171" s="397" t="s">
        <v>36</v>
      </c>
      <c r="F171" s="391"/>
      <c r="G171" s="1234" t="s">
        <v>3985</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3700</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3910</v>
      </c>
      <c r="F175" s="883"/>
      <c r="G175" s="1234" t="s">
        <v>2104</v>
      </c>
    </row>
    <row r="176" spans="1:7" s="40" customFormat="1" ht="11.25" customHeight="1">
      <c r="A176" s="386"/>
      <c r="B176" s="1257"/>
      <c r="C176" s="239"/>
      <c r="D176" s="1237"/>
      <c r="E176" s="881" t="s">
        <v>590</v>
      </c>
      <c r="F176" s="883"/>
      <c r="G176" s="1234" t="s">
        <v>2104</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3661</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3675</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81" t="s">
        <v>3912</v>
      </c>
      <c r="F189" s="883"/>
      <c r="G189" s="1234" t="s">
        <v>3985</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81" t="s">
        <v>3913</v>
      </c>
      <c r="F191" s="1112"/>
      <c r="G191" s="1234" t="s">
        <v>3985</v>
      </c>
    </row>
    <row r="192" spans="1:7" s="40" customFormat="1" ht="12" customHeight="1">
      <c r="A192" s="388"/>
      <c r="B192" s="1258"/>
      <c r="C192" s="1237"/>
      <c r="D192" s="1237"/>
      <c r="E192" s="881" t="s">
        <v>3677</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3985</v>
      </c>
    </row>
    <row r="195" spans="1:7" s="40" customFormat="1" ht="26.25" customHeight="1">
      <c r="A195" s="101"/>
      <c r="B195" s="1237"/>
      <c r="C195" s="239"/>
      <c r="D195" s="1237"/>
      <c r="E195" s="1260" t="s">
        <v>3911</v>
      </c>
      <c r="F195" s="1261"/>
      <c r="G195" s="1234" t="s">
        <v>3985</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3985</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1"/>
      <c r="G227" s="1234" t="s">
        <v>2104</v>
      </c>
    </row>
    <row r="228" spans="1:7" s="40" customFormat="1" ht="26.25" customHeight="1">
      <c r="A228" s="388"/>
      <c r="B228" s="239"/>
      <c r="C228" s="239"/>
      <c r="D228" s="1237"/>
      <c r="E228" s="881" t="s">
        <v>3683</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4078</v>
      </c>
      <c r="F230" s="1271"/>
      <c r="G230" s="1234" t="s">
        <v>3985</v>
      </c>
    </row>
    <row r="231" spans="1:7" s="40" customFormat="1" ht="12.6" customHeight="1">
      <c r="A231" s="101"/>
      <c r="C231" s="1272" t="s">
        <v>946</v>
      </c>
      <c r="D231" s="1112"/>
      <c r="E231" s="1273"/>
      <c r="F231" s="1273"/>
      <c r="G231" s="1274"/>
    </row>
    <row r="232" spans="1:7" s="40" customFormat="1" ht="12.6" customHeight="1">
      <c r="A232" s="101"/>
      <c r="C232" s="1272"/>
      <c r="D232" s="1112"/>
      <c r="E232" s="1273"/>
      <c r="F232" s="1273"/>
      <c r="G232" s="1274"/>
    </row>
    <row r="233" spans="1:7" s="40" customFormat="1" ht="12.6" customHeight="1">
      <c r="A233" s="101"/>
      <c r="C233" s="1272"/>
      <c r="D233" s="1112"/>
      <c r="E233" s="1273"/>
      <c r="F233" s="1273"/>
      <c r="G233" s="1274"/>
    </row>
    <row r="234" spans="1:7" s="40" customFormat="1" ht="12.6" customHeight="1">
      <c r="A234" s="101"/>
      <c r="C234" s="1272"/>
      <c r="D234" s="1112"/>
      <c r="E234" s="1273"/>
      <c r="F234" s="1273"/>
      <c r="G234" s="1274"/>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3985</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3611</v>
      </c>
      <c r="F241" s="957"/>
      <c r="G241" s="1234" t="s">
        <v>3985</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2012-035 Goshen Crossing II, Rincon, Effingham County</v>
      </c>
      <c r="B1" s="1002"/>
      <c r="C1" s="1002"/>
      <c r="D1" s="1002"/>
      <c r="E1" s="1002"/>
      <c r="F1" s="1002"/>
      <c r="G1" s="1002"/>
      <c r="H1" s="1002"/>
      <c r="I1" s="1002"/>
      <c r="J1" s="1002"/>
      <c r="K1" s="1002"/>
      <c r="L1" s="1002"/>
      <c r="M1" s="1002"/>
      <c r="N1" s="1002"/>
      <c r="O1" s="1002"/>
      <c r="P1" s="1003"/>
      <c r="T1" s="1081" t="str">
        <f>A1</f>
        <v>PART SIX - PROJECTED REVENUES &amp; EXPENSES  -  2012-035 Goshen Crossing II, Rincon, Effingham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3230</v>
      </c>
      <c r="AC4" s="1084" t="s">
        <v>3231</v>
      </c>
      <c r="AD4" s="1084" t="s">
        <v>3232</v>
      </c>
      <c r="AE4" s="1084" t="s">
        <v>3233</v>
      </c>
      <c r="AF4" s="1084" t="s">
        <v>1414</v>
      </c>
      <c r="AG4" s="1084" t="s">
        <v>3234</v>
      </c>
      <c r="AH4" s="1084" t="s">
        <v>3235</v>
      </c>
      <c r="AI4" s="1084" t="s">
        <v>3236</v>
      </c>
      <c r="AJ4" s="1084" t="s">
        <v>3237</v>
      </c>
      <c r="AK4" s="1084" t="s">
        <v>140</v>
      </c>
      <c r="AL4" s="1084" t="s">
        <v>3238</v>
      </c>
      <c r="AM4" s="1084" t="s">
        <v>3239</v>
      </c>
      <c r="AN4" s="1084" t="s">
        <v>3240</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3414</v>
      </c>
      <c r="BU4" s="1084" t="s">
        <v>3415</v>
      </c>
      <c r="BV4" s="1084" t="s">
        <v>3416</v>
      </c>
      <c r="BW4" s="1084" t="s">
        <v>3417</v>
      </c>
      <c r="BX4" s="1084" t="s">
        <v>3418</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3413</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3109</v>
      </c>
      <c r="EM4" s="1083" t="s">
        <v>3110</v>
      </c>
      <c r="EN4" s="1083" t="s">
        <v>3111</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3538</v>
      </c>
      <c r="GQ4" s="1083" t="s">
        <v>3539</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2"/>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3"/>
      <c r="J6" s="851" t="s">
        <v>3386</v>
      </c>
      <c r="N6" s="1087" t="str">
        <f>'Part I-Project Information'!$J$26</f>
        <v>Savannah</v>
      </c>
      <c r="O6" s="1087"/>
      <c r="P6" s="672">
        <f>VLOOKUP('Part I-Project Information'!$J$26,'DCA Underwriting Assumptions'!$C$84:$D$194,2)</f>
        <v>33900</v>
      </c>
      <c r="Q6" s="769"/>
      <c r="R6" s="1089" t="s">
        <v>3975</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3387</v>
      </c>
      <c r="K7" s="2"/>
      <c r="L7" s="2"/>
      <c r="M7" s="2"/>
      <c r="N7" s="37"/>
      <c r="O7" s="37"/>
      <c r="P7" s="817"/>
      <c r="Q7" s="817"/>
      <c r="R7" s="818"/>
      <c r="S7" s="819" t="s">
        <v>3972</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3362</v>
      </c>
      <c r="H8" s="851" t="s">
        <v>3360</v>
      </c>
      <c r="I8" s="851" t="s">
        <v>1284</v>
      </c>
      <c r="J8" s="851" t="s">
        <v>3388</v>
      </c>
      <c r="K8" s="1085" t="s">
        <v>170</v>
      </c>
      <c r="L8" s="1085"/>
      <c r="M8" s="851" t="s">
        <v>3333</v>
      </c>
      <c r="N8" s="851" t="s">
        <v>768</v>
      </c>
      <c r="O8" s="851" t="s">
        <v>457</v>
      </c>
      <c r="P8" s="1088" t="s">
        <v>1551</v>
      </c>
      <c r="Q8" s="1088"/>
      <c r="R8" s="852" t="s">
        <v>3971</v>
      </c>
      <c r="S8" s="852" t="s">
        <v>3973</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3424</v>
      </c>
      <c r="EX8" s="776" t="s">
        <v>3425</v>
      </c>
      <c r="EY8" s="776" t="s">
        <v>3426</v>
      </c>
      <c r="EZ8" s="776" t="s">
        <v>3427</v>
      </c>
      <c r="FA8" s="1083" t="s">
        <v>3504</v>
      </c>
      <c r="FB8" s="1083" t="s">
        <v>3504</v>
      </c>
      <c r="FC8" s="1083" t="s">
        <v>3504</v>
      </c>
      <c r="FD8" s="1083" t="s">
        <v>3504</v>
      </c>
      <c r="FE8" s="1083" t="s">
        <v>3504</v>
      </c>
      <c r="FF8" s="776" t="s">
        <v>673</v>
      </c>
      <c r="FG8" s="776" t="s">
        <v>3424</v>
      </c>
      <c r="FH8" s="776" t="s">
        <v>3425</v>
      </c>
      <c r="FI8" s="776" t="s">
        <v>3426</v>
      </c>
      <c r="FJ8" s="776" t="s">
        <v>3427</v>
      </c>
      <c r="FK8" s="1083" t="s">
        <v>3506</v>
      </c>
      <c r="FL8" s="1083" t="s">
        <v>3506</v>
      </c>
      <c r="FM8" s="1083" t="s">
        <v>3506</v>
      </c>
      <c r="FN8" s="1083" t="s">
        <v>3506</v>
      </c>
      <c r="FO8" s="1083" t="s">
        <v>3506</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3361</v>
      </c>
      <c r="I9" s="851" t="s">
        <v>1285</v>
      </c>
      <c r="J9" s="758" t="s">
        <v>422</v>
      </c>
      <c r="K9" s="851" t="s">
        <v>2131</v>
      </c>
      <c r="L9" s="851" t="s">
        <v>775</v>
      </c>
      <c r="M9" s="851" t="s">
        <v>2068</v>
      </c>
      <c r="N9" s="851" t="s">
        <v>1863</v>
      </c>
      <c r="O9" s="851" t="s">
        <v>458</v>
      </c>
      <c r="P9" s="852" t="s">
        <v>1549</v>
      </c>
      <c r="Q9" s="852" t="s">
        <v>1550</v>
      </c>
      <c r="R9" s="852" t="s">
        <v>2070</v>
      </c>
      <c r="S9" s="852" t="s">
        <v>3974</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3503</v>
      </c>
      <c r="EX9" s="776" t="s">
        <v>3503</v>
      </c>
      <c r="EY9" s="776" t="s">
        <v>3503</v>
      </c>
      <c r="EZ9" s="776" t="s">
        <v>3503</v>
      </c>
      <c r="FA9" s="1083"/>
      <c r="FB9" s="1083"/>
      <c r="FC9" s="1083"/>
      <c r="FD9" s="1083"/>
      <c r="FE9" s="1083"/>
      <c r="FF9" s="776" t="s">
        <v>3505</v>
      </c>
      <c r="FG9" s="776" t="s">
        <v>3505</v>
      </c>
      <c r="FH9" s="776" t="s">
        <v>3505</v>
      </c>
      <c r="FI9" s="776" t="s">
        <v>3505</v>
      </c>
      <c r="FJ9" s="776" t="s">
        <v>3505</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2</v>
      </c>
      <c r="F10" s="1517">
        <v>770</v>
      </c>
      <c r="G10" s="1517">
        <v>562</v>
      </c>
      <c r="H10" s="1517">
        <f>420+I10</f>
        <v>562</v>
      </c>
      <c r="I10" s="1517">
        <v>142</v>
      </c>
      <c r="J10" s="1518"/>
      <c r="K10" s="224">
        <f>MAX(0,H10-I10)</f>
        <v>420</v>
      </c>
      <c r="L10" s="224">
        <f t="shared" ref="L10:L47" si="0">MAX(0,E10*K10)</f>
        <v>840</v>
      </c>
      <c r="M10" s="1519" t="s">
        <v>3983</v>
      </c>
      <c r="N10" s="1519" t="s">
        <v>4068</v>
      </c>
      <c r="O10" s="1519" t="s">
        <v>3213</v>
      </c>
      <c r="P10" s="673">
        <f>IF(H10="","",H10*12/0.3)</f>
        <v>22480</v>
      </c>
      <c r="Q10" s="674">
        <f>IF(H10="","",P10/($P$6*VLOOKUP(C10,'DCA Underwriting Assumptions'!$J$84:$K$89,2,FALSE)))</f>
        <v>0.88416912487708943</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2</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1540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2</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2</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2</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127</v>
      </c>
      <c r="C11" s="1521">
        <v>2</v>
      </c>
      <c r="D11" s="1522">
        <v>2</v>
      </c>
      <c r="E11" s="1523">
        <v>6</v>
      </c>
      <c r="F11" s="1523">
        <v>1150</v>
      </c>
      <c r="G11" s="1523">
        <v>675</v>
      </c>
      <c r="H11" s="1523">
        <f>495+I11</f>
        <v>675</v>
      </c>
      <c r="I11" s="1523">
        <v>180</v>
      </c>
      <c r="J11" s="1524"/>
      <c r="K11" s="225">
        <f t="shared" ref="K11:K27" si="172">MAX(0,H11-I11)</f>
        <v>495</v>
      </c>
      <c r="L11" s="225">
        <f t="shared" si="0"/>
        <v>2970</v>
      </c>
      <c r="M11" s="1525" t="s">
        <v>3983</v>
      </c>
      <c r="N11" s="1525" t="s">
        <v>4068</v>
      </c>
      <c r="O11" s="1525" t="s">
        <v>3213</v>
      </c>
      <c r="P11" s="673">
        <f>IF(H11="","",H11*12/0.3)</f>
        <v>27000</v>
      </c>
      <c r="Q11" s="674">
        <f>IF(H11="","",P11/($P$6*VLOOKUP(C11,'DCA Underwriting Assumptions'!$J$84:$K$89,2,FALSE)))</f>
        <v>0.88495575221238942</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f t="shared" si="8"/>
        <v>6</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6900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6</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6</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6</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127</v>
      </c>
      <c r="C12" s="1521">
        <v>3</v>
      </c>
      <c r="D12" s="1522">
        <v>2</v>
      </c>
      <c r="E12" s="1523">
        <v>2</v>
      </c>
      <c r="F12" s="1523">
        <v>1250</v>
      </c>
      <c r="G12" s="1523">
        <v>780</v>
      </c>
      <c r="H12" s="1523">
        <f>561+I12</f>
        <v>780</v>
      </c>
      <c r="I12" s="1523">
        <v>219</v>
      </c>
      <c r="J12" s="1524"/>
      <c r="K12" s="225">
        <f t="shared" si="172"/>
        <v>561</v>
      </c>
      <c r="L12" s="225">
        <f t="shared" si="0"/>
        <v>1122</v>
      </c>
      <c r="M12" s="1525" t="s">
        <v>3983</v>
      </c>
      <c r="N12" s="1525" t="s">
        <v>4068</v>
      </c>
      <c r="O12" s="1525" t="s">
        <v>3213</v>
      </c>
      <c r="P12" s="673">
        <f>IF(H12="","",H12*12/0.3)</f>
        <v>31200</v>
      </c>
      <c r="Q12" s="674">
        <f>IF(H12="","",P12/($P$6*VLOOKUP(C12,'DCA Underwriting Assumptions'!$J$84:$K$89,2,FALSE)))</f>
        <v>0.88495575221238942</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2</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2500</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2</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f t="shared" si="104"/>
        <v>2</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f t="shared" si="144"/>
        <v>2</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1670</v>
      </c>
      <c r="C13" s="1521">
        <v>1</v>
      </c>
      <c r="D13" s="1522">
        <v>1</v>
      </c>
      <c r="E13" s="1523">
        <v>10</v>
      </c>
      <c r="F13" s="1523">
        <v>770</v>
      </c>
      <c r="G13" s="1523">
        <v>675</v>
      </c>
      <c r="H13" s="1523">
        <f>455+I13</f>
        <v>597</v>
      </c>
      <c r="I13" s="1523">
        <v>142</v>
      </c>
      <c r="J13" s="1524"/>
      <c r="K13" s="225">
        <f t="shared" si="172"/>
        <v>455</v>
      </c>
      <c r="L13" s="225">
        <f t="shared" si="0"/>
        <v>4550</v>
      </c>
      <c r="M13" s="1525" t="s">
        <v>3983</v>
      </c>
      <c r="N13" s="1525" t="s">
        <v>4068</v>
      </c>
      <c r="O13" s="1525" t="s">
        <v>3213</v>
      </c>
      <c r="P13" s="673">
        <f>IF(H13="","",H13*12/0.3)</f>
        <v>23880</v>
      </c>
      <c r="Q13" s="674">
        <f>IF(H13="","",P13/($P$6*VLOOKUP(C13,'DCA Underwriting Assumptions'!$J$84:$K$89,2,FALSE)))</f>
        <v>0.93923303834808258</v>
      </c>
      <c r="R13" s="820"/>
      <c r="S13" s="674"/>
      <c r="T13" s="1462"/>
      <c r="U13" s="1463"/>
      <c r="V13" s="757" t="str">
        <f t="shared" si="1"/>
        <v/>
      </c>
      <c r="W13" s="757">
        <f t="shared" si="2"/>
        <v>10</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7700</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10</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10</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f t="shared" si="142"/>
        <v>10</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1670</v>
      </c>
      <c r="C14" s="1521">
        <v>2</v>
      </c>
      <c r="D14" s="1522">
        <v>2</v>
      </c>
      <c r="E14" s="1523">
        <v>30</v>
      </c>
      <c r="F14" s="1523">
        <v>1150</v>
      </c>
      <c r="G14" s="1523">
        <v>810</v>
      </c>
      <c r="H14" s="1523">
        <f>520+I14</f>
        <v>700</v>
      </c>
      <c r="I14" s="1523">
        <v>180</v>
      </c>
      <c r="J14" s="1524"/>
      <c r="K14" s="225">
        <f t="shared" si="172"/>
        <v>520</v>
      </c>
      <c r="L14" s="225">
        <f t="shared" si="0"/>
        <v>15600</v>
      </c>
      <c r="M14" s="1525" t="s">
        <v>3983</v>
      </c>
      <c r="N14" s="1525" t="s">
        <v>4068</v>
      </c>
      <c r="O14" s="1525" t="s">
        <v>3213</v>
      </c>
      <c r="P14" s="673">
        <f>IF(H14="","",H14*12/0.3)</f>
        <v>28000</v>
      </c>
      <c r="Q14" s="674">
        <f>IF(H14="","",P14/($P$6*VLOOKUP(C14,'DCA Underwriting Assumptions'!$J$84:$K$89,2,FALSE)))</f>
        <v>0.91773189118321863</v>
      </c>
      <c r="R14" s="820"/>
      <c r="S14" s="674"/>
      <c r="T14" s="1462"/>
      <c r="U14" s="1463"/>
      <c r="V14" s="757" t="str">
        <f t="shared" si="1"/>
        <v/>
      </c>
      <c r="W14" s="757" t="str">
        <f t="shared" si="2"/>
        <v/>
      </c>
      <c r="X14" s="757">
        <f t="shared" si="3"/>
        <v>30</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34500</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30</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30</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30</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1670</v>
      </c>
      <c r="C15" s="1521">
        <v>3</v>
      </c>
      <c r="D15" s="1522">
        <v>2</v>
      </c>
      <c r="E15" s="1523">
        <v>10</v>
      </c>
      <c r="F15" s="1523">
        <v>1250</v>
      </c>
      <c r="G15" s="1523">
        <v>936</v>
      </c>
      <c r="H15" s="1523">
        <f>605+I15</f>
        <v>824</v>
      </c>
      <c r="I15" s="1523">
        <v>219</v>
      </c>
      <c r="J15" s="1524"/>
      <c r="K15" s="225">
        <f t="shared" si="172"/>
        <v>605</v>
      </c>
      <c r="L15" s="225">
        <f t="shared" si="0"/>
        <v>6050</v>
      </c>
      <c r="M15" s="1525" t="s">
        <v>3983</v>
      </c>
      <c r="N15" s="1525" t="s">
        <v>4068</v>
      </c>
      <c r="O15" s="1525" t="s">
        <v>3213</v>
      </c>
      <c r="P15" s="673">
        <f t="shared" ref="P15:P47" si="203">IF(H15="","",H15*12/0.3)</f>
        <v>32960</v>
      </c>
      <c r="Q15" s="674">
        <f>IF(H15="","",P15/($P$6*VLOOKUP(C15,'DCA Underwriting Assumptions'!$J$84:$K$89,2,FALSE)))</f>
        <v>0.9348763331064216</v>
      </c>
      <c r="R15" s="820"/>
      <c r="S15" s="674"/>
      <c r="T15" s="1462"/>
      <c r="U15" s="1463"/>
      <c r="V15" s="757" t="str">
        <f t="shared" si="1"/>
        <v/>
      </c>
      <c r="W15" s="757" t="str">
        <f t="shared" si="2"/>
        <v/>
      </c>
      <c r="X15" s="757" t="str">
        <f t="shared" si="3"/>
        <v/>
      </c>
      <c r="Y15" s="757">
        <f t="shared" si="4"/>
        <v>10</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12500</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10</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10</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f t="shared" si="144"/>
        <v>10</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2626</v>
      </c>
      <c r="C16" s="1521"/>
      <c r="D16" s="1522"/>
      <c r="E16" s="1523"/>
      <c r="F16" s="1523"/>
      <c r="G16" s="1523"/>
      <c r="H16" s="1523"/>
      <c r="I16" s="1523"/>
      <c r="J16" s="1524"/>
      <c r="K16" s="225">
        <f t="shared" si="172"/>
        <v>0</v>
      </c>
      <c r="L16" s="225">
        <f t="shared" si="0"/>
        <v>0</v>
      </c>
      <c r="M16" s="1525"/>
      <c r="N16" s="1525"/>
      <c r="O16" s="1525"/>
      <c r="P16" s="673" t="str">
        <f t="shared" si="203"/>
        <v/>
      </c>
      <c r="Q16" s="674" t="str">
        <f>IF(H16="","",P16/($P$6*VLOOKUP(C16,'DCA Underwriting Assumptions'!$J$84:$K$89,2,FALSE)))</f>
        <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2626</v>
      </c>
      <c r="C17" s="1521"/>
      <c r="D17" s="1522"/>
      <c r="E17" s="1523"/>
      <c r="F17" s="1523"/>
      <c r="G17" s="1523"/>
      <c r="H17" s="1523"/>
      <c r="I17" s="1523"/>
      <c r="J17" s="1524"/>
      <c r="K17" s="225">
        <f t="shared" si="172"/>
        <v>0</v>
      </c>
      <c r="L17" s="225">
        <f t="shared" si="0"/>
        <v>0</v>
      </c>
      <c r="M17" s="1525"/>
      <c r="N17" s="1525"/>
      <c r="O17" s="1525"/>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2626</v>
      </c>
      <c r="C18" s="1521"/>
      <c r="D18" s="1522"/>
      <c r="E18" s="1523"/>
      <c r="F18" s="1523"/>
      <c r="G18" s="1523"/>
      <c r="H18" s="1523"/>
      <c r="I18" s="1523"/>
      <c r="J18" s="1524"/>
      <c r="K18" s="225">
        <f t="shared" si="172"/>
        <v>0</v>
      </c>
      <c r="L18" s="225">
        <f t="shared" si="0"/>
        <v>0</v>
      </c>
      <c r="M18" s="1525"/>
      <c r="N18" s="1525"/>
      <c r="O18" s="1525"/>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2626</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2626</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2626</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2626</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60</v>
      </c>
      <c r="F48" s="172">
        <f>(E10*F10+E11*F11+E12*F12+E13*F13+E14*F14+E15*F15+E16*F16+E17*F17+E18*F18+E19*F19+E20*F20+E21*F21+E22*F22+E23*F23+E24*F24+E25*F25+E26*F26+E27*F27+E28*F28+E29*F29+E30*F30+E31*F31+E32*F32+E33*F33+E34*F34+E35*F35+E36*F36+E37*F37+E38*F38+E39*F39+E40*F40+E41*F41+E42*F42+E43*F43+E44*F44+E45*F45+E46*F46+E47*F47)</f>
        <v>65640</v>
      </c>
      <c r="G48" s="163"/>
      <c r="H48" s="164"/>
      <c r="I48" s="164"/>
      <c r="J48" s="164"/>
      <c r="K48" s="15" t="s">
        <v>1869</v>
      </c>
      <c r="L48" s="170">
        <f>SUM(L10:L47)</f>
        <v>31132</v>
      </c>
      <c r="M48" s="2"/>
      <c r="N48" s="40"/>
      <c r="O48" s="2"/>
      <c r="P48" s="676"/>
      <c r="Q48" s="676"/>
      <c r="R48" s="676"/>
      <c r="S48" s="676"/>
      <c r="T48" s="675"/>
      <c r="U48" s="677"/>
      <c r="V48" s="779">
        <f t="shared" ref="V48:CK48" si="206">SUM(V10:V47)</f>
        <v>0</v>
      </c>
      <c r="W48" s="779">
        <f t="shared" si="206"/>
        <v>10</v>
      </c>
      <c r="X48" s="779">
        <f t="shared" si="206"/>
        <v>30</v>
      </c>
      <c r="Y48" s="779">
        <f t="shared" si="206"/>
        <v>10</v>
      </c>
      <c r="Z48" s="779">
        <f t="shared" si="206"/>
        <v>0</v>
      </c>
      <c r="AA48" s="779">
        <f t="shared" si="206"/>
        <v>0</v>
      </c>
      <c r="AB48" s="779">
        <f t="shared" si="206"/>
        <v>2</v>
      </c>
      <c r="AC48" s="779">
        <f t="shared" si="206"/>
        <v>6</v>
      </c>
      <c r="AD48" s="779">
        <f t="shared" si="206"/>
        <v>2</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7700</v>
      </c>
      <c r="CA48" s="779">
        <f t="shared" si="206"/>
        <v>34500</v>
      </c>
      <c r="CB48" s="779">
        <f t="shared" si="206"/>
        <v>12500</v>
      </c>
      <c r="CC48" s="779">
        <f t="shared" si="206"/>
        <v>0</v>
      </c>
      <c r="CD48" s="779">
        <f t="shared" si="206"/>
        <v>0</v>
      </c>
      <c r="CE48" s="779">
        <f t="shared" si="206"/>
        <v>1540</v>
      </c>
      <c r="CF48" s="779">
        <f t="shared" si="206"/>
        <v>6900</v>
      </c>
      <c r="CG48" s="779">
        <f t="shared" si="206"/>
        <v>2500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12</v>
      </c>
      <c r="DE48" s="779">
        <f t="shared" si="208"/>
        <v>36</v>
      </c>
      <c r="DF48" s="779">
        <f t="shared" si="208"/>
        <v>12</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12</v>
      </c>
      <c r="EX48" s="779">
        <f t="shared" si="209"/>
        <v>36</v>
      </c>
      <c r="EY48" s="779">
        <f t="shared" si="209"/>
        <v>12</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12</v>
      </c>
      <c r="GL48" s="779">
        <f t="shared" si="209"/>
        <v>36</v>
      </c>
      <c r="GM48" s="779">
        <f t="shared" si="209"/>
        <v>12</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373584</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3671</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10</v>
      </c>
      <c r="J56" s="380">
        <f>X48</f>
        <v>30</v>
      </c>
      <c r="K56" s="380">
        <f>Y48</f>
        <v>10</v>
      </c>
      <c r="L56" s="380">
        <f>Z48</f>
        <v>0</v>
      </c>
      <c r="M56" s="380">
        <f t="shared" ref="M56:M62" si="211">SUM(H56:L56)</f>
        <v>50</v>
      </c>
      <c r="N56" s="1095" t="s">
        <v>1382</v>
      </c>
      <c r="O56" s="1096"/>
      <c r="P56" s="850"/>
      <c r="Q56" s="643">
        <f t="shared" ref="Q56:Q62" si="212">ABS(M56-AF56)</f>
        <v>50</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2</v>
      </c>
      <c r="J57" s="381">
        <f>AC48</f>
        <v>6</v>
      </c>
      <c r="K57" s="381">
        <f>AD48</f>
        <v>2</v>
      </c>
      <c r="L57" s="381">
        <f>AE48</f>
        <v>0</v>
      </c>
      <c r="M57" s="381">
        <f t="shared" si="211"/>
        <v>10</v>
      </c>
      <c r="N57" s="1095"/>
      <c r="O57" s="1096"/>
      <c r="P57" s="850"/>
      <c r="Q57" s="643">
        <f t="shared" si="212"/>
        <v>10</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12</v>
      </c>
      <c r="J58" s="382">
        <f>SUM(J56:J57)</f>
        <v>36</v>
      </c>
      <c r="K58" s="382">
        <f>SUM(K56:K57)</f>
        <v>12</v>
      </c>
      <c r="L58" s="382">
        <f>SUM(L56:L57)</f>
        <v>0</v>
      </c>
      <c r="M58" s="382">
        <f t="shared" si="211"/>
        <v>60</v>
      </c>
      <c r="N58" s="385"/>
      <c r="O58" s="110"/>
      <c r="Q58" s="643">
        <f t="shared" si="212"/>
        <v>60</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12</v>
      </c>
      <c r="J60" s="382">
        <f>SUM(J58:J59)</f>
        <v>36</v>
      </c>
      <c r="K60" s="382">
        <f>SUM(K58:K59)</f>
        <v>12</v>
      </c>
      <c r="L60" s="382">
        <f>SUM(L58:L59)</f>
        <v>0</v>
      </c>
      <c r="M60" s="382">
        <f t="shared" si="211"/>
        <v>60</v>
      </c>
      <c r="N60" s="65"/>
      <c r="O60" s="110"/>
      <c r="Q60" s="643">
        <f t="shared" si="212"/>
        <v>60</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0"/>
      <c r="B61" s="1090"/>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12</v>
      </c>
      <c r="J62" s="382">
        <f>SUM(J60:J61)</f>
        <v>36</v>
      </c>
      <c r="K62" s="382">
        <f>SUM(K60:K61)</f>
        <v>12</v>
      </c>
      <c r="L62" s="382">
        <f>SUM(L60:L61)</f>
        <v>0</v>
      </c>
      <c r="M62" s="382">
        <f t="shared" si="211"/>
        <v>60</v>
      </c>
      <c r="O62" s="110"/>
      <c r="Q62" s="643">
        <f t="shared" si="212"/>
        <v>60</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0"/>
      <c r="B65" s="1090"/>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0"/>
      <c r="B69" s="1090"/>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3213</v>
      </c>
      <c r="F72" s="2"/>
      <c r="G72" s="44" t="s">
        <v>2014</v>
      </c>
      <c r="H72" s="380">
        <f>DC48</f>
        <v>0</v>
      </c>
      <c r="I72" s="380">
        <f>DD48</f>
        <v>12</v>
      </c>
      <c r="J72" s="380">
        <f>DE48</f>
        <v>36</v>
      </c>
      <c r="K72" s="380">
        <f>DF48</f>
        <v>12</v>
      </c>
      <c r="L72" s="380">
        <f>DG48</f>
        <v>0</v>
      </c>
      <c r="M72" s="380">
        <f t="shared" ref="M72:M82" si="213">SUM(H72:L72)</f>
        <v>60</v>
      </c>
      <c r="N72" s="31"/>
      <c r="O72" s="110"/>
      <c r="Q72" s="643">
        <f t="shared" ref="Q72:Q80" si="214">ABS(M72-AF72)</f>
        <v>60</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12</v>
      </c>
      <c r="J74" s="382">
        <f>SUM(J72:J73)+DO48</f>
        <v>36</v>
      </c>
      <c r="K74" s="382">
        <f>SUM(K72:K73)+DP48</f>
        <v>12</v>
      </c>
      <c r="L74" s="382">
        <f>SUM(L72:L73)+DQ48</f>
        <v>0</v>
      </c>
      <c r="M74" s="382">
        <f t="shared" si="213"/>
        <v>60</v>
      </c>
      <c r="N74" s="62"/>
      <c r="O74" s="110"/>
      <c r="Q74" s="643">
        <f t="shared" si="214"/>
        <v>60</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12</v>
      </c>
      <c r="J84" s="380">
        <f t="shared" si="215"/>
        <v>36</v>
      </c>
      <c r="K84" s="380">
        <f t="shared" si="215"/>
        <v>12</v>
      </c>
      <c r="L84" s="380">
        <f t="shared" si="215"/>
        <v>0</v>
      </c>
      <c r="M84" s="380">
        <f>SUM(H84:L84)</f>
        <v>60</v>
      </c>
      <c r="N84" s="31"/>
      <c r="O84" s="110"/>
      <c r="Q84" s="643">
        <f>ABS(M84-AF84)</f>
        <v>60</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12</v>
      </c>
      <c r="J88" s="383">
        <f t="shared" si="220"/>
        <v>36</v>
      </c>
      <c r="K88" s="383">
        <f t="shared" si="220"/>
        <v>12</v>
      </c>
      <c r="L88" s="383">
        <f t="shared" si="220"/>
        <v>0</v>
      </c>
      <c r="M88" s="383">
        <f t="shared" si="217"/>
        <v>60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7700</v>
      </c>
      <c r="J94" s="221">
        <f>CA48</f>
        <v>34500</v>
      </c>
      <c r="K94" s="221">
        <f>CB48</f>
        <v>12500</v>
      </c>
      <c r="L94" s="221">
        <f>CC48</f>
        <v>0</v>
      </c>
      <c r="M94" s="221">
        <f t="shared" ref="M94:M100" si="221">SUM(H94:L94)</f>
        <v>54700</v>
      </c>
      <c r="O94" s="110"/>
      <c r="Q94" s="643">
        <f t="shared" ref="Q94:Q100" si="222">ABS(M94-AF94)</f>
        <v>54700</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1540</v>
      </c>
      <c r="J95" s="223">
        <f>CF48</f>
        <v>6900</v>
      </c>
      <c r="K95" s="223">
        <f>CG48</f>
        <v>2500</v>
      </c>
      <c r="L95" s="223">
        <f>CH48</f>
        <v>0</v>
      </c>
      <c r="M95" s="223">
        <f t="shared" si="221"/>
        <v>10940</v>
      </c>
      <c r="N95" s="6"/>
      <c r="O95" s="110"/>
      <c r="Q95" s="643">
        <f t="shared" si="222"/>
        <v>10940</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9240</v>
      </c>
      <c r="J96" s="220">
        <f>SUM(J94:J95)</f>
        <v>41400</v>
      </c>
      <c r="K96" s="220">
        <f>SUM(K94:K95)</f>
        <v>15000</v>
      </c>
      <c r="L96" s="220">
        <f>SUM(L94:L95)</f>
        <v>0</v>
      </c>
      <c r="M96" s="220">
        <f t="shared" si="221"/>
        <v>65640</v>
      </c>
      <c r="N96" s="6"/>
      <c r="O96" s="110"/>
      <c r="Q96" s="643">
        <f t="shared" si="222"/>
        <v>65640</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9240</v>
      </c>
      <c r="J98" s="220">
        <f>SUM(J96:J97)</f>
        <v>41400</v>
      </c>
      <c r="K98" s="220">
        <f>SUM(K96:K97)</f>
        <v>15000</v>
      </c>
      <c r="L98" s="220">
        <f>SUM(L96:L97)</f>
        <v>0</v>
      </c>
      <c r="M98" s="220">
        <f t="shared" si="221"/>
        <v>65640</v>
      </c>
      <c r="O98" s="110"/>
      <c r="Q98" s="643">
        <f t="shared" si="222"/>
        <v>65640</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9240</v>
      </c>
      <c r="J100" s="220">
        <f>SUM(J98:J99)</f>
        <v>41400</v>
      </c>
      <c r="K100" s="220">
        <f>SUM(K98:K99)</f>
        <v>15000</v>
      </c>
      <c r="L100" s="220">
        <f>SUM(L98:L99)</f>
        <v>0</v>
      </c>
      <c r="M100" s="220">
        <f t="shared" si="221"/>
        <v>65640</v>
      </c>
      <c r="O100" s="110"/>
      <c r="Q100" s="643">
        <f t="shared" si="222"/>
        <v>65640</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5">
        <f>0.02*L49</f>
        <v>7471.68</v>
      </c>
      <c r="H104" s="1536"/>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4">
        <v>22440</v>
      </c>
      <c r="G141" s="1545"/>
      <c r="H141" s="2"/>
      <c r="I141" s="2" t="s">
        <v>1946</v>
      </c>
      <c r="J141" s="2"/>
      <c r="K141" s="1544"/>
      <c r="L141" s="1545"/>
      <c r="M141" s="2"/>
      <c r="N141" s="2" t="s">
        <v>1423</v>
      </c>
      <c r="O141" s="2"/>
      <c r="P141" s="1546">
        <v>59458</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22440</v>
      </c>
      <c r="G142" s="1545"/>
      <c r="H142" s="2"/>
      <c r="I142" s="2" t="s">
        <v>1947</v>
      </c>
      <c r="J142" s="2"/>
      <c r="K142" s="1544"/>
      <c r="L142" s="1545"/>
      <c r="M142" s="2"/>
      <c r="N142" s="2" t="s">
        <v>182</v>
      </c>
      <c r="O142" s="2"/>
      <c r="P142" s="1546">
        <v>13300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v>10440</v>
      </c>
      <c r="G143" s="1545"/>
      <c r="H143" s="2"/>
      <c r="I143" s="2"/>
      <c r="J143" s="169" t="s">
        <v>230</v>
      </c>
      <c r="K143" s="1091">
        <f>SUM(K141:L142)</f>
        <v>0</v>
      </c>
      <c r="L143" s="1092"/>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57</v>
      </c>
      <c r="C144" s="1551"/>
      <c r="D144" s="1551"/>
      <c r="E144" s="1552"/>
      <c r="F144" s="1553"/>
      <c r="G144" s="1554"/>
      <c r="H144" s="2"/>
      <c r="I144" s="2"/>
      <c r="J144" s="2"/>
      <c r="K144" s="2"/>
      <c r="L144" s="2"/>
      <c r="M144" s="2"/>
      <c r="N144" s="13" t="s">
        <v>230</v>
      </c>
      <c r="O144" s="2"/>
      <c r="P144" s="633">
        <f>SUM(P141:P143)</f>
        <v>72758</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55320</v>
      </c>
      <c r="G145" s="1092"/>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26115</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5500</v>
      </c>
      <c r="G148" s="1545"/>
      <c r="H148" s="2"/>
      <c r="I148" s="2" t="s">
        <v>2211</v>
      </c>
      <c r="J148" s="2"/>
      <c r="K148" s="1555">
        <v>2000</v>
      </c>
      <c r="L148" s="1556"/>
      <c r="M148" s="2"/>
      <c r="N148" s="595">
        <f>+P147/(M62*0.93)</f>
        <v>468.01075268817203</v>
      </c>
      <c r="O148" s="30" t="s">
        <v>3588</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3200</v>
      </c>
      <c r="G149" s="1545"/>
      <c r="H149" s="2"/>
      <c r="I149" s="2" t="s">
        <v>2934</v>
      </c>
      <c r="J149" s="2"/>
      <c r="K149" s="1557">
        <v>8000</v>
      </c>
      <c r="L149" s="1558"/>
      <c r="M149" s="2"/>
      <c r="N149" s="595">
        <f>+P147/(M62*0.93)/12</f>
        <v>39.000896057347667</v>
      </c>
      <c r="O149" s="30" t="s">
        <v>3589</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v>1200</v>
      </c>
      <c r="G150" s="1545"/>
      <c r="H150" s="2"/>
      <c r="I150" s="2" t="s">
        <v>2212</v>
      </c>
      <c r="J150" s="2"/>
      <c r="K150" s="1557"/>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4"/>
      <c r="G151" s="1545"/>
      <c r="H151" s="2"/>
      <c r="I151" s="1547" t="s">
        <v>57</v>
      </c>
      <c r="J151" s="1548"/>
      <c r="K151" s="1555"/>
      <c r="L151" s="1556"/>
      <c r="M151" s="2"/>
      <c r="N151" s="1103" t="s">
        <v>3465</v>
      </c>
      <c r="O151" s="1104"/>
      <c r="P151" s="110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v>2000</v>
      </c>
      <c r="G152" s="1545"/>
      <c r="H152" s="2"/>
      <c r="I152" s="11"/>
      <c r="J152" s="13" t="s">
        <v>230</v>
      </c>
      <c r="K152" s="1099">
        <f>SUM(K148:K151)</f>
        <v>10000</v>
      </c>
      <c r="L152" s="1100"/>
      <c r="M152" s="2"/>
      <c r="N152" s="1104"/>
      <c r="O152" s="1104"/>
      <c r="P152" s="110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57</v>
      </c>
      <c r="C153" s="1551"/>
      <c r="D153" s="1551"/>
      <c r="E153" s="1552"/>
      <c r="F153" s="1553"/>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11900</v>
      </c>
      <c r="G154" s="1092"/>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3317</v>
      </c>
      <c r="K156" s="2"/>
      <c r="L156" s="2"/>
      <c r="M156" s="2"/>
      <c r="N156" s="11" t="s">
        <v>3081</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v>6500</v>
      </c>
      <c r="G157" s="1560"/>
      <c r="H157" s="2"/>
      <c r="I157" s="2" t="s">
        <v>1936</v>
      </c>
      <c r="J157" s="630">
        <f>K157/12/$M$62</f>
        <v>19.444444444444446</v>
      </c>
      <c r="K157" s="1557">
        <v>14000</v>
      </c>
      <c r="L157" s="1558"/>
      <c r="M157" s="2"/>
      <c r="N157" s="364">
        <f>+$P$157/$M$62</f>
        <v>4000</v>
      </c>
      <c r="O157" s="30" t="s">
        <v>1974</v>
      </c>
      <c r="P157" s="631">
        <f>F145+F154+F165+K143+K152+K162+P144+P147</f>
        <v>240000</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13150</v>
      </c>
      <c r="G159" s="1560"/>
      <c r="H159" s="2"/>
      <c r="I159" s="2" t="s">
        <v>3316</v>
      </c>
      <c r="J159" s="630">
        <f>K159/12/$M$62</f>
        <v>11.079166666666667</v>
      </c>
      <c r="K159" s="1557">
        <v>7977</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3800</v>
      </c>
      <c r="G160" s="1545"/>
      <c r="H160" s="2"/>
      <c r="I160" s="2" t="s">
        <v>1939</v>
      </c>
      <c r="J160" s="2"/>
      <c r="K160" s="1557">
        <v>6500</v>
      </c>
      <c r="L160" s="1558"/>
      <c r="M160" s="2"/>
      <c r="N160" s="11" t="s">
        <v>1796</v>
      </c>
      <c r="O160" s="11"/>
      <c r="P160" s="632">
        <f>P161*M62</f>
        <v>15000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5980</v>
      </c>
      <c r="G161" s="1545"/>
      <c r="H161" s="2"/>
      <c r="I161" s="1547" t="s">
        <v>57</v>
      </c>
      <c r="J161" s="1548"/>
      <c r="K161" s="1555"/>
      <c r="L161" s="1556"/>
      <c r="M161" s="2"/>
      <c r="N161" s="30" t="s">
        <v>639</v>
      </c>
      <c r="O161" s="2"/>
      <c r="P161" s="1561">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c r="G162" s="1545"/>
      <c r="H162" s="2"/>
      <c r="I162" s="2"/>
      <c r="J162" s="13" t="s">
        <v>230</v>
      </c>
      <c r="K162" s="1099">
        <f>SUM(K157:K161)</f>
        <v>28477</v>
      </c>
      <c r="L162" s="1100"/>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v>6000</v>
      </c>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57</v>
      </c>
      <c r="C164" s="1551"/>
      <c r="D164" s="1551"/>
      <c r="E164" s="1552"/>
      <c r="F164" s="1553"/>
      <c r="G164" s="1554"/>
      <c r="H164" s="2"/>
      <c r="I164" s="2"/>
      <c r="J164" s="14"/>
      <c r="K164" s="2"/>
      <c r="L164" s="2"/>
      <c r="M164" s="2"/>
      <c r="N164" s="11" t="s">
        <v>3082</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35430</v>
      </c>
      <c r="G165" s="1102"/>
      <c r="H165" s="2"/>
      <c r="I165" s="2"/>
      <c r="J165" s="14"/>
      <c r="K165" s="2"/>
      <c r="L165" s="2"/>
      <c r="M165" s="2"/>
      <c r="N165" s="2"/>
      <c r="O165" s="2"/>
      <c r="P165" s="631">
        <f>P157+P160</f>
        <v>255000</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0" t="s">
        <v>4083</v>
      </c>
      <c r="B168" s="1361"/>
      <c r="C168" s="1361"/>
      <c r="D168" s="1361"/>
      <c r="E168" s="1361"/>
      <c r="F168" s="1361"/>
      <c r="G168" s="1361"/>
      <c r="H168" s="1361"/>
      <c r="I168" s="1361"/>
      <c r="J168" s="1362"/>
      <c r="K168" s="1363"/>
      <c r="L168" s="1364"/>
      <c r="M168" s="1364"/>
      <c r="N168" s="1364"/>
      <c r="O168" s="1364"/>
      <c r="P168" s="1365"/>
      <c r="T168" s="952" t="s">
        <v>3966</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2012-035 Goshen Crossing II, Rincon, Effingham County</v>
      </c>
      <c r="B1" s="1108"/>
      <c r="C1" s="1108"/>
      <c r="D1" s="1108"/>
      <c r="E1" s="1108"/>
      <c r="F1" s="1108"/>
      <c r="G1" s="1108"/>
      <c r="H1" s="1108"/>
      <c r="I1" s="1108"/>
      <c r="J1" s="1108"/>
      <c r="K1" s="1109"/>
      <c r="L1" s="11"/>
      <c r="M1" s="1105" t="str">
        <f>A1</f>
        <v>PART SEVEN - OPERATING PRO FORMA  -  2012-035 Goshen Crossing II, Rincon, Effingham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2">
        <v>4000</v>
      </c>
      <c r="H5" s="128" t="s">
        <v>2784</v>
      </c>
      <c r="K5" s="133">
        <f>IF(($B$14+$B$15+$B$16+$B$17)=0,"",-B28/($B$14+$B$15+$B$16+$B$17))</f>
        <v>1.1287261926701118E-2</v>
      </c>
      <c r="M5" s="1460"/>
      <c r="N5" s="1461"/>
    </row>
    <row r="6" spans="1:15">
      <c r="A6" s="19" t="s">
        <v>3084</v>
      </c>
      <c r="B6" s="105">
        <v>0.03</v>
      </c>
      <c r="C6" s="19"/>
      <c r="D6" s="19" t="s">
        <v>1270</v>
      </c>
      <c r="F6" s="19"/>
      <c r="G6" s="1562"/>
      <c r="H6" s="128" t="s">
        <v>3346</v>
      </c>
      <c r="K6" s="133" t="e">
        <f>IF(($B$14+$B$15+$B$16+$B$17)=0,"",-#REF!/($B$14+$B$15+$B$16+$B$17))</f>
        <v>#REF!</v>
      </c>
      <c r="M6" s="1462"/>
      <c r="N6" s="1463"/>
    </row>
    <row r="7" spans="1:15">
      <c r="A7" s="19" t="s">
        <v>3086</v>
      </c>
      <c r="B7" s="105">
        <v>0.03</v>
      </c>
      <c r="C7" s="19"/>
      <c r="D7" s="107" t="s">
        <v>332</v>
      </c>
      <c r="G7" s="109"/>
      <c r="H7" s="128" t="s">
        <v>3347</v>
      </c>
      <c r="K7" s="133">
        <f>IF(($B$14+$B$15+$B$16+$B$17)=0,"",-B20/($B$14+$B$15+$B$16+$B$17))</f>
        <v>7.3691711303949928E-2</v>
      </c>
      <c r="M7" s="1462"/>
      <c r="N7" s="1463"/>
    </row>
    <row r="8" spans="1:15" ht="13.15" customHeight="1">
      <c r="A8" s="19" t="s">
        <v>3085</v>
      </c>
      <c r="B8" s="1563">
        <v>7.0000000000000007E-2</v>
      </c>
      <c r="C8" s="19"/>
      <c r="D8" s="106" t="s">
        <v>3517</v>
      </c>
      <c r="G8" s="1564" t="s">
        <v>3985</v>
      </c>
      <c r="H8" s="230" t="s">
        <v>2028</v>
      </c>
      <c r="K8" s="1565">
        <v>26115</v>
      </c>
      <c r="M8" s="1462"/>
      <c r="N8" s="1463"/>
    </row>
    <row r="9" spans="1:15">
      <c r="A9" s="19" t="s">
        <v>1992</v>
      </c>
      <c r="B9" s="105">
        <v>0.02</v>
      </c>
      <c r="D9" s="106" t="s">
        <v>2570</v>
      </c>
      <c r="G9" s="1564" t="s">
        <v>3983</v>
      </c>
      <c r="H9" s="230" t="s">
        <v>3322</v>
      </c>
      <c r="K9" s="1566"/>
      <c r="M9" s="1465"/>
      <c r="N9" s="146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3674</v>
      </c>
      <c r="N13" s="954"/>
    </row>
    <row r="14" spans="1:15" ht="13.15" customHeight="1">
      <c r="A14" s="21" t="s">
        <v>3384</v>
      </c>
      <c r="B14" s="22">
        <f>'Part VI-Revenues &amp; Expenses'!L49</f>
        <v>373584</v>
      </c>
      <c r="C14" s="22">
        <f t="shared" ref="C14:K14" si="1">$B$14*(1+$B$5)^(C13-1)</f>
        <v>381055.68</v>
      </c>
      <c r="D14" s="22">
        <f t="shared" si="1"/>
        <v>388676.79359999998</v>
      </c>
      <c r="E14" s="22">
        <f t="shared" si="1"/>
        <v>396450.32947199995</v>
      </c>
      <c r="F14" s="22">
        <f t="shared" si="1"/>
        <v>404379.33606144</v>
      </c>
      <c r="G14" s="22">
        <f t="shared" si="1"/>
        <v>412466.92278266879</v>
      </c>
      <c r="H14" s="22">
        <f t="shared" si="1"/>
        <v>420716.26123832219</v>
      </c>
      <c r="I14" s="22">
        <f t="shared" si="1"/>
        <v>429130.58646308858</v>
      </c>
      <c r="J14" s="22">
        <f t="shared" si="1"/>
        <v>437713.19819235033</v>
      </c>
      <c r="K14" s="23">
        <f t="shared" si="1"/>
        <v>446467.46215619735</v>
      </c>
      <c r="M14" s="1460"/>
      <c r="N14" s="1461"/>
    </row>
    <row r="15" spans="1:15" ht="13.15" customHeight="1">
      <c r="A15" s="24" t="s">
        <v>1519</v>
      </c>
      <c r="B15" s="25">
        <f>MIN(B14*B9,'Part VI-Revenues &amp; Expenses'!G104)</f>
        <v>7471.68</v>
      </c>
      <c r="C15" s="25">
        <f t="shared" ref="C15:K15" si="2">$B$15*(1+$B$5)^(C13-1)</f>
        <v>7621.1136000000006</v>
      </c>
      <c r="D15" s="25">
        <f t="shared" si="2"/>
        <v>7773.5358720000004</v>
      </c>
      <c r="E15" s="25">
        <f t="shared" si="2"/>
        <v>7929.0065894399995</v>
      </c>
      <c r="F15" s="25">
        <f t="shared" si="2"/>
        <v>8087.5867212288003</v>
      </c>
      <c r="G15" s="25">
        <f t="shared" si="2"/>
        <v>8249.3384556533765</v>
      </c>
      <c r="H15" s="25">
        <f t="shared" si="2"/>
        <v>8414.3252247664441</v>
      </c>
      <c r="I15" s="25">
        <f t="shared" si="2"/>
        <v>8582.611729261771</v>
      </c>
      <c r="J15" s="25">
        <f t="shared" si="2"/>
        <v>8754.2639638470082</v>
      </c>
      <c r="K15" s="26">
        <f t="shared" si="2"/>
        <v>8929.3492431239483</v>
      </c>
      <c r="M15" s="1462"/>
      <c r="N15" s="1463"/>
    </row>
    <row r="16" spans="1:15" ht="13.15" customHeight="1">
      <c r="A16" s="24" t="s">
        <v>3385</v>
      </c>
      <c r="B16" s="25">
        <f t="shared" ref="B16:K16" si="3">-(B14+B15)*$B$8</f>
        <v>-26673.8976</v>
      </c>
      <c r="C16" s="25">
        <f t="shared" si="3"/>
        <v>-27207.375552000001</v>
      </c>
      <c r="D16" s="25">
        <f t="shared" si="3"/>
        <v>-27751.52306304</v>
      </c>
      <c r="E16" s="25">
        <f t="shared" si="3"/>
        <v>-28306.553524300798</v>
      </c>
      <c r="F16" s="25">
        <f t="shared" si="3"/>
        <v>-28872.684594786817</v>
      </c>
      <c r="G16" s="25">
        <f t="shared" si="3"/>
        <v>-29450.138286682555</v>
      </c>
      <c r="H16" s="25">
        <f t="shared" si="3"/>
        <v>-30039.141052416206</v>
      </c>
      <c r="I16" s="25">
        <f t="shared" si="3"/>
        <v>-30639.923873464526</v>
      </c>
      <c r="J16" s="25">
        <f t="shared" si="3"/>
        <v>-31252.722350933818</v>
      </c>
      <c r="K16" s="26">
        <f t="shared" si="3"/>
        <v>-31877.776797952494</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-213885</v>
      </c>
      <c r="C19" s="25">
        <f t="shared" ref="C19:K19" si="4">$B$19*(1+$B$6)^(C13-1)</f>
        <v>-220301.55000000002</v>
      </c>
      <c r="D19" s="25">
        <f t="shared" si="4"/>
        <v>-226910.59649999999</v>
      </c>
      <c r="E19" s="25">
        <f t="shared" si="4"/>
        <v>-233717.914395</v>
      </c>
      <c r="F19" s="25">
        <f t="shared" si="4"/>
        <v>-240729.45182684998</v>
      </c>
      <c r="G19" s="25">
        <f t="shared" si="4"/>
        <v>-247951.33538165546</v>
      </c>
      <c r="H19" s="25">
        <f t="shared" si="4"/>
        <v>-255389.87544310515</v>
      </c>
      <c r="I19" s="25">
        <f t="shared" si="4"/>
        <v>-263051.57170639833</v>
      </c>
      <c r="J19" s="25">
        <f t="shared" si="4"/>
        <v>-270943.11885759025</v>
      </c>
      <c r="K19" s="26">
        <f t="shared" si="4"/>
        <v>-279071.41242331796</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-26115</v>
      </c>
      <c r="C20" s="25">
        <f>IF(AND('Part VII-Pro Forma'!$G$8="Yes",'Part VII-Pro Forma'!$G$9="Yes"),"Choose One!",IF('Part VII-Pro Forma'!$G$8="Yes",ROUND((-$K$8*(1+'Part VII-Pro Forma'!$B$6)^('Part VII-Pro Forma'!C13-1)),),IF('Part VII-Pro Forma'!$G$9="Yes",ROUND((-(SUM(C14:C17)*'Part VII-Pro Forma'!$K$9)),),"Choose mgt fee")))</f>
        <v>-26898</v>
      </c>
      <c r="D20" s="25">
        <f>IF(AND('Part VII-Pro Forma'!$G$8="Yes",'Part VII-Pro Forma'!$G$9="Yes"),"Choose One!",IF('Part VII-Pro Forma'!$G$8="Yes",ROUND((-$K$8*(1+'Part VII-Pro Forma'!$B$6)^('Part VII-Pro Forma'!D13-1)),),IF('Part VII-Pro Forma'!$G$9="Yes",ROUND((-(SUM(D14:D17)*'Part VII-Pro Forma'!$K$9)),),"Choose mgt fee")))</f>
        <v>-27705</v>
      </c>
      <c r="E20" s="25">
        <f>IF(AND('Part VII-Pro Forma'!$G$8="Yes",'Part VII-Pro Forma'!$G$9="Yes"),"Choose One!",IF('Part VII-Pro Forma'!$G$8="Yes",ROUND((-$K$8*(1+'Part VII-Pro Forma'!$B$6)^('Part VII-Pro Forma'!E13-1)),),IF('Part VII-Pro Forma'!$G$9="Yes",ROUND((-(SUM(E14:E17)*'Part VII-Pro Forma'!$K$9)),),"Choose mgt fee")))</f>
        <v>-28537</v>
      </c>
      <c r="F20" s="25">
        <f>IF(AND('Part VII-Pro Forma'!$G$8="Yes",'Part VII-Pro Forma'!$G$9="Yes"),"Choose One!",IF('Part VII-Pro Forma'!$G$8="Yes",ROUND((-$K$8*(1+'Part VII-Pro Forma'!$B$6)^('Part VII-Pro Forma'!F13-1)),),IF('Part VII-Pro Forma'!$G$9="Yes",ROUND((-(SUM(F14:F17)*'Part VII-Pro Forma'!$K$9)),),"Choose mgt fee")))</f>
        <v>-29393</v>
      </c>
      <c r="G20" s="25">
        <f>IF(AND('Part VII-Pro Forma'!$G$8="Yes",'Part VII-Pro Forma'!$G$9="Yes"),"Choose One!",IF('Part VII-Pro Forma'!$G$8="Yes",ROUND((-$K$8*(1+'Part VII-Pro Forma'!$B$6)^('Part VII-Pro Forma'!G13-1)),),IF('Part VII-Pro Forma'!$G$9="Yes",ROUND((-(SUM(G14:G17)*'Part VII-Pro Forma'!$K$9)),),"Choose mgt fee")))</f>
        <v>-30274</v>
      </c>
      <c r="H20" s="25">
        <f>IF(AND('Part VII-Pro Forma'!$G$8="Yes",'Part VII-Pro Forma'!$G$9="Yes"),"Choose One!",IF('Part VII-Pro Forma'!$G$8="Yes",ROUND((-$K$8*(1+'Part VII-Pro Forma'!$B$6)^('Part VII-Pro Forma'!H13-1)),),IF('Part VII-Pro Forma'!$G$9="Yes",ROUND((-(SUM(H14:H17)*'Part VII-Pro Forma'!$K$9)),),"Choose mgt fee")))</f>
        <v>-31183</v>
      </c>
      <c r="I20" s="25">
        <f>IF(AND('Part VII-Pro Forma'!$G$8="Yes",'Part VII-Pro Forma'!$G$9="Yes"),"Choose One!",IF('Part VII-Pro Forma'!$G$8="Yes",ROUND((-$K$8*(1+'Part VII-Pro Forma'!$B$6)^('Part VII-Pro Forma'!I13-1)),),IF('Part VII-Pro Forma'!$G$9="Yes",ROUND((-(SUM(I14:I17)*'Part VII-Pro Forma'!$K$9)),),"Choose mgt fee")))</f>
        <v>-32118</v>
      </c>
      <c r="J20" s="25">
        <f>IF(AND('Part VII-Pro Forma'!$G$8="Yes",'Part VII-Pro Forma'!$G$9="Yes"),"Choose One!",IF('Part VII-Pro Forma'!$G$8="Yes",ROUND((-$K$8*(1+'Part VII-Pro Forma'!$B$6)^('Part VII-Pro Forma'!J13-1)),),IF('Part VII-Pro Forma'!$G$9="Yes",ROUND((-(SUM(J14:J17)*'Part VII-Pro Forma'!$K$9)),),"Choose mgt fee")))</f>
        <v>-33082</v>
      </c>
      <c r="K20" s="25">
        <f>IF(AND('Part VII-Pro Forma'!$G$8="Yes",'Part VII-Pro Forma'!$G$9="Yes"),"Choose One!",IF('Part VII-Pro Forma'!$G$8="Yes",ROUND((-$K$8*(1+'Part VII-Pro Forma'!$B$6)^('Part VII-Pro Forma'!K13-1)),),IF('Part VII-Pro Forma'!$G$9="Yes",ROUND((-(SUM(K14:K17)*'Part VII-Pro Forma'!$K$9)),),"Choose mgt fee")))</f>
        <v>-34074</v>
      </c>
      <c r="M20" s="1462"/>
      <c r="N20" s="1463"/>
    </row>
    <row r="21" spans="1:14" ht="13.15" customHeight="1">
      <c r="A21" s="24" t="s">
        <v>1739</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462"/>
      <c r="N21" s="1463"/>
    </row>
    <row r="22" spans="1:14" ht="13.15" customHeight="1">
      <c r="A22" s="24" t="s">
        <v>1740</v>
      </c>
      <c r="B22" s="25">
        <f t="shared" ref="B22:K22" si="6">SUM(B14:B21)</f>
        <v>99381.782399999967</v>
      </c>
      <c r="C22" s="25">
        <f t="shared" si="6"/>
        <v>98819.868047999946</v>
      </c>
      <c r="D22" s="25">
        <f t="shared" si="6"/>
        <v>98169.70990895998</v>
      </c>
      <c r="E22" s="25">
        <f t="shared" si="6"/>
        <v>97426.963142139139</v>
      </c>
      <c r="F22" s="25">
        <f t="shared" si="6"/>
        <v>96589.154211031971</v>
      </c>
      <c r="G22" s="25">
        <f t="shared" si="6"/>
        <v>95651.676455484179</v>
      </c>
      <c r="H22" s="25">
        <f t="shared" si="6"/>
        <v>94607.785519632307</v>
      </c>
      <c r="I22" s="25">
        <f t="shared" si="6"/>
        <v>93455.594631114436</v>
      </c>
      <c r="J22" s="25">
        <f t="shared" si="6"/>
        <v>92188.069726859045</v>
      </c>
      <c r="K22" s="26">
        <f t="shared" si="6"/>
        <v>90802.024420612201</v>
      </c>
      <c r="M22" s="1462"/>
      <c r="N22" s="1463"/>
    </row>
    <row r="23" spans="1:14" ht="13.15" customHeight="1">
      <c r="A23" s="678" t="s">
        <v>2195</v>
      </c>
      <c r="B23" s="1567">
        <f>IF('Part III A-Sources of Funds'!$M$32="", 0,-'Part III A-Sources of Funds'!$M$32)</f>
        <v>-66055.469314728107</v>
      </c>
      <c r="C23" s="1567">
        <f>IF('Part III A-Sources of Funds'!$M$32="", 0,-'Part III A-Sources of Funds'!$M$32)</f>
        <v>-66055.469314728107</v>
      </c>
      <c r="D23" s="1567">
        <f>IF('Part III A-Sources of Funds'!$M$32="", 0,-'Part III A-Sources of Funds'!$M$32)</f>
        <v>-66055.469314728107</v>
      </c>
      <c r="E23" s="1567">
        <f>IF('Part III A-Sources of Funds'!$M$32="", 0,-'Part III A-Sources of Funds'!$M$32)</f>
        <v>-66055.469314728107</v>
      </c>
      <c r="F23" s="1567">
        <f>IF('Part III A-Sources of Funds'!$M$32="", 0,-'Part III A-Sources of Funds'!$M$32)</f>
        <v>-66055.469314728107</v>
      </c>
      <c r="G23" s="1567">
        <f>IF('Part III A-Sources of Funds'!$M$32="", 0,-'Part III A-Sources of Funds'!$M$32)</f>
        <v>-66055.469314728107</v>
      </c>
      <c r="H23" s="1567">
        <f>IF('Part III A-Sources of Funds'!$M$32="", 0,-'Part III A-Sources of Funds'!$M$32)</f>
        <v>-66055.469314728107</v>
      </c>
      <c r="I23" s="1567">
        <f>IF('Part III A-Sources of Funds'!$M$32="", 0,-'Part III A-Sources of Funds'!$M$32)</f>
        <v>-66055.469314728107</v>
      </c>
      <c r="J23" s="1567">
        <f>IF('Part III A-Sources of Funds'!$M$32="", 0,-'Part III A-Sources of Funds'!$M$32)</f>
        <v>-66055.469314728107</v>
      </c>
      <c r="K23" s="1567">
        <f>IF('Part III A-Sources of Funds'!$M$32="", 0,-'Part III A-Sources of Funds'!$M$32)</f>
        <v>-66055.469314728107</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-4000</v>
      </c>
      <c r="C28" s="1568">
        <f t="shared" ref="C28:K28" si="7">+B28</f>
        <v>-4000</v>
      </c>
      <c r="D28" s="1568">
        <f t="shared" si="7"/>
        <v>-4000</v>
      </c>
      <c r="E28" s="1568">
        <f t="shared" si="7"/>
        <v>-4000</v>
      </c>
      <c r="F28" s="1568">
        <f t="shared" si="7"/>
        <v>-4000</v>
      </c>
      <c r="G28" s="1568">
        <f t="shared" si="7"/>
        <v>-4000</v>
      </c>
      <c r="H28" s="1568">
        <f t="shared" si="7"/>
        <v>-4000</v>
      </c>
      <c r="I28" s="1568">
        <f t="shared" si="7"/>
        <v>-4000</v>
      </c>
      <c r="J28" s="1568">
        <f t="shared" si="7"/>
        <v>-4000</v>
      </c>
      <c r="K28" s="1568">
        <f t="shared" si="7"/>
        <v>-4000</v>
      </c>
      <c r="M28" s="1462"/>
      <c r="N28" s="1463"/>
    </row>
    <row r="29" spans="1:14" ht="13.15" customHeight="1">
      <c r="A29" s="24" t="s">
        <v>1741</v>
      </c>
      <c r="B29" s="1570">
        <v>-11528</v>
      </c>
      <c r="C29" s="1570">
        <f>IF('Part III A-Sources of Funds'!$M$37="", 0,-'Part III A-Sources of Funds'!$M$37)</f>
        <v>0</v>
      </c>
      <c r="D29" s="1570">
        <f>IF('Part III A-Sources of Funds'!$M$37="", 0,-'Part III A-Sources of Funds'!$M$37)</f>
        <v>0</v>
      </c>
      <c r="E29" s="1570">
        <f>IF('Part III A-Sources of Funds'!$M$37="", 0,-'Part III A-Sources of Funds'!$M$37)</f>
        <v>0</v>
      </c>
      <c r="F29" s="1570">
        <f>IF('Part III A-Sources of Funds'!$M$37="", 0,-'Part III A-Sources of Funds'!$M$37)</f>
        <v>0</v>
      </c>
      <c r="G29" s="1570">
        <f>IF('Part III A-Sources of Funds'!$M$37="", 0,-'Part III A-Sources of Funds'!$M$37)</f>
        <v>0</v>
      </c>
      <c r="H29" s="1570">
        <f>IF('Part III A-Sources of Funds'!$M$37="", 0,-'Part III A-Sources of Funds'!$M$37)</f>
        <v>0</v>
      </c>
      <c r="I29" s="1570">
        <f>IF('Part III A-Sources of Funds'!$M$37="", 0,-'Part III A-Sources of Funds'!$M$37)</f>
        <v>0</v>
      </c>
      <c r="J29" s="1570">
        <f>IF('Part III A-Sources of Funds'!$M$37="", 0,-'Part III A-Sources of Funds'!$M$37)</f>
        <v>0</v>
      </c>
      <c r="K29" s="1570">
        <f>IF('Part III A-Sources of Funds'!$M$37="", 0,-'Part III A-Sources of Funds'!$M$37)</f>
        <v>0</v>
      </c>
      <c r="M29" s="1462"/>
      <c r="N29" s="1463"/>
    </row>
    <row r="30" spans="1:14" ht="13.15" customHeight="1">
      <c r="A30" s="24" t="s">
        <v>1687</v>
      </c>
      <c r="B30" s="25">
        <f t="shared" ref="B30:K30" si="8">SUM(B22:B29)</f>
        <v>17798.31308527186</v>
      </c>
      <c r="C30" s="25">
        <f t="shared" si="8"/>
        <v>28764.398733271839</v>
      </c>
      <c r="D30" s="25">
        <f t="shared" si="8"/>
        <v>28114.240594231873</v>
      </c>
      <c r="E30" s="25">
        <f t="shared" si="8"/>
        <v>27371.493827411032</v>
      </c>
      <c r="F30" s="25">
        <f t="shared" si="8"/>
        <v>26533.684896303865</v>
      </c>
      <c r="G30" s="25">
        <f t="shared" si="8"/>
        <v>25596.207140756072</v>
      </c>
      <c r="H30" s="25">
        <f t="shared" si="8"/>
        <v>24552.3162049042</v>
      </c>
      <c r="I30" s="25">
        <f t="shared" si="8"/>
        <v>23400.125316386329</v>
      </c>
      <c r="J30" s="25">
        <f t="shared" si="8"/>
        <v>22132.600412130938</v>
      </c>
      <c r="K30" s="26">
        <f t="shared" si="8"/>
        <v>20746.555105884094</v>
      </c>
      <c r="M30" s="1462"/>
      <c r="N30" s="1463"/>
    </row>
    <row r="31" spans="1:14" ht="13.15" customHeight="1">
      <c r="A31" s="24" t="str">
        <f>IF('Part III A-Sources of Funds'!$E$32 = "Neither", "", "DCR Mortgage A")</f>
        <v>DCR Mortgage A</v>
      </c>
      <c r="B31" s="27">
        <f>IF(B23=0,"",-B22/B23)</f>
        <v>1.5045201166686926</v>
      </c>
      <c r="C31" s="27">
        <f t="shared" ref="C31:K31" si="9">IF(C23=0,"",-C22/C23)</f>
        <v>1.4960134122605726</v>
      </c>
      <c r="D31" s="27">
        <f t="shared" si="9"/>
        <v>1.4861708035290804</v>
      </c>
      <c r="E31" s="27">
        <f t="shared" si="9"/>
        <v>1.4749265148346506</v>
      </c>
      <c r="F31" s="27">
        <f t="shared" si="9"/>
        <v>1.4622430998230134</v>
      </c>
      <c r="G31" s="27">
        <f t="shared" si="9"/>
        <v>1.4480508192250046</v>
      </c>
      <c r="H31" s="27">
        <f t="shared" si="9"/>
        <v>1.4322475716410967</v>
      </c>
      <c r="I31" s="27">
        <f t="shared" si="9"/>
        <v>1.4148047936172492</v>
      </c>
      <c r="J31" s="27">
        <f t="shared" si="9"/>
        <v>1.3956159979368168</v>
      </c>
      <c r="K31" s="28">
        <f t="shared" si="9"/>
        <v>1.3746329465615721</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1.3897324799999999</v>
      </c>
      <c r="C35" s="378">
        <f t="shared" ref="C35:K35" si="13">IF(OR(C20="Choose mgt fee",C20="Choose One!"),"",(C14+C15+C16+C17+C18) / -(C19+C20+C21))</f>
        <v>1.3762422895755957</v>
      </c>
      <c r="D35" s="378">
        <f t="shared" si="13"/>
        <v>1.3628804116786011</v>
      </c>
      <c r="E35" s="378">
        <f t="shared" si="13"/>
        <v>1.349644445962527</v>
      </c>
      <c r="F35" s="378">
        <f t="shared" si="13"/>
        <v>1.3365416140810347</v>
      </c>
      <c r="G35" s="378">
        <f t="shared" si="13"/>
        <v>1.3235690190016751</v>
      </c>
      <c r="H35" s="378">
        <f t="shared" si="13"/>
        <v>1.3107154766646192</v>
      </c>
      <c r="I35" s="378">
        <f t="shared" si="13"/>
        <v>1.2979921116824669</v>
      </c>
      <c r="J35" s="378">
        <f t="shared" si="13"/>
        <v>1.2853884160849112</v>
      </c>
      <c r="K35" s="379">
        <f t="shared" si="13"/>
        <v>1.2729106767678688</v>
      </c>
      <c r="M35" s="1462"/>
      <c r="N35" s="1463"/>
    </row>
    <row r="36" spans="1:14" ht="13.15" customHeight="1">
      <c r="A36" s="678" t="s">
        <v>3666</v>
      </c>
      <c r="B36" s="1571">
        <f>IF('Part III A-Sources of Funds'!$H$32="","",-FV('Part III A-Sources of Funds'!$J$32/12,12,B23/12,'Part III A-Sources of Funds'!$H$32))</f>
        <v>693109.45429709461</v>
      </c>
      <c r="C36" s="1571">
        <f>IF('Part III A-Sources of Funds'!$H$32="","",-FV('Part III A-Sources of Funds'!$J$32/12,12,C23/12,B36))</f>
        <v>674997.88967962028</v>
      </c>
      <c r="D36" s="1571">
        <f>IF('Part III A-Sources of Funds'!$H$32="","",-FV('Part III A-Sources of Funds'!$J$32/12,12,D23/12,C36))</f>
        <v>655577.03859151574</v>
      </c>
      <c r="E36" s="1571">
        <f>IF('Part III A-Sources of Funds'!$H$32="","",-FV('Part III A-Sources of Funds'!$J$32/12,12,E23/12,D36))</f>
        <v>634752.25260795525</v>
      </c>
      <c r="F36" s="1571">
        <f>IF('Part III A-Sources of Funds'!$H$32="","",-FV('Part III A-Sources of Funds'!$J$32/12,12,F23/12,E36))</f>
        <v>612422.04116182937</v>
      </c>
      <c r="G36" s="1571">
        <f>IF('Part III A-Sources of Funds'!$H$32="","",-FV('Part III A-Sources of Funds'!$J$32/12,12,G23/12,F36))</f>
        <v>588477.57692472613</v>
      </c>
      <c r="H36" s="1571">
        <f>IF('Part III A-Sources of Funds'!$H$32="","",-FV('Part III A-Sources of Funds'!$J$32/12,12,H23/12,G36))</f>
        <v>562802.16543186351</v>
      </c>
      <c r="I36" s="1571">
        <f>IF('Part III A-Sources of Funds'!$H$32="","",-FV('Part III A-Sources of Funds'!$J$32/12,12,I23/12,H36))</f>
        <v>535270.6763661647</v>
      </c>
      <c r="J36" s="1571">
        <f>IF('Part III A-Sources of Funds'!$H$32="","",-FV('Part III A-Sources of Funds'!$J$32/12,12,J23/12,I36))</f>
        <v>505748.9337298139</v>
      </c>
      <c r="K36" s="1571">
        <f>IF('Part III A-Sources of Funds'!$H$32="","",-FV('Part III A-Sources of Funds'!$J$32/12,12,K23/12,J36))</f>
        <v>474093.06193126435</v>
      </c>
      <c r="M36" s="1462"/>
      <c r="N36" s="1463"/>
    </row>
    <row r="37" spans="1:14" ht="13.15" customHeight="1">
      <c r="A37" s="678" t="s">
        <v>3667</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3668</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3669</v>
      </c>
      <c r="B40" s="1568">
        <f>'Part III A-Sources of Funds'!$H$36</f>
        <v>0</v>
      </c>
      <c r="C40" s="1568">
        <f>B40</f>
        <v>0</v>
      </c>
      <c r="D40" s="1568">
        <f t="shared" ref="D40:K40" si="14">C40</f>
        <v>0</v>
      </c>
      <c r="E40" s="1568">
        <f t="shared" si="14"/>
        <v>0</v>
      </c>
      <c r="F40" s="1568">
        <f t="shared" si="14"/>
        <v>0</v>
      </c>
      <c r="G40" s="1568">
        <f t="shared" si="14"/>
        <v>0</v>
      </c>
      <c r="H40" s="1568">
        <f t="shared" si="14"/>
        <v>0</v>
      </c>
      <c r="I40" s="1568">
        <f t="shared" si="14"/>
        <v>0</v>
      </c>
      <c r="J40" s="1568">
        <f t="shared" si="14"/>
        <v>0</v>
      </c>
      <c r="K40" s="1568">
        <f t="shared" si="14"/>
        <v>0</v>
      </c>
      <c r="M40" s="1462"/>
      <c r="N40" s="1463"/>
    </row>
    <row r="41" spans="1:14" ht="13.15" customHeight="1">
      <c r="A41" s="29" t="s">
        <v>1776</v>
      </c>
      <c r="B41" s="1570">
        <f>IF('Part III A-Sources of Funds'!$H$37="","",-FV('Part III A-Sources of Funds'!$J$37/12,12,B29/12,'Part III A-Sources of Funds'!$H$37))</f>
        <v>0</v>
      </c>
      <c r="C41" s="1570">
        <f>IF('Part III A-Sources of Funds'!$H$37="","",-FV('Part III A-Sources of Funds'!$J$37/12,12,C29/12,B41))</f>
        <v>0</v>
      </c>
      <c r="D41" s="1570">
        <f>IF('Part III A-Sources of Funds'!$H$37="","",-FV('Part III A-Sources of Funds'!$J$37/12,12,D29/12,C41))</f>
        <v>0</v>
      </c>
      <c r="E41" s="1570">
        <f>IF('Part III A-Sources of Funds'!$H$37="","",-FV('Part III A-Sources of Funds'!$J$37/12,12,E29/12,D41))</f>
        <v>0</v>
      </c>
      <c r="F41" s="1570">
        <f>IF('Part III A-Sources of Funds'!$H$37="","",-FV('Part III A-Sources of Funds'!$J$37/12,12,F29/12,E41))</f>
        <v>0</v>
      </c>
      <c r="G41" s="1570">
        <f>IF('Part III A-Sources of Funds'!$H$37="","",-FV('Part III A-Sources of Funds'!$J$37/12,12,G29/12,F41))</f>
        <v>0</v>
      </c>
      <c r="H41" s="1570">
        <f>IF('Part III A-Sources of Funds'!$H$37="","",-FV('Part III A-Sources of Funds'!$J$37/12,12,H29/12,G41))</f>
        <v>0</v>
      </c>
      <c r="I41" s="1570">
        <f>IF('Part III A-Sources of Funds'!$H$37="","",-FV('Part III A-Sources of Funds'!$J$37/12,12,I29/12,H41))</f>
        <v>0</v>
      </c>
      <c r="J41" s="1570">
        <f>IF('Part III A-Sources of Funds'!$H$37="","",-FV('Part III A-Sources of Funds'!$J$37/12,12,J29/12,I41))</f>
        <v>0</v>
      </c>
      <c r="K41" s="1570">
        <f>IF('Part III A-Sources of Funds'!$H$37="","",-FV('Part III A-Sources of Funds'!$J$37/12,12,K29/12,J41))</f>
        <v>0</v>
      </c>
      <c r="M41" s="1465"/>
      <c r="N41" s="146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3672</v>
      </c>
      <c r="N43" s="954"/>
    </row>
    <row r="44" spans="1:14" ht="13.15" customHeight="1">
      <c r="A44" s="21" t="s">
        <v>3384</v>
      </c>
      <c r="B44" s="22">
        <f t="shared" ref="B44:K44" si="16">$B$14*(1+$B$5)^(B43-1)</f>
        <v>455396.81139932136</v>
      </c>
      <c r="C44" s="22">
        <f t="shared" si="16"/>
        <v>464504.74762730766</v>
      </c>
      <c r="D44" s="22">
        <f t="shared" si="16"/>
        <v>473794.8425798539</v>
      </c>
      <c r="E44" s="22">
        <f t="shared" si="16"/>
        <v>483270.73943145096</v>
      </c>
      <c r="F44" s="22">
        <f t="shared" si="16"/>
        <v>492936.15422008</v>
      </c>
      <c r="G44" s="22">
        <f t="shared" si="16"/>
        <v>502794.87730448152</v>
      </c>
      <c r="H44" s="22">
        <f t="shared" si="16"/>
        <v>512850.77485057124</v>
      </c>
      <c r="I44" s="22">
        <f t="shared" si="16"/>
        <v>523107.79034758266</v>
      </c>
      <c r="J44" s="22">
        <f t="shared" si="16"/>
        <v>533569.94615453423</v>
      </c>
      <c r="K44" s="23">
        <f t="shared" si="16"/>
        <v>544241.34507762489</v>
      </c>
      <c r="M44" s="1460"/>
      <c r="N44" s="1461"/>
    </row>
    <row r="45" spans="1:14" ht="13.15" customHeight="1">
      <c r="A45" s="24" t="s">
        <v>1519</v>
      </c>
      <c r="B45" s="25">
        <f t="shared" ref="B45:K45" si="17">$B$15*(1+$B$5)^(B43-1)</f>
        <v>9107.9362279864272</v>
      </c>
      <c r="C45" s="25">
        <f t="shared" si="17"/>
        <v>9290.0949525461547</v>
      </c>
      <c r="D45" s="25">
        <f t="shared" si="17"/>
        <v>9475.8968515970791</v>
      </c>
      <c r="E45" s="25">
        <f t="shared" si="17"/>
        <v>9665.4147886290193</v>
      </c>
      <c r="F45" s="25">
        <f t="shared" si="17"/>
        <v>9858.7230844016012</v>
      </c>
      <c r="G45" s="25">
        <f t="shared" si="17"/>
        <v>10055.897546089631</v>
      </c>
      <c r="H45" s="25">
        <f t="shared" si="17"/>
        <v>10257.015497011425</v>
      </c>
      <c r="I45" s="25">
        <f t="shared" si="17"/>
        <v>10462.155806951654</v>
      </c>
      <c r="J45" s="25">
        <f t="shared" si="17"/>
        <v>10671.398923090686</v>
      </c>
      <c r="K45" s="26">
        <f t="shared" si="17"/>
        <v>10884.826901552498</v>
      </c>
      <c r="M45" s="1462"/>
      <c r="N45" s="1463"/>
    </row>
    <row r="46" spans="1:14" ht="13.15" customHeight="1">
      <c r="A46" s="24" t="s">
        <v>3385</v>
      </c>
      <c r="B46" s="25">
        <f t="shared" ref="B46:K46" si="18">-(B44+B45)*$B$8</f>
        <v>-32515.332333911549</v>
      </c>
      <c r="C46" s="25">
        <f t="shared" si="18"/>
        <v>-33165.638980589771</v>
      </c>
      <c r="D46" s="25">
        <f t="shared" si="18"/>
        <v>-33828.951760201569</v>
      </c>
      <c r="E46" s="25">
        <f t="shared" si="18"/>
        <v>-34505.530795405604</v>
      </c>
      <c r="F46" s="25">
        <f t="shared" si="18"/>
        <v>-35195.641411313714</v>
      </c>
      <c r="G46" s="25">
        <f t="shared" si="18"/>
        <v>-35899.554239539983</v>
      </c>
      <c r="H46" s="25">
        <f t="shared" si="18"/>
        <v>-36617.545324330793</v>
      </c>
      <c r="I46" s="25">
        <f t="shared" si="18"/>
        <v>-37349.896230817409</v>
      </c>
      <c r="J46" s="25">
        <f t="shared" si="18"/>
        <v>-38096.894155433743</v>
      </c>
      <c r="K46" s="26">
        <f t="shared" si="18"/>
        <v>-38858.832038542423</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-287443.55479601747</v>
      </c>
      <c r="C49" s="25">
        <f t="shared" si="19"/>
        <v>-296066.86143989803</v>
      </c>
      <c r="D49" s="25">
        <f t="shared" si="19"/>
        <v>-304948.86728309491</v>
      </c>
      <c r="E49" s="25">
        <f t="shared" si="19"/>
        <v>-314097.33330158773</v>
      </c>
      <c r="F49" s="25">
        <f t="shared" si="19"/>
        <v>-323520.25330063544</v>
      </c>
      <c r="G49" s="25">
        <f t="shared" si="19"/>
        <v>-333225.86089965451</v>
      </c>
      <c r="H49" s="25">
        <f t="shared" si="19"/>
        <v>-343222.63672664406</v>
      </c>
      <c r="I49" s="25">
        <f t="shared" si="19"/>
        <v>-353519.31582844339</v>
      </c>
      <c r="J49" s="25">
        <f t="shared" si="19"/>
        <v>-364124.89530329668</v>
      </c>
      <c r="K49" s="26">
        <f t="shared" si="19"/>
        <v>-375048.64216239558</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-35096</v>
      </c>
      <c r="C50" s="25">
        <f>IF(AND('Part VII-Pro Forma'!$G$8="Yes",'Part VII-Pro Forma'!$G$9="Yes"),"Choose One!",IF('Part VII-Pro Forma'!$G$8="Yes",ROUND((-$K$8*(1+'Part VII-Pro Forma'!$B$6)^('Part VII-Pro Forma'!C43-1)),),IF('Part VII-Pro Forma'!$G$9="Yes",ROUND((-(SUM(C44:C47)*'Part VII-Pro Forma'!$K$9)),),"Choose mgt fee")))</f>
        <v>-36149</v>
      </c>
      <c r="D50" s="25">
        <f>IF(AND('Part VII-Pro Forma'!$G$8="Yes",'Part VII-Pro Forma'!$G$9="Yes"),"Choose One!",IF('Part VII-Pro Forma'!$G$8="Yes",ROUND((-$K$8*(1+'Part VII-Pro Forma'!$B$6)^('Part VII-Pro Forma'!D43-1)),),IF('Part VII-Pro Forma'!$G$9="Yes",ROUND((-(SUM(D44:D47)*'Part VII-Pro Forma'!$K$9)),),"Choose mgt fee")))</f>
        <v>-37234</v>
      </c>
      <c r="E50" s="25">
        <f>IF(AND('Part VII-Pro Forma'!$G$8="Yes",'Part VII-Pro Forma'!$G$9="Yes"),"Choose One!",IF('Part VII-Pro Forma'!$G$8="Yes",ROUND((-$K$8*(1+'Part VII-Pro Forma'!$B$6)^('Part VII-Pro Forma'!E43-1)),),IF('Part VII-Pro Forma'!$G$9="Yes",ROUND((-(SUM(E44:E47)*'Part VII-Pro Forma'!$K$9)),),"Choose mgt fee")))</f>
        <v>-38351</v>
      </c>
      <c r="F50" s="25">
        <f>IF(AND('Part VII-Pro Forma'!$G$8="Yes",'Part VII-Pro Forma'!$G$9="Yes"),"Choose One!",IF('Part VII-Pro Forma'!$G$8="Yes",ROUND((-$K$8*(1+'Part VII-Pro Forma'!$B$6)^('Part VII-Pro Forma'!F43-1)),),IF('Part VII-Pro Forma'!$G$9="Yes",ROUND((-(SUM(F44:F47)*'Part VII-Pro Forma'!$K$9)),),"Choose mgt fee")))</f>
        <v>-39501</v>
      </c>
      <c r="G50" s="25">
        <f>IF(AND('Part VII-Pro Forma'!$G$8="Yes",'Part VII-Pro Forma'!$G$9="Yes"),"Choose One!",IF('Part VII-Pro Forma'!$G$8="Yes",ROUND((-$K$8*(1+'Part VII-Pro Forma'!$B$6)^('Part VII-Pro Forma'!G43-1)),),IF('Part VII-Pro Forma'!$G$9="Yes",ROUND((-(SUM(G44:G47)*'Part VII-Pro Forma'!$K$9)),),"Choose mgt fee")))</f>
        <v>-40686</v>
      </c>
      <c r="H50" s="25">
        <f>IF(AND('Part VII-Pro Forma'!$G$8="Yes",'Part VII-Pro Forma'!$G$9="Yes"),"Choose One!",IF('Part VII-Pro Forma'!$G$8="Yes",ROUND((-$K$8*(1+'Part VII-Pro Forma'!$B$6)^('Part VII-Pro Forma'!H43-1)),),IF('Part VII-Pro Forma'!$G$9="Yes",ROUND((-(SUM(H44:H47)*'Part VII-Pro Forma'!$K$9)),),"Choose mgt fee")))</f>
        <v>-41907</v>
      </c>
      <c r="I50" s="25">
        <f>IF(AND('Part VII-Pro Forma'!$G$8="Yes",'Part VII-Pro Forma'!$G$9="Yes"),"Choose One!",IF('Part VII-Pro Forma'!$G$8="Yes",ROUND((-$K$8*(1+'Part VII-Pro Forma'!$B$6)^('Part VII-Pro Forma'!I43-1)),),IF('Part VII-Pro Forma'!$G$9="Yes",ROUND((-(SUM(I44:I47)*'Part VII-Pro Forma'!$K$9)),),"Choose mgt fee")))</f>
        <v>-43164</v>
      </c>
      <c r="J50" s="25">
        <f>IF(AND('Part VII-Pro Forma'!$G$8="Yes",'Part VII-Pro Forma'!$G$9="Yes"),"Choose One!",IF('Part VII-Pro Forma'!$G$8="Yes",ROUND((-$K$8*(1+'Part VII-Pro Forma'!$B$6)^('Part VII-Pro Forma'!J43-1)),),IF('Part VII-Pro Forma'!$G$9="Yes",ROUND((-(SUM(J44:J47)*'Part VII-Pro Forma'!$K$9)),),"Choose mgt fee")))</f>
        <v>-44459</v>
      </c>
      <c r="K50" s="25">
        <f>IF(AND('Part VII-Pro Forma'!$G$8="Yes",'Part VII-Pro Forma'!$G$9="Yes"),"Choose One!",IF('Part VII-Pro Forma'!$G$8="Yes",ROUND((-$K$8*(1+'Part VII-Pro Forma'!$B$6)^('Part VII-Pro Forma'!K43-1)),),IF('Part VII-Pro Forma'!$G$9="Yes",ROUND((-(SUM(K44:K47)*'Part VII-Pro Forma'!$K$9)),),"Choose mgt fee")))</f>
        <v>-45793</v>
      </c>
      <c r="M50" s="1462"/>
      <c r="N50" s="1463"/>
    </row>
    <row r="51" spans="1:14" ht="13.15" customHeight="1">
      <c r="A51" s="24" t="s">
        <v>1739</v>
      </c>
      <c r="B51" s="25">
        <f t="shared" ref="B51:K51" si="20">$B$21*(1+$B$7)^(B43-1)</f>
        <v>-20158.745690161828</v>
      </c>
      <c r="C51" s="25">
        <f t="shared" si="20"/>
        <v>-20763.508060866683</v>
      </c>
      <c r="D51" s="25">
        <f t="shared" si="20"/>
        <v>-21386.413302692679</v>
      </c>
      <c r="E51" s="25">
        <f t="shared" si="20"/>
        <v>-22028.005701773458</v>
      </c>
      <c r="F51" s="25">
        <f t="shared" si="20"/>
        <v>-22688.845872826667</v>
      </c>
      <c r="G51" s="25">
        <f t="shared" si="20"/>
        <v>-23369.511249011466</v>
      </c>
      <c r="H51" s="25">
        <f t="shared" si="20"/>
        <v>-24070.596586481806</v>
      </c>
      <c r="I51" s="25">
        <f t="shared" si="20"/>
        <v>-24792.714484076259</v>
      </c>
      <c r="J51" s="25">
        <f t="shared" si="20"/>
        <v>-25536.49591859855</v>
      </c>
      <c r="K51" s="26">
        <f t="shared" si="20"/>
        <v>-26302.590796156503</v>
      </c>
      <c r="M51" s="1462"/>
      <c r="N51" s="1463"/>
    </row>
    <row r="52" spans="1:14" ht="13.15" customHeight="1">
      <c r="A52" s="24" t="s">
        <v>1740</v>
      </c>
      <c r="B52" s="25">
        <f t="shared" ref="B52:K52" si="21">SUM(B44:B51)</f>
        <v>89291.114807216916</v>
      </c>
      <c r="C52" s="25">
        <f t="shared" si="21"/>
        <v>87649.834098499385</v>
      </c>
      <c r="D52" s="25">
        <f t="shared" si="21"/>
        <v>85872.507085461781</v>
      </c>
      <c r="E52" s="25">
        <f t="shared" si="21"/>
        <v>83954.284421313205</v>
      </c>
      <c r="F52" s="25">
        <f t="shared" si="21"/>
        <v>81889.136719705741</v>
      </c>
      <c r="G52" s="25">
        <f t="shared" si="21"/>
        <v>79669.848462365189</v>
      </c>
      <c r="H52" s="25">
        <f t="shared" si="21"/>
        <v>77290.011710125982</v>
      </c>
      <c r="I52" s="25">
        <f t="shared" si="21"/>
        <v>74744.019611197276</v>
      </c>
      <c r="J52" s="25">
        <f t="shared" si="21"/>
        <v>72024.059700295911</v>
      </c>
      <c r="K52" s="26">
        <f t="shared" si="21"/>
        <v>69123.106982082885</v>
      </c>
      <c r="M52" s="1462"/>
      <c r="N52" s="1463"/>
    </row>
    <row r="53" spans="1:14" ht="13.15" customHeight="1">
      <c r="A53" s="24" t="str">
        <f>$A23</f>
        <v>Mortgage A</v>
      </c>
      <c r="B53" s="1567">
        <f>IF('Part III A-Sources of Funds'!$M$32="", 0,-'Part III A-Sources of Funds'!$M$32)</f>
        <v>-66055.469314728107</v>
      </c>
      <c r="C53" s="1567">
        <f>IF('Part III A-Sources of Funds'!$M$32="", 0,-'Part III A-Sources of Funds'!$M$32)</f>
        <v>-66055.469314728107</v>
      </c>
      <c r="D53" s="1567">
        <f>IF('Part III A-Sources of Funds'!$M$32="", 0,-'Part III A-Sources of Funds'!$M$32)</f>
        <v>-66055.469314728107</v>
      </c>
      <c r="E53" s="1567">
        <f>IF('Part III A-Sources of Funds'!$M$32="", 0,-'Part III A-Sources of Funds'!$M$32)</f>
        <v>-66055.469314728107</v>
      </c>
      <c r="F53" s="1567">
        <f>IF('Part III A-Sources of Funds'!$M$32="", 0,-'Part III A-Sources of Funds'!$M$32)</f>
        <v>-66055.469314728107</v>
      </c>
      <c r="G53" s="1567">
        <f>IF('Part III A-Sources of Funds'!$M$32="", 0,-'Part III A-Sources of Funds'!$M$32)</f>
        <v>-66055.469314728107</v>
      </c>
      <c r="H53" s="1567">
        <f>IF('Part III A-Sources of Funds'!$M$32="", 0,-'Part III A-Sources of Funds'!$M$32)</f>
        <v>-66055.469314728107</v>
      </c>
      <c r="I53" s="1567">
        <f>IF('Part III A-Sources of Funds'!$M$32="", 0,-'Part III A-Sources of Funds'!$M$32)</f>
        <v>-66055.469314728107</v>
      </c>
      <c r="J53" s="1567">
        <f>IF('Part III A-Sources of Funds'!$M$32="", 0,-'Part III A-Sources of Funds'!$M$32)</f>
        <v>-66055.469314728107</v>
      </c>
      <c r="K53" s="1567">
        <f>IF('Part III A-Sources of Funds'!$M$32="", 0,-'Part III A-Sources of Funds'!$M$32)</f>
        <v>-66055.469314728107</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f>+K28</f>
        <v>-4000</v>
      </c>
      <c r="C58" s="1568">
        <f t="shared" ref="C58:K58" si="22">+B58</f>
        <v>-4000</v>
      </c>
      <c r="D58" s="1568">
        <f t="shared" si="22"/>
        <v>-4000</v>
      </c>
      <c r="E58" s="1568">
        <f t="shared" si="22"/>
        <v>-4000</v>
      </c>
      <c r="F58" s="1568">
        <f t="shared" si="22"/>
        <v>-4000</v>
      </c>
      <c r="G58" s="1568">
        <f t="shared" si="22"/>
        <v>-4000</v>
      </c>
      <c r="H58" s="1568">
        <f t="shared" si="22"/>
        <v>-4000</v>
      </c>
      <c r="I58" s="1568">
        <f t="shared" si="22"/>
        <v>-4000</v>
      </c>
      <c r="J58" s="1568">
        <f t="shared" si="22"/>
        <v>-4000</v>
      </c>
      <c r="K58" s="1568">
        <f t="shared" si="22"/>
        <v>-4000</v>
      </c>
      <c r="M58" s="1462"/>
      <c r="N58" s="1463"/>
    </row>
    <row r="59" spans="1:14" ht="13.15" customHeight="1">
      <c r="A59" s="24" t="s">
        <v>1741</v>
      </c>
      <c r="B59" s="1570">
        <f>IF('Part III A-Sources of Funds'!$M$37="", 0,-'Part III A-Sources of Funds'!$M$37)</f>
        <v>0</v>
      </c>
      <c r="C59" s="1570">
        <f>IF('Part III A-Sources of Funds'!$M$37="", 0,-'Part III A-Sources of Funds'!$M$37)</f>
        <v>0</v>
      </c>
      <c r="D59" s="1570">
        <f>IF('Part III A-Sources of Funds'!$M$37="", 0,-'Part III A-Sources of Funds'!$M$37)</f>
        <v>0</v>
      </c>
      <c r="E59" s="1570">
        <f>IF('Part III A-Sources of Funds'!$M$37="", 0,-'Part III A-Sources of Funds'!$M$37)</f>
        <v>0</v>
      </c>
      <c r="F59" s="1570">
        <f>IF('Part III A-Sources of Funds'!$M$37="", 0,-'Part III A-Sources of Funds'!$M$37)</f>
        <v>0</v>
      </c>
      <c r="G59" s="1570">
        <f>IF('Part III A-Sources of Funds'!$M$37="", 0,-'Part III A-Sources of Funds'!$M$37)</f>
        <v>0</v>
      </c>
      <c r="H59" s="1570">
        <f>IF('Part III A-Sources of Funds'!$M$37="", 0,-'Part III A-Sources of Funds'!$M$37)</f>
        <v>0</v>
      </c>
      <c r="I59" s="1570">
        <f>IF('Part III A-Sources of Funds'!$M$37="", 0,-'Part III A-Sources of Funds'!$M$37)</f>
        <v>0</v>
      </c>
      <c r="J59" s="1570">
        <f>IF('Part III A-Sources of Funds'!$M$37="", 0,-'Part III A-Sources of Funds'!$M$37)</f>
        <v>0</v>
      </c>
      <c r="K59" s="1568">
        <f>IF('Part III A-Sources of Funds'!$M$37="", 0,-'Part III A-Sources of Funds'!$M$37)</f>
        <v>0</v>
      </c>
      <c r="M59" s="1462"/>
      <c r="N59" s="1463"/>
    </row>
    <row r="60" spans="1:14" ht="13.15" customHeight="1">
      <c r="A60" s="24" t="s">
        <v>1687</v>
      </c>
      <c r="B60" s="25">
        <f t="shared" ref="B60:K60" si="23">SUM(B52:B59)</f>
        <v>19235.645492488809</v>
      </c>
      <c r="C60" s="25">
        <f t="shared" si="23"/>
        <v>17594.364783771278</v>
      </c>
      <c r="D60" s="25">
        <f t="shared" si="23"/>
        <v>15817.037770733674</v>
      </c>
      <c r="E60" s="25">
        <f t="shared" si="23"/>
        <v>13898.815106585098</v>
      </c>
      <c r="F60" s="25">
        <f t="shared" si="23"/>
        <v>11833.667404977634</v>
      </c>
      <c r="G60" s="25">
        <f t="shared" si="23"/>
        <v>9614.3791476370825</v>
      </c>
      <c r="H60" s="25">
        <f t="shared" si="23"/>
        <v>7234.5423953978752</v>
      </c>
      <c r="I60" s="25">
        <f t="shared" si="23"/>
        <v>4688.5502964691696</v>
      </c>
      <c r="J60" s="25">
        <f t="shared" si="23"/>
        <v>1968.5903855678043</v>
      </c>
      <c r="K60" s="23">
        <f t="shared" si="23"/>
        <v>-932.36233264522161</v>
      </c>
      <c r="M60" s="1462"/>
      <c r="N60" s="1463"/>
    </row>
    <row r="61" spans="1:14" ht="13.15" customHeight="1">
      <c r="A61" s="24" t="str">
        <f>$A31</f>
        <v>DCR Mortgage A</v>
      </c>
      <c r="B61" s="27">
        <f>IF(B53=0,"",-B52/B53)</f>
        <v>1.3517596004318762</v>
      </c>
      <c r="C61" s="27">
        <f t="shared" ref="C61:K61" si="24">IF(C53=0,"",-C52/C53)</f>
        <v>1.3269125934278461</v>
      </c>
      <c r="D61" s="27">
        <f t="shared" si="24"/>
        <v>1.3000060097418027</v>
      </c>
      <c r="E61" s="27">
        <f t="shared" si="24"/>
        <v>1.2709664361221074</v>
      </c>
      <c r="F61" s="27">
        <f t="shared" si="24"/>
        <v>1.2397025949439022</v>
      </c>
      <c r="G61" s="27">
        <f t="shared" si="24"/>
        <v>1.206105251978</v>
      </c>
      <c r="H61" s="27">
        <f t="shared" si="24"/>
        <v>1.170077398767235</v>
      </c>
      <c r="I61" s="27">
        <f t="shared" si="24"/>
        <v>1.1315341543494555</v>
      </c>
      <c r="J61" s="27">
        <f t="shared" si="24"/>
        <v>1.0903572474389644</v>
      </c>
      <c r="K61" s="28">
        <f t="shared" si="24"/>
        <v>1.0464403280936314</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1.2605531299120578</v>
      </c>
      <c r="C65" s="378">
        <f t="shared" ref="C65:K65" si="28">IF(OR(C50="Choose mgt fee",C50="Choose One!"),"",(C44+C45+C46+C47+C48) / -(C49+C50+C51))</f>
        <v>1.2483143256289075</v>
      </c>
      <c r="D65" s="378">
        <f t="shared" si="28"/>
        <v>1.2361929669830818</v>
      </c>
      <c r="E65" s="378">
        <f t="shared" si="28"/>
        <v>1.2241911588987193</v>
      </c>
      <c r="F65" s="378">
        <f t="shared" si="28"/>
        <v>1.212307473657511</v>
      </c>
      <c r="G65" s="378">
        <f t="shared" si="28"/>
        <v>1.2005375888415732</v>
      </c>
      <c r="H65" s="378">
        <f t="shared" si="28"/>
        <v>1.1888806638362364</v>
      </c>
      <c r="I65" s="378">
        <f t="shared" si="28"/>
        <v>1.1773387197268976</v>
      </c>
      <c r="J65" s="378">
        <f t="shared" si="28"/>
        <v>1.1659080318654778</v>
      </c>
      <c r="K65" s="379">
        <f t="shared" si="28"/>
        <v>1.1545879425185166</v>
      </c>
      <c r="M65" s="1462"/>
      <c r="N65" s="1463"/>
    </row>
    <row r="66" spans="1:14" ht="13.15" customHeight="1">
      <c r="A66" s="678" t="s">
        <v>3666</v>
      </c>
      <c r="B66" s="1571">
        <f>IF('Part III A-Sources of Funds'!$H$32="","",-FV('Part III A-Sources of Funds'!$J$32/12,12,B53/12,K36))</f>
        <v>440148.78460082301</v>
      </c>
      <c r="C66" s="1571">
        <f>IF('Part III A-Sources of Funds'!$H$32="","",-FV('Part III A-Sources of Funds'!$J$32/12,12,C53/12,B66))</f>
        <v>403750.67271755758</v>
      </c>
      <c r="D66" s="1571">
        <f>IF('Part III A-Sources of Funds'!$H$32="","",-FV('Part III A-Sources of Funds'!$J$32/12,12,D53/12,C66))</f>
        <v>364721.33838323655</v>
      </c>
      <c r="E66" s="1571">
        <f>IF('Part III A-Sources of Funds'!$H$32="","",-FV('Part III A-Sources of Funds'!$J$32/12,12,E53/12,D66))</f>
        <v>322870.57031412242</v>
      </c>
      <c r="F66" s="1571">
        <f>IF('Part III A-Sources of Funds'!$H$32="","",-FV('Part III A-Sources of Funds'!$J$32/12,12,F53/12,E66))</f>
        <v>277994.40683739644</v>
      </c>
      <c r="G66" s="1571">
        <f>IF('Part III A-Sources of Funds'!$H$32="","",-FV('Part III A-Sources of Funds'!$J$32/12,12,G53/12,F66))</f>
        <v>229874.14187442028</v>
      </c>
      <c r="H66" s="1571">
        <f>IF('Part III A-Sources of Funds'!$H$32="","",-FV('Part III A-Sources of Funds'!$J$32/12,12,H53/12,G66))</f>
        <v>178275.25906644709</v>
      </c>
      <c r="I66" s="1571">
        <f>IF('Part III A-Sources of Funds'!$H$32="","",-FV('Part III A-Sources of Funds'!$J$32/12,12,I53/12,H66))</f>
        <v>122946.28884819405</v>
      </c>
      <c r="J66" s="1571">
        <f>IF('Part III A-Sources of Funds'!$H$32="","",-FV('Part III A-Sources of Funds'!$J$32/12,12,J53/12,I66))</f>
        <v>63617.582899171233</v>
      </c>
      <c r="K66" s="1571">
        <f>IF('Part III A-Sources of Funds'!$H$32="","",-FV('Part III A-Sources of Funds'!$J$32/12,12,K53/12,J66))</f>
        <v>-2.2846506908535957E-9</v>
      </c>
      <c r="M66" s="1462"/>
      <c r="N66" s="1463"/>
    </row>
    <row r="67" spans="1:14" ht="13.15" customHeight="1">
      <c r="A67" s="678" t="s">
        <v>3667</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3668</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3651</v>
      </c>
      <c r="B70" s="1568">
        <f>'Part III A-Sources of Funds'!$H$36</f>
        <v>0</v>
      </c>
      <c r="C70" s="1568">
        <f>B70</f>
        <v>0</v>
      </c>
      <c r="D70" s="1568">
        <f t="shared" ref="D70:K70" si="29">C70</f>
        <v>0</v>
      </c>
      <c r="E70" s="1568">
        <f t="shared" si="29"/>
        <v>0</v>
      </c>
      <c r="F70" s="1568">
        <f t="shared" si="29"/>
        <v>0</v>
      </c>
      <c r="G70" s="1568">
        <f t="shared" si="29"/>
        <v>0</v>
      </c>
      <c r="H70" s="1568">
        <f t="shared" si="29"/>
        <v>0</v>
      </c>
      <c r="I70" s="1568">
        <f t="shared" si="29"/>
        <v>0</v>
      </c>
      <c r="J70" s="1568">
        <f t="shared" si="29"/>
        <v>0</v>
      </c>
      <c r="K70" s="1568">
        <f t="shared" si="29"/>
        <v>0</v>
      </c>
      <c r="M70" s="1462"/>
      <c r="N70" s="1463"/>
    </row>
    <row r="71" spans="1:14" ht="13.15" customHeight="1">
      <c r="A71" s="29" t="s">
        <v>1776</v>
      </c>
      <c r="B71" s="1570">
        <f>IF('Part III A-Sources of Funds'!$H$37="","",-FV('Part III A-Sources of Funds'!$J$37/12,12,B59/12,K41))</f>
        <v>0</v>
      </c>
      <c r="C71" s="1570">
        <f>IF('Part III A-Sources of Funds'!$H$37="","",-FV('Part III A-Sources of Funds'!$J$37/12,12,C59/12,B71))</f>
        <v>0</v>
      </c>
      <c r="D71" s="1570">
        <f>IF('Part III A-Sources of Funds'!$H$37="","",-FV('Part III A-Sources of Funds'!$J$37/12,12,D59/12,C71))</f>
        <v>0</v>
      </c>
      <c r="E71" s="1570">
        <f>IF('Part III A-Sources of Funds'!$H$37="","",-FV('Part III A-Sources of Funds'!$J$37/12,12,E59/12,D71))</f>
        <v>0</v>
      </c>
      <c r="F71" s="1570">
        <f>IF('Part III A-Sources of Funds'!$H$37="","",-FV('Part III A-Sources of Funds'!$J$37/12,12,F59/12,E71))</f>
        <v>0</v>
      </c>
      <c r="G71" s="1570">
        <f>IF('Part III A-Sources of Funds'!$H$37="","",-FV('Part III A-Sources of Funds'!$J$37/12,12,G59/12,F71))</f>
        <v>0</v>
      </c>
      <c r="H71" s="1570">
        <f>IF('Part III A-Sources of Funds'!$H$37="","",-FV('Part III A-Sources of Funds'!$J$37/12,12,H59/12,G71))</f>
        <v>0</v>
      </c>
      <c r="I71" s="1570">
        <f>IF('Part III A-Sources of Funds'!$H$37="","",-FV('Part III A-Sources of Funds'!$J$37/12,12,I59/12,H71))</f>
        <v>0</v>
      </c>
      <c r="J71" s="1570">
        <f>IF('Part III A-Sources of Funds'!$H$37="","",-FV('Part III A-Sources of Funds'!$J$37/12,12,J59/12,I71))</f>
        <v>0</v>
      </c>
      <c r="K71" s="1570">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3673</v>
      </c>
      <c r="N73" s="954"/>
    </row>
    <row r="74" spans="1:14" ht="13.15" customHeight="1">
      <c r="A74" s="21" t="s">
        <v>3384</v>
      </c>
      <c r="B74" s="22">
        <f t="shared" ref="B74:K74" si="31">$B$14*(1+$B$5)^(B73-1)</f>
        <v>555126.17197917751</v>
      </c>
      <c r="C74" s="22">
        <f t="shared" si="31"/>
        <v>566228.695418761</v>
      </c>
      <c r="D74" s="22">
        <f t="shared" si="31"/>
        <v>577553.26932713622</v>
      </c>
      <c r="E74" s="22">
        <f t="shared" si="31"/>
        <v>589104.33471367892</v>
      </c>
      <c r="F74" s="22">
        <f t="shared" si="31"/>
        <v>600886.42140795244</v>
      </c>
      <c r="G74" s="22">
        <f t="shared" si="31"/>
        <v>612904.14983611146</v>
      </c>
      <c r="H74" s="22">
        <f t="shared" si="31"/>
        <v>625162.23283283378</v>
      </c>
      <c r="I74" s="22">
        <f t="shared" si="31"/>
        <v>637665.47748949041</v>
      </c>
      <c r="J74" s="22">
        <f t="shared" si="31"/>
        <v>650418.78703928029</v>
      </c>
      <c r="K74" s="23">
        <f t="shared" si="31"/>
        <v>663427.16278006579</v>
      </c>
      <c r="M74" s="1460"/>
      <c r="N74" s="1461"/>
    </row>
    <row r="75" spans="1:14" ht="13.15" customHeight="1">
      <c r="A75" s="24" t="s">
        <v>1519</v>
      </c>
      <c r="B75" s="25">
        <f t="shared" ref="B75:K75" si="32">$B$15*(1+$B$5)^(B73-1)</f>
        <v>11102.52343958355</v>
      </c>
      <c r="C75" s="25">
        <f t="shared" si="32"/>
        <v>11324.57390837522</v>
      </c>
      <c r="D75" s="25">
        <f t="shared" si="32"/>
        <v>11551.065386542725</v>
      </c>
      <c r="E75" s="25">
        <f t="shared" si="32"/>
        <v>11782.086694273577</v>
      </c>
      <c r="F75" s="25">
        <f t="shared" si="32"/>
        <v>12017.728428159049</v>
      </c>
      <c r="G75" s="25">
        <f t="shared" si="32"/>
        <v>12258.082996722231</v>
      </c>
      <c r="H75" s="25">
        <f t="shared" si="32"/>
        <v>12503.244656656678</v>
      </c>
      <c r="I75" s="25">
        <f t="shared" si="32"/>
        <v>12753.309549789808</v>
      </c>
      <c r="J75" s="25">
        <f t="shared" si="32"/>
        <v>13008.375740785606</v>
      </c>
      <c r="K75" s="26">
        <f t="shared" si="32"/>
        <v>13268.543255601317</v>
      </c>
      <c r="M75" s="1462"/>
      <c r="N75" s="1463"/>
    </row>
    <row r="76" spans="1:14" ht="13.15" customHeight="1">
      <c r="A76" s="24" t="s">
        <v>3385</v>
      </c>
      <c r="B76" s="25">
        <f t="shared" ref="B76:K76" si="33">-(B74+B75)*$B$8</f>
        <v>-39636.00867931328</v>
      </c>
      <c r="C76" s="25">
        <f t="shared" si="33"/>
        <v>-40428.728852899541</v>
      </c>
      <c r="D76" s="25">
        <f t="shared" si="33"/>
        <v>-41237.30342995753</v>
      </c>
      <c r="E76" s="25">
        <f t="shared" si="33"/>
        <v>-42062.049498556684</v>
      </c>
      <c r="F76" s="25">
        <f t="shared" si="33"/>
        <v>-42903.290488527804</v>
      </c>
      <c r="G76" s="25">
        <f t="shared" si="33"/>
        <v>-43761.356298298357</v>
      </c>
      <c r="H76" s="25">
        <f t="shared" si="33"/>
        <v>-44636.583424264332</v>
      </c>
      <c r="I76" s="25">
        <f t="shared" si="33"/>
        <v>-45529.315092749617</v>
      </c>
      <c r="J76" s="25">
        <f t="shared" si="33"/>
        <v>-46439.901394604618</v>
      </c>
      <c r="K76" s="26">
        <f t="shared" si="33"/>
        <v>-47368.699422496698</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-386300.10142726748</v>
      </c>
      <c r="C79" s="25">
        <f t="shared" si="34"/>
        <v>-397889.10447008541</v>
      </c>
      <c r="D79" s="25">
        <f t="shared" si="34"/>
        <v>-409825.77760418801</v>
      </c>
      <c r="E79" s="25">
        <f t="shared" si="34"/>
        <v>-422120.55093231372</v>
      </c>
      <c r="F79" s="25">
        <f t="shared" si="34"/>
        <v>-434784.16746028303</v>
      </c>
      <c r="G79" s="25">
        <f t="shared" si="34"/>
        <v>-447827.6924840915</v>
      </c>
      <c r="H79" s="25">
        <f t="shared" si="34"/>
        <v>-461262.52325861435</v>
      </c>
      <c r="I79" s="25">
        <f t="shared" si="34"/>
        <v>-475100.39895637269</v>
      </c>
      <c r="J79" s="25">
        <f t="shared" si="34"/>
        <v>-489353.41092506389</v>
      </c>
      <c r="K79" s="26">
        <f t="shared" si="34"/>
        <v>-504034.01325281576</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-47167</v>
      </c>
      <c r="C80" s="25">
        <f>IF(AND('Part VII-Pro Forma'!$G$8="Yes",'Part VII-Pro Forma'!$G$9="Yes"),"Choose One!",IF('Part VII-Pro Forma'!$G$8="Yes",ROUND((-$K$8*(1+'Part VII-Pro Forma'!$B$6)^('Part VII-Pro Forma'!C73-1)),),IF('Part VII-Pro Forma'!$G$9="Yes",ROUND((-(SUM(C74:C77)*'Part VII-Pro Forma'!$K$9)),),"Choose mgt fee")))</f>
        <v>-48582</v>
      </c>
      <c r="D80" s="25">
        <f>IF(AND('Part VII-Pro Forma'!$G$8="Yes",'Part VII-Pro Forma'!$G$9="Yes"),"Choose One!",IF('Part VII-Pro Forma'!$G$8="Yes",ROUND((-$K$8*(1+'Part VII-Pro Forma'!$B$6)^('Part VII-Pro Forma'!D73-1)),),IF('Part VII-Pro Forma'!$G$9="Yes",ROUND((-(SUM(D74:D77)*'Part VII-Pro Forma'!$K$9)),),"Choose mgt fee")))</f>
        <v>-50039</v>
      </c>
      <c r="E80" s="25">
        <f>IF(AND('Part VII-Pro Forma'!$G$8="Yes",'Part VII-Pro Forma'!$G$9="Yes"),"Choose One!",IF('Part VII-Pro Forma'!$G$8="Yes",ROUND((-$K$8*(1+'Part VII-Pro Forma'!$B$6)^('Part VII-Pro Forma'!E73-1)),),IF('Part VII-Pro Forma'!$G$9="Yes",ROUND((-(SUM(E74:E77)*'Part VII-Pro Forma'!$K$9)),),"Choose mgt fee")))</f>
        <v>-51540</v>
      </c>
      <c r="F80" s="25">
        <f>IF(AND('Part VII-Pro Forma'!$G$8="Yes",'Part VII-Pro Forma'!$G$9="Yes"),"Choose One!",IF('Part VII-Pro Forma'!$G$8="Yes",ROUND((-$K$8*(1+'Part VII-Pro Forma'!$B$6)^('Part VII-Pro Forma'!F73-1)),),IF('Part VII-Pro Forma'!$G$9="Yes",ROUND((-(SUM(F74:F77)*'Part VII-Pro Forma'!$K$9)),),"Choose mgt fee")))</f>
        <v>-53086</v>
      </c>
      <c r="G80" s="25">
        <f>IF(AND('Part VII-Pro Forma'!$G$8="Yes",'Part VII-Pro Forma'!$G$9="Yes"),"Choose One!",IF('Part VII-Pro Forma'!$G$8="Yes",ROUND((-$K$8*(1+'Part VII-Pro Forma'!$B$6)^('Part VII-Pro Forma'!G73-1)),),IF('Part VII-Pro Forma'!$G$9="Yes",ROUND((-(SUM(G74:G77)*'Part VII-Pro Forma'!$K$9)),),"Choose mgt fee")))</f>
        <v>-54679</v>
      </c>
      <c r="H80" s="25">
        <f>IF(AND('Part VII-Pro Forma'!$G$8="Yes",'Part VII-Pro Forma'!$G$9="Yes"),"Choose One!",IF('Part VII-Pro Forma'!$G$8="Yes",ROUND((-$K$8*(1+'Part VII-Pro Forma'!$B$6)^('Part VII-Pro Forma'!H73-1)),),IF('Part VII-Pro Forma'!$G$9="Yes",ROUND((-(SUM(H74:H77)*'Part VII-Pro Forma'!$K$9)),),"Choose mgt fee")))</f>
        <v>-56319</v>
      </c>
      <c r="I80" s="25">
        <f>IF(AND('Part VII-Pro Forma'!$G$8="Yes",'Part VII-Pro Forma'!$G$9="Yes"),"Choose One!",IF('Part VII-Pro Forma'!$G$8="Yes",ROUND((-$K$8*(1+'Part VII-Pro Forma'!$B$6)^('Part VII-Pro Forma'!I73-1)),),IF('Part VII-Pro Forma'!$G$9="Yes",ROUND((-(SUM(I74:I77)*'Part VII-Pro Forma'!$K$9)),),"Choose mgt fee")))</f>
        <v>-58009</v>
      </c>
      <c r="J80" s="25">
        <f>IF(AND('Part VII-Pro Forma'!$G$8="Yes",'Part VII-Pro Forma'!$G$9="Yes"),"Choose One!",IF('Part VII-Pro Forma'!$G$8="Yes",ROUND((-$K$8*(1+'Part VII-Pro Forma'!$B$6)^('Part VII-Pro Forma'!J73-1)),),IF('Part VII-Pro Forma'!$G$9="Yes",ROUND((-(SUM(J74:J77)*'Part VII-Pro Forma'!$K$9)),),"Choose mgt fee")))</f>
        <v>-59749</v>
      </c>
      <c r="K80" s="25">
        <f>IF(AND('Part VII-Pro Forma'!$G$8="Yes",'Part VII-Pro Forma'!$G$9="Yes"),"Choose One!",IF('Part VII-Pro Forma'!$G$8="Yes",ROUND((-$K$8*(1+'Part VII-Pro Forma'!$B$6)^('Part VII-Pro Forma'!K73-1)),),IF('Part VII-Pro Forma'!$G$9="Yes",ROUND((-(SUM(K74:K77)*'Part VII-Pro Forma'!$K$9)),),"Choose mgt fee")))</f>
        <v>-61542</v>
      </c>
      <c r="M80" s="1462"/>
      <c r="N80" s="1463"/>
    </row>
    <row r="81" spans="1:14" ht="13.15" customHeight="1">
      <c r="A81" s="24" t="s">
        <v>1739</v>
      </c>
      <c r="B81" s="25">
        <f t="shared" ref="B81:K81" si="35">$B$21*(1+$B$7)^(B73-1)</f>
        <v>-27091.668520041199</v>
      </c>
      <c r="C81" s="25">
        <f t="shared" si="35"/>
        <v>-27904.41857564243</v>
      </c>
      <c r="D81" s="25">
        <f t="shared" si="35"/>
        <v>-28741.551132911707</v>
      </c>
      <c r="E81" s="25">
        <f t="shared" si="35"/>
        <v>-29603.79766689906</v>
      </c>
      <c r="F81" s="25">
        <f t="shared" si="35"/>
        <v>-30491.911596906026</v>
      </c>
      <c r="G81" s="25">
        <f t="shared" si="35"/>
        <v>-31406.668944813209</v>
      </c>
      <c r="H81" s="25">
        <f t="shared" si="35"/>
        <v>-32348.869013157608</v>
      </c>
      <c r="I81" s="25">
        <f t="shared" si="35"/>
        <v>-33319.335083552331</v>
      </c>
      <c r="J81" s="25">
        <f t="shared" si="35"/>
        <v>-34318.915136058902</v>
      </c>
      <c r="K81" s="26">
        <f t="shared" si="35"/>
        <v>-35348.482590140666</v>
      </c>
      <c r="M81" s="1462"/>
      <c r="N81" s="1463"/>
    </row>
    <row r="82" spans="1:14" ht="13.15" customHeight="1">
      <c r="A82" s="24" t="s">
        <v>1740</v>
      </c>
      <c r="B82" s="25">
        <f t="shared" ref="B82:K82" si="36">SUM(B74:B81)</f>
        <v>66033.916792139193</v>
      </c>
      <c r="C82" s="25">
        <f t="shared" si="36"/>
        <v>62749.017428508872</v>
      </c>
      <c r="D82" s="25">
        <f t="shared" si="36"/>
        <v>59260.702546621724</v>
      </c>
      <c r="E82" s="25">
        <f t="shared" si="36"/>
        <v>55560.023310183125</v>
      </c>
      <c r="F82" s="25">
        <f t="shared" si="36"/>
        <v>51638.780290394556</v>
      </c>
      <c r="G82" s="25">
        <f t="shared" si="36"/>
        <v>47487.515105630606</v>
      </c>
      <c r="H82" s="25">
        <f t="shared" si="36"/>
        <v>43098.501793454117</v>
      </c>
      <c r="I82" s="25">
        <f t="shared" si="36"/>
        <v>38460.737906605485</v>
      </c>
      <c r="J82" s="25">
        <f t="shared" si="36"/>
        <v>33565.935324338527</v>
      </c>
      <c r="K82" s="26">
        <f t="shared" si="36"/>
        <v>28402.510770213958</v>
      </c>
      <c r="M82" s="1462"/>
      <c r="N82" s="1463"/>
    </row>
    <row r="83" spans="1:14" ht="13.15" customHeight="1">
      <c r="A83" s="24" t="str">
        <f>$A53</f>
        <v>Mortgage A</v>
      </c>
      <c r="B83" s="1567"/>
      <c r="C83" s="1567"/>
      <c r="D83" s="1567"/>
      <c r="E83" s="1567"/>
      <c r="F83" s="1567"/>
      <c r="G83" s="1567"/>
      <c r="H83" s="1567"/>
      <c r="I83" s="1567"/>
      <c r="J83" s="1567"/>
      <c r="K83" s="1567"/>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f>
        <v>-4000</v>
      </c>
      <c r="C88" s="1568">
        <f t="shared" ref="C88:K88" si="37">+B88</f>
        <v>-4000</v>
      </c>
      <c r="D88" s="1568">
        <f t="shared" si="37"/>
        <v>-4000</v>
      </c>
      <c r="E88" s="1568">
        <f t="shared" si="37"/>
        <v>-4000</v>
      </c>
      <c r="F88" s="1568">
        <f t="shared" si="37"/>
        <v>-4000</v>
      </c>
      <c r="G88" s="1568">
        <f t="shared" si="37"/>
        <v>-4000</v>
      </c>
      <c r="H88" s="1568">
        <f t="shared" si="37"/>
        <v>-4000</v>
      </c>
      <c r="I88" s="1568">
        <f t="shared" si="37"/>
        <v>-4000</v>
      </c>
      <c r="J88" s="1568">
        <f t="shared" si="37"/>
        <v>-4000</v>
      </c>
      <c r="K88" s="1568">
        <f t="shared" si="37"/>
        <v>-4000</v>
      </c>
      <c r="M88" s="1462"/>
      <c r="N88" s="1463"/>
    </row>
    <row r="89" spans="1:14" ht="13.15" customHeight="1">
      <c r="A89" s="24" t="s">
        <v>1741</v>
      </c>
      <c r="B89" s="1570">
        <f>IF('Part III A-Sources of Funds'!$M$37="", 0,-'Part III A-Sources of Funds'!$M$37)</f>
        <v>0</v>
      </c>
      <c r="C89" s="1570">
        <f>IF('Part III A-Sources of Funds'!$M$37="", 0,-'Part III A-Sources of Funds'!$M$37)</f>
        <v>0</v>
      </c>
      <c r="D89" s="1570">
        <f>IF('Part III A-Sources of Funds'!$M$37="", 0,-'Part III A-Sources of Funds'!$M$37)</f>
        <v>0</v>
      </c>
      <c r="E89" s="1570">
        <f>IF('Part III A-Sources of Funds'!$M$37="", 0,-'Part III A-Sources of Funds'!$M$37)</f>
        <v>0</v>
      </c>
      <c r="F89" s="1570">
        <f>IF('Part III A-Sources of Funds'!$M$37="", 0,-'Part III A-Sources of Funds'!$M$37)</f>
        <v>0</v>
      </c>
      <c r="G89" s="1570">
        <f>IF('Part III A-Sources of Funds'!$M$37="", 0,-'Part III A-Sources of Funds'!$M$37)</f>
        <v>0</v>
      </c>
      <c r="H89" s="1570">
        <f>IF('Part III A-Sources of Funds'!$M$37="", 0,-'Part III A-Sources of Funds'!$M$37)</f>
        <v>0</v>
      </c>
      <c r="I89" s="1570">
        <f>IF('Part III A-Sources of Funds'!$M$37="", 0,-'Part III A-Sources of Funds'!$M$37)</f>
        <v>0</v>
      </c>
      <c r="J89" s="1570">
        <f>IF('Part III A-Sources of Funds'!$M$37="", 0,-'Part III A-Sources of Funds'!$M$37)</f>
        <v>0</v>
      </c>
      <c r="K89" s="1568">
        <f>IF('Part III A-Sources of Funds'!$M$37="", 0,-'Part III A-Sources of Funds'!$M$37)</f>
        <v>0</v>
      </c>
      <c r="M89" s="1462"/>
      <c r="N89" s="1463"/>
    </row>
    <row r="90" spans="1:14" ht="13.15" customHeight="1">
      <c r="A90" s="24" t="s">
        <v>1687</v>
      </c>
      <c r="B90" s="25">
        <f t="shared" ref="B90:K90" si="38">SUM(B82:B89)</f>
        <v>62033.916792139193</v>
      </c>
      <c r="C90" s="25">
        <f t="shared" si="38"/>
        <v>58749.017428508872</v>
      </c>
      <c r="D90" s="25">
        <f t="shared" si="38"/>
        <v>55260.702546621724</v>
      </c>
      <c r="E90" s="25">
        <f t="shared" si="38"/>
        <v>51560.023310183125</v>
      </c>
      <c r="F90" s="25">
        <f t="shared" si="38"/>
        <v>47638.780290394556</v>
      </c>
      <c r="G90" s="25">
        <f t="shared" si="38"/>
        <v>43487.515105630606</v>
      </c>
      <c r="H90" s="25">
        <f t="shared" si="38"/>
        <v>39098.501793454117</v>
      </c>
      <c r="I90" s="25">
        <f t="shared" si="38"/>
        <v>34460.737906605485</v>
      </c>
      <c r="J90" s="25">
        <f t="shared" si="38"/>
        <v>29565.935324338527</v>
      </c>
      <c r="K90" s="23">
        <f t="shared" si="38"/>
        <v>24402.510770213958</v>
      </c>
      <c r="M90" s="1462"/>
      <c r="N90" s="1463"/>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1.1433778294997921</v>
      </c>
      <c r="C95" s="378">
        <f t="shared" ref="C95:K95" si="43">IF(OR(C80="Choose mgt fee",C80="Choose One!"),"",(C74+C75+C76+C77+C78) / -(C79+C80+C81))</f>
        <v>1.1322770977423726</v>
      </c>
      <c r="D95" s="378">
        <f t="shared" si="43"/>
        <v>1.1212851718474315</v>
      </c>
      <c r="E95" s="378">
        <f t="shared" si="43"/>
        <v>1.1103992831298879</v>
      </c>
      <c r="F95" s="378">
        <f t="shared" si="43"/>
        <v>1.0996191318321675</v>
      </c>
      <c r="G95" s="378">
        <f t="shared" si="43"/>
        <v>1.08894236131971</v>
      </c>
      <c r="H95" s="378">
        <f t="shared" si="43"/>
        <v>1.0783708309253712</v>
      </c>
      <c r="I95" s="378">
        <f t="shared" si="43"/>
        <v>1.0679004005186903</v>
      </c>
      <c r="J95" s="378">
        <f t="shared" si="43"/>
        <v>1.057532924877727</v>
      </c>
      <c r="K95" s="379">
        <f t="shared" si="43"/>
        <v>1.0472646912660333</v>
      </c>
      <c r="M95" s="1462"/>
      <c r="N95" s="1463"/>
    </row>
    <row r="96" spans="1:14" ht="13.15" customHeight="1">
      <c r="A96" s="678" t="s">
        <v>3666</v>
      </c>
      <c r="B96" s="1571">
        <f>IF('Part III A-Sources of Funds'!$H$32="","",-FV('Part III A-Sources of Funds'!$J$32/12,12,B83/12,K66))</f>
        <v>-2.4498082740236573E-9</v>
      </c>
      <c r="C96" s="1571">
        <f>IF('Part III A-Sources of Funds'!$H$32="","",-FV('Part III A-Sources of Funds'!$J$32/12,12,C83/12,B96))</f>
        <v>-2.6269051122351031E-9</v>
      </c>
      <c r="D96" s="1571">
        <f>IF('Part III A-Sources of Funds'!$H$32="","",-FV('Part III A-Sources of Funds'!$J$32/12,12,D83/12,C96))</f>
        <v>-2.8168042952002383E-9</v>
      </c>
      <c r="E96" s="1571">
        <f>IF('Part III A-Sources of Funds'!$H$32="","",-FV('Part III A-Sources of Funds'!$J$32/12,12,E83/12,D96))</f>
        <v>-3.0204313054564561E-9</v>
      </c>
      <c r="F96" s="1571">
        <f>IF('Part III A-Sources of Funds'!$H$32="","",-FV('Part III A-Sources of Funds'!$J$32/12,12,F83/12,E96))</f>
        <v>-3.2387785287486095E-9</v>
      </c>
      <c r="G96" s="1571">
        <f>IF('Part III A-Sources of Funds'!$H$32="","",-FV('Part III A-Sources of Funds'!$J$32/12,12,G83/12,F96))</f>
        <v>-3.4729100904672871E-9</v>
      </c>
      <c r="H96" s="1571">
        <f>IF('Part III A-Sources of Funds'!$H$32="","",-FV('Part III A-Sources of Funds'!$J$32/12,12,H83/12,G96))</f>
        <v>-3.7239670417136047E-9</v>
      </c>
      <c r="I96" s="1571">
        <f>IF('Part III A-Sources of Funds'!$H$32="","",-FV('Part III A-Sources of Funds'!$J$32/12,12,I83/12,H96))</f>
        <v>-3.9931729202650385E-9</v>
      </c>
      <c r="J96" s="1571">
        <f>IF('Part III A-Sources of Funds'!$H$32="","",-FV('Part III A-Sources of Funds'!$J$32/12,12,J83/12,I96))</f>
        <v>-4.2818397135439295E-9</v>
      </c>
      <c r="K96" s="1571">
        <f>IF('Part III A-Sources of Funds'!$H$32="","",-FV('Part III A-Sources of Funds'!$J$32/12,12,K83/12,J96))</f>
        <v>-4.5913742526494617E-9</v>
      </c>
      <c r="M96" s="1462"/>
      <c r="N96" s="1463"/>
    </row>
    <row r="97" spans="1:14" ht="13.15" customHeight="1">
      <c r="A97" s="678" t="s">
        <v>3667</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3668</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3651</v>
      </c>
      <c r="B100" s="1568">
        <f>'Part III A-Sources of Funds'!$H$36</f>
        <v>0</v>
      </c>
      <c r="C100" s="1568">
        <f>B100</f>
        <v>0</v>
      </c>
      <c r="D100" s="1568">
        <f t="shared" ref="D100:K100" si="44">C100</f>
        <v>0</v>
      </c>
      <c r="E100" s="1568">
        <f t="shared" si="44"/>
        <v>0</v>
      </c>
      <c r="F100" s="1568">
        <f t="shared" si="44"/>
        <v>0</v>
      </c>
      <c r="G100" s="1568">
        <f t="shared" si="44"/>
        <v>0</v>
      </c>
      <c r="H100" s="1568">
        <f t="shared" si="44"/>
        <v>0</v>
      </c>
      <c r="I100" s="1568">
        <f t="shared" si="44"/>
        <v>0</v>
      </c>
      <c r="J100" s="1568">
        <f t="shared" si="44"/>
        <v>0</v>
      </c>
      <c r="K100" s="1568">
        <f t="shared" si="44"/>
        <v>0</v>
      </c>
      <c r="M100" s="1462"/>
      <c r="N100" s="1463"/>
    </row>
    <row r="101" spans="1:14" ht="13.15" customHeight="1">
      <c r="A101" s="29" t="s">
        <v>1776</v>
      </c>
      <c r="B101" s="1570">
        <f>IF('Part III A-Sources of Funds'!$H$37="","",-FV('Part III A-Sources of Funds'!$J$37/12,12,B89/12,K71))</f>
        <v>0</v>
      </c>
      <c r="C101" s="1570">
        <f>IF('Part III A-Sources of Funds'!$H$37="","",-FV('Part III A-Sources of Funds'!$J$37/12,12,C89/12,B101))</f>
        <v>0</v>
      </c>
      <c r="D101" s="1570">
        <f>IF('Part III A-Sources of Funds'!$H$37="","",-FV('Part III A-Sources of Funds'!$J$37/12,12,D89/12,C101))</f>
        <v>0</v>
      </c>
      <c r="E101" s="1570">
        <f>IF('Part III A-Sources of Funds'!$H$37="","",-FV('Part III A-Sources of Funds'!$J$37/12,12,E89/12,D101))</f>
        <v>0</v>
      </c>
      <c r="F101" s="1570">
        <f>IF('Part III A-Sources of Funds'!$H$37="","",-FV('Part III A-Sources of Funds'!$J$37/12,12,F89/12,E101))</f>
        <v>0</v>
      </c>
      <c r="G101" s="1570">
        <f>IF('Part III A-Sources of Funds'!$H$37="","",-FV('Part III A-Sources of Funds'!$J$37/12,12,G89/12,F101))</f>
        <v>0</v>
      </c>
      <c r="H101" s="1570">
        <f>IF('Part III A-Sources of Funds'!$H$37="","",-FV('Part III A-Sources of Funds'!$J$37/12,12,H89/12,G101))</f>
        <v>0</v>
      </c>
      <c r="I101" s="1570">
        <f>IF('Part III A-Sources of Funds'!$H$37="","",-FV('Part III A-Sources of Funds'!$J$37/12,12,I89/12,H101))</f>
        <v>0</v>
      </c>
      <c r="J101" s="1570">
        <f>IF('Part III A-Sources of Funds'!$H$37="","",-FV('Part III A-Sources of Funds'!$J$37/12,12,J89/12,I101))</f>
        <v>0</v>
      </c>
      <c r="K101" s="1570">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c r="B106" s="1572"/>
      <c r="C106" s="1572"/>
      <c r="D106" s="1572"/>
      <c r="E106" s="1572"/>
      <c r="F106" s="1573"/>
      <c r="G106" s="1363"/>
      <c r="H106" s="1572"/>
      <c r="I106" s="1572"/>
      <c r="J106" s="1572"/>
      <c r="K106" s="1573"/>
      <c r="M106" s="952" t="s">
        <v>3966</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120" zoomScaleNormal="120" zoomScaleSheetLayoutView="40" workbookViewId="0">
      <pane ySplit="1770"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2012-035 Goshen Crossing II, Rincon, Effingham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3790</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3868</v>
      </c>
      <c r="E31" s="38"/>
      <c r="F31" s="38"/>
      <c r="G31" s="38"/>
      <c r="H31" s="38"/>
      <c r="I31" s="50"/>
      <c r="J31" s="40"/>
      <c r="K31" s="50"/>
      <c r="L31" s="40"/>
      <c r="M31" s="40"/>
      <c r="O31" s="79" t="s">
        <v>849</v>
      </c>
      <c r="P31" s="1574" t="s">
        <v>3983</v>
      </c>
      <c r="Q31" s="232"/>
    </row>
    <row r="32" spans="1:19" ht="12" customHeight="1">
      <c r="B32" s="55" t="s">
        <v>2865</v>
      </c>
      <c r="C32" s="62" t="s">
        <v>994</v>
      </c>
      <c r="E32" s="38"/>
      <c r="F32" s="38"/>
      <c r="G32" s="38"/>
      <c r="H32" s="38"/>
      <c r="J32" s="1575" t="s">
        <v>3050</v>
      </c>
      <c r="K32" s="1576"/>
      <c r="L32" s="1576"/>
      <c r="M32" s="1576"/>
      <c r="N32" s="1577"/>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12" customHeight="1">
      <c r="A34" s="1578" t="s">
        <v>4048</v>
      </c>
      <c r="B34" s="1579"/>
      <c r="C34" s="1579"/>
      <c r="D34" s="1579"/>
      <c r="E34" s="1579"/>
      <c r="F34" s="1579"/>
      <c r="G34" s="1579"/>
      <c r="H34" s="1579"/>
      <c r="I34" s="1579"/>
      <c r="J34" s="1579"/>
      <c r="K34" s="1579"/>
      <c r="L34" s="1579"/>
      <c r="M34" s="1579"/>
      <c r="N34" s="1579"/>
      <c r="O34" s="1579"/>
      <c r="P34" s="1579"/>
      <c r="Q34" s="1580"/>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581" t="str">
        <f>'Part I-Project Information'!$H$65</f>
        <v>Family</v>
      </c>
      <c r="K43" s="1582"/>
      <c r="L43" s="1583"/>
      <c r="M43" s="855"/>
      <c r="N43" s="855"/>
      <c r="P43" s="1574" t="s">
        <v>3985</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578"/>
      <c r="B45" s="1579"/>
      <c r="C45" s="1579"/>
      <c r="D45" s="1579"/>
      <c r="E45" s="1579"/>
      <c r="F45" s="1579"/>
      <c r="G45" s="1579"/>
      <c r="H45" s="1579"/>
      <c r="I45" s="1579"/>
      <c r="J45" s="1580"/>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3791</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574" t="s">
        <v>4019</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4" t="s">
        <v>3985</v>
      </c>
      <c r="Q51" s="232"/>
    </row>
    <row r="52" spans="1:31" ht="10.9" customHeight="1">
      <c r="A52" s="194"/>
      <c r="B52" s="50"/>
      <c r="C52" s="79" t="s">
        <v>2591</v>
      </c>
      <c r="D52" s="38" t="s">
        <v>2669</v>
      </c>
      <c r="E52" s="850"/>
      <c r="F52" s="850"/>
      <c r="G52" s="850"/>
      <c r="H52" s="40"/>
      <c r="I52" s="50"/>
      <c r="J52" s="50"/>
      <c r="O52" s="79" t="s">
        <v>2591</v>
      </c>
      <c r="P52" s="1574" t="s">
        <v>3985</v>
      </c>
      <c r="Q52" s="232"/>
    </row>
    <row r="53" spans="1:31" ht="10.9" customHeight="1">
      <c r="A53" s="194"/>
      <c r="B53" s="50"/>
      <c r="C53" s="79" t="s">
        <v>2592</v>
      </c>
      <c r="D53" s="38" t="s">
        <v>374</v>
      </c>
      <c r="E53" s="850"/>
      <c r="J53" s="79"/>
      <c r="K53" s="79" t="s">
        <v>2592</v>
      </c>
      <c r="L53" s="1584" t="s">
        <v>1469</v>
      </c>
      <c r="M53" s="1585"/>
      <c r="N53" s="1585"/>
      <c r="O53" s="1585"/>
      <c r="P53" s="1586"/>
      <c r="Q53" s="232"/>
    </row>
    <row r="54" spans="1:31" ht="11.25" customHeight="1">
      <c r="B54" s="127" t="s">
        <v>2737</v>
      </c>
      <c r="D54" s="127"/>
      <c r="E54" s="127"/>
      <c r="F54" s="127"/>
      <c r="G54" s="127"/>
      <c r="H54" s="48"/>
      <c r="I54" s="180"/>
      <c r="J54" s="180"/>
      <c r="K54" s="180"/>
      <c r="L54" s="851"/>
      <c r="M54" s="851"/>
      <c r="N54" s="851"/>
      <c r="O54" s="851"/>
      <c r="P54" s="851"/>
      <c r="Q54" s="60"/>
    </row>
    <row r="55" spans="1:31" ht="35.25" customHeight="1">
      <c r="A55" s="1578" t="s">
        <v>4020</v>
      </c>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3792</v>
      </c>
      <c r="C59" s="856"/>
      <c r="D59" s="855"/>
      <c r="E59" s="855"/>
      <c r="F59" s="855"/>
      <c r="G59" s="855"/>
      <c r="H59" s="855"/>
      <c r="I59" s="855"/>
      <c r="J59" s="855"/>
      <c r="K59" s="855"/>
      <c r="O59" s="181" t="s">
        <v>2739</v>
      </c>
      <c r="P59" s="1116"/>
      <c r="Q59" s="1117"/>
    </row>
    <row r="60" spans="1:31" ht="3" customHeight="1"/>
    <row r="61" spans="1:31" ht="12" customHeight="1">
      <c r="B61" s="55" t="s">
        <v>2862</v>
      </c>
      <c r="C61" s="195" t="s">
        <v>3462</v>
      </c>
      <c r="D61" s="183"/>
      <c r="E61" s="183"/>
      <c r="F61" s="183"/>
      <c r="G61" s="183"/>
      <c r="H61" s="183"/>
      <c r="I61" s="50"/>
      <c r="J61" s="50"/>
      <c r="K61" s="50"/>
      <c r="L61" s="803" t="s">
        <v>2862</v>
      </c>
      <c r="M61" s="1584" t="s">
        <v>4021</v>
      </c>
      <c r="N61" s="1585"/>
      <c r="O61" s="1585"/>
      <c r="P61" s="1587"/>
      <c r="Q61" s="232"/>
    </row>
    <row r="62" spans="1:31" ht="12" customHeight="1">
      <c r="B62" s="55" t="s">
        <v>2865</v>
      </c>
      <c r="C62" s="62" t="s">
        <v>2918</v>
      </c>
      <c r="D62" s="183"/>
      <c r="E62" s="183"/>
      <c r="F62" s="183"/>
      <c r="L62" s="803" t="s">
        <v>2865</v>
      </c>
      <c r="M62" s="1584" t="s">
        <v>4087</v>
      </c>
      <c r="N62" s="1585"/>
      <c r="O62" s="1585"/>
      <c r="P62" s="1587"/>
      <c r="Q62" s="232"/>
    </row>
    <row r="63" spans="1:31" ht="12" customHeight="1">
      <c r="B63" s="55" t="s">
        <v>1145</v>
      </c>
      <c r="C63" s="62" t="s">
        <v>3463</v>
      </c>
      <c r="D63" s="183"/>
      <c r="E63" s="183"/>
      <c r="F63" s="183"/>
      <c r="L63" s="803" t="s">
        <v>1145</v>
      </c>
      <c r="M63" s="1584" t="s">
        <v>4088</v>
      </c>
      <c r="N63" s="1585"/>
      <c r="O63" s="1585"/>
      <c r="P63" s="1587"/>
      <c r="Q63" s="352"/>
    </row>
    <row r="64" spans="1:31" ht="12" customHeight="1">
      <c r="B64" s="55" t="s">
        <v>3004</v>
      </c>
      <c r="C64" s="62" t="s">
        <v>3464</v>
      </c>
      <c r="D64" s="183"/>
      <c r="E64" s="183"/>
      <c r="F64" s="183"/>
      <c r="L64" s="803" t="s">
        <v>3004</v>
      </c>
      <c r="M64" s="1584">
        <v>6.7</v>
      </c>
      <c r="N64" s="1585"/>
      <c r="O64" s="1585"/>
      <c r="P64" s="1587"/>
      <c r="Q64" s="232"/>
    </row>
    <row r="65" spans="1:31" ht="22.15" customHeight="1">
      <c r="B65" s="192" t="s">
        <v>2588</v>
      </c>
      <c r="C65" s="1125" t="s">
        <v>3869</v>
      </c>
      <c r="D65" s="1125"/>
      <c r="E65" s="1125"/>
      <c r="F65" s="1125"/>
      <c r="G65" s="1125"/>
      <c r="H65" s="1125"/>
      <c r="I65" s="1125"/>
      <c r="J65" s="1125"/>
      <c r="K65" s="1125"/>
      <c r="L65" s="1125"/>
      <c r="M65" s="850"/>
      <c r="O65" s="803" t="s">
        <v>2588</v>
      </c>
      <c r="P65" s="1574" t="s">
        <v>3985</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1588" t="s">
        <v>4044</v>
      </c>
      <c r="E67" s="1589" t="s">
        <v>4043</v>
      </c>
      <c r="F67" s="1589"/>
      <c r="G67" s="1589"/>
      <c r="H67" s="62">
        <v>3</v>
      </c>
      <c r="I67" s="1588"/>
      <c r="J67" s="1589"/>
      <c r="K67" s="1589"/>
      <c r="L67" s="1589"/>
      <c r="M67" s="62">
        <v>5</v>
      </c>
      <c r="N67" s="1588"/>
      <c r="O67" s="1589"/>
      <c r="P67" s="1589"/>
      <c r="Q67" s="1589"/>
    </row>
    <row r="68" spans="1:31" ht="12" customHeight="1">
      <c r="B68" s="55"/>
      <c r="C68" s="62">
        <v>2</v>
      </c>
      <c r="D68" s="1588" t="s">
        <v>4045</v>
      </c>
      <c r="E68" s="1589" t="s">
        <v>4046</v>
      </c>
      <c r="F68" s="1589"/>
      <c r="G68" s="1589"/>
      <c r="H68" s="62">
        <v>4</v>
      </c>
      <c r="I68" s="1588"/>
      <c r="J68" s="1589"/>
      <c r="K68" s="1589"/>
      <c r="L68" s="1589"/>
      <c r="M68" s="62">
        <v>6</v>
      </c>
      <c r="N68" s="1588"/>
      <c r="O68" s="1589"/>
      <c r="P68" s="1589"/>
      <c r="Q68" s="1589"/>
    </row>
    <row r="69" spans="1:31" ht="12" customHeight="1">
      <c r="B69" s="55" t="s">
        <v>2589</v>
      </c>
      <c r="C69" s="62" t="s">
        <v>0</v>
      </c>
      <c r="D69" s="183"/>
      <c r="E69" s="183"/>
      <c r="F69" s="183"/>
      <c r="G69" s="183"/>
      <c r="H69" s="183"/>
      <c r="I69" s="50"/>
      <c r="J69" s="50"/>
      <c r="K69" s="183"/>
      <c r="L69" s="850"/>
      <c r="M69" s="850"/>
      <c r="O69" s="803" t="s">
        <v>2589</v>
      </c>
      <c r="P69" s="1590" t="s">
        <v>3985</v>
      </c>
      <c r="Q69" s="352"/>
    </row>
    <row r="70" spans="1:31" ht="11.25" customHeight="1">
      <c r="B70" s="191" t="s">
        <v>2737</v>
      </c>
      <c r="D70" s="191"/>
      <c r="E70" s="191"/>
      <c r="F70" s="191"/>
      <c r="G70" s="191"/>
      <c r="H70" s="48"/>
      <c r="I70" s="180"/>
      <c r="J70" s="180"/>
      <c r="K70" s="180"/>
      <c r="L70" s="851"/>
      <c r="M70" s="851"/>
      <c r="N70" s="851"/>
      <c r="O70" s="851"/>
      <c r="P70" s="851"/>
      <c r="Q70" s="60"/>
    </row>
    <row r="71" spans="1:31" ht="22.9" customHeight="1">
      <c r="A71" s="1578" t="s">
        <v>4047</v>
      </c>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3793</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574" t="s">
        <v>3983</v>
      </c>
      <c r="Q76" s="232"/>
    </row>
    <row r="77" spans="1:31" ht="12" customHeight="1">
      <c r="B77" s="55" t="s">
        <v>2865</v>
      </c>
      <c r="C77" s="62" t="s">
        <v>1871</v>
      </c>
      <c r="D77" s="62"/>
      <c r="E77" s="62"/>
      <c r="F77" s="62"/>
      <c r="G77" s="62"/>
      <c r="H77" s="62"/>
      <c r="I77" s="62"/>
      <c r="J77" s="62"/>
      <c r="K77" s="62"/>
      <c r="L77" s="38"/>
      <c r="M77" s="38"/>
      <c r="O77" s="803" t="s">
        <v>2865</v>
      </c>
      <c r="P77" s="1574" t="s">
        <v>3983</v>
      </c>
      <c r="Q77" s="232"/>
    </row>
    <row r="78" spans="1:31" ht="12" customHeight="1">
      <c r="A78" s="182"/>
      <c r="B78" s="44"/>
      <c r="D78" s="47" t="s">
        <v>790</v>
      </c>
      <c r="E78" s="50"/>
      <c r="F78" s="50"/>
      <c r="G78" s="50"/>
      <c r="H78" s="50"/>
      <c r="I78" s="50"/>
      <c r="K78" s="47" t="s">
        <v>791</v>
      </c>
      <c r="M78" s="1591" t="s">
        <v>1469</v>
      </c>
      <c r="N78" s="1592"/>
      <c r="O78" s="1592"/>
      <c r="P78" s="1593"/>
      <c r="Q78" s="232"/>
    </row>
    <row r="79" spans="1:31" ht="22.9" customHeight="1">
      <c r="A79" s="194"/>
      <c r="B79" s="180"/>
      <c r="C79" s="201" t="s">
        <v>2590</v>
      </c>
      <c r="D79" s="1096" t="s">
        <v>638</v>
      </c>
      <c r="E79" s="1594"/>
      <c r="F79" s="1594"/>
      <c r="G79" s="1594"/>
      <c r="H79" s="1594"/>
      <c r="I79" s="1594"/>
      <c r="J79" s="1594"/>
      <c r="K79" s="1594"/>
      <c r="L79" s="1594"/>
      <c r="M79" s="1594"/>
      <c r="N79" s="1594"/>
      <c r="O79" s="201" t="s">
        <v>2590</v>
      </c>
      <c r="P79" s="1574"/>
      <c r="Q79" s="232"/>
    </row>
    <row r="80" spans="1:31" ht="12" customHeight="1">
      <c r="A80" s="194"/>
      <c r="B80" s="180"/>
      <c r="C80" s="79" t="s">
        <v>2591</v>
      </c>
      <c r="D80" s="62" t="s">
        <v>171</v>
      </c>
      <c r="E80" s="62"/>
      <c r="F80" s="62"/>
      <c r="G80" s="62"/>
      <c r="H80" s="62"/>
      <c r="I80" s="62"/>
      <c r="J80" s="62"/>
      <c r="K80" s="62"/>
      <c r="L80" s="62"/>
      <c r="M80" s="62"/>
      <c r="O80" s="79" t="s">
        <v>2591</v>
      </c>
      <c r="P80" s="1574"/>
      <c r="Q80" s="232"/>
    </row>
    <row r="81" spans="1:32" s="182" customFormat="1" ht="24.75" customHeight="1">
      <c r="A81" s="194"/>
      <c r="B81" s="711"/>
      <c r="C81" s="201" t="s">
        <v>2592</v>
      </c>
      <c r="D81" s="1125" t="s">
        <v>3944</v>
      </c>
      <c r="E81" s="1125"/>
      <c r="F81" s="1125"/>
      <c r="G81" s="1125"/>
      <c r="H81" s="1125"/>
      <c r="I81" s="1125"/>
      <c r="J81" s="1125"/>
      <c r="K81" s="1125"/>
      <c r="L81" s="1125"/>
      <c r="M81" s="1125"/>
      <c r="N81" s="1125"/>
      <c r="O81" s="201" t="s">
        <v>2592</v>
      </c>
      <c r="P81" s="1595"/>
      <c r="Q81" s="354"/>
      <c r="AE81" s="806"/>
      <c r="AF81" s="806"/>
    </row>
    <row r="82" spans="1:32" ht="12" customHeight="1">
      <c r="B82" s="55" t="s">
        <v>1145</v>
      </c>
      <c r="C82" s="62" t="s">
        <v>173</v>
      </c>
      <c r="D82" s="62"/>
      <c r="E82" s="62"/>
      <c r="F82" s="62"/>
      <c r="G82" s="62"/>
      <c r="H82" s="62"/>
      <c r="I82" s="62"/>
      <c r="J82" s="62"/>
      <c r="K82" s="62"/>
      <c r="L82" s="62"/>
      <c r="M82" s="62"/>
      <c r="O82" s="803" t="s">
        <v>1145</v>
      </c>
      <c r="P82" s="1574" t="s">
        <v>3983</v>
      </c>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4" t="s">
        <v>3985</v>
      </c>
      <c r="Q84" s="232"/>
    </row>
    <row r="85" spans="1:32" ht="12" customHeight="1">
      <c r="B85" s="55"/>
      <c r="C85" s="79" t="s">
        <v>2591</v>
      </c>
      <c r="D85" s="62" t="s">
        <v>2011</v>
      </c>
      <c r="E85" s="62"/>
      <c r="F85" s="62"/>
      <c r="G85" s="62"/>
      <c r="H85" s="62"/>
      <c r="I85" s="62"/>
      <c r="J85" s="62"/>
      <c r="K85" s="62"/>
      <c r="L85" s="38"/>
      <c r="M85" s="38"/>
      <c r="O85" s="79" t="s">
        <v>2591</v>
      </c>
      <c r="P85" s="1574"/>
      <c r="Q85" s="232"/>
    </row>
    <row r="86" spans="1:32" ht="12" customHeight="1">
      <c r="B86" s="55"/>
      <c r="C86" s="79" t="s">
        <v>2592</v>
      </c>
      <c r="D86" s="62" t="s">
        <v>2012</v>
      </c>
      <c r="E86" s="62"/>
      <c r="F86" s="62"/>
      <c r="G86" s="62"/>
      <c r="H86" s="62"/>
      <c r="I86" s="62"/>
      <c r="J86" s="62"/>
      <c r="K86" s="62"/>
      <c r="L86" s="38"/>
      <c r="M86" s="38"/>
      <c r="O86" s="79" t="s">
        <v>2592</v>
      </c>
      <c r="P86" s="1574"/>
      <c r="Q86" s="232"/>
    </row>
    <row r="87" spans="1:32" ht="11.25" customHeight="1">
      <c r="B87" s="191" t="s">
        <v>2737</v>
      </c>
      <c r="D87" s="191"/>
      <c r="E87" s="191"/>
      <c r="F87" s="191"/>
      <c r="G87" s="191"/>
      <c r="H87" s="48"/>
      <c r="I87" s="180"/>
      <c r="J87" s="180"/>
      <c r="K87" s="180"/>
      <c r="L87" s="851"/>
      <c r="M87" s="851"/>
      <c r="N87" s="851"/>
      <c r="O87" s="851"/>
      <c r="P87" s="851"/>
      <c r="Q87" s="60"/>
    </row>
    <row r="88" spans="1:32" ht="13.15" customHeight="1">
      <c r="A88" s="1578"/>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3794</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3936</v>
      </c>
      <c r="D94" s="183"/>
      <c r="E94" s="183"/>
      <c r="F94" s="183"/>
      <c r="G94" s="183"/>
      <c r="H94" s="183"/>
      <c r="I94" s="50"/>
      <c r="J94" s="50"/>
      <c r="K94" s="50"/>
      <c r="L94" s="803" t="s">
        <v>2862</v>
      </c>
      <c r="M94" s="1584" t="s">
        <v>4022</v>
      </c>
      <c r="N94" s="1585"/>
      <c r="O94" s="1585"/>
      <c r="P94" s="1586"/>
      <c r="Q94" s="232"/>
    </row>
    <row r="95" spans="1:32" ht="12" customHeight="1">
      <c r="B95" s="55" t="s">
        <v>2865</v>
      </c>
      <c r="C95" s="62" t="s">
        <v>2141</v>
      </c>
      <c r="D95" s="183"/>
      <c r="E95" s="183"/>
      <c r="F95" s="183"/>
      <c r="G95" s="183"/>
      <c r="H95" s="183"/>
      <c r="I95" s="50"/>
      <c r="J95" s="50"/>
      <c r="K95" s="183"/>
      <c r="L95" s="183"/>
      <c r="M95" s="850"/>
      <c r="O95" s="803" t="s">
        <v>2865</v>
      </c>
      <c r="P95" s="1574" t="s">
        <v>3983</v>
      </c>
      <c r="Q95" s="352"/>
    </row>
    <row r="96" spans="1:32" ht="12" customHeight="1">
      <c r="B96" s="55" t="s">
        <v>1145</v>
      </c>
      <c r="C96" s="62" t="s">
        <v>186</v>
      </c>
      <c r="D96" s="183"/>
      <c r="E96" s="183"/>
      <c r="F96" s="183"/>
      <c r="G96" s="183"/>
      <c r="H96" s="183"/>
      <c r="I96" s="50"/>
      <c r="J96" s="50"/>
      <c r="K96" s="183"/>
      <c r="L96" s="850"/>
      <c r="M96" s="850"/>
      <c r="O96" s="803" t="s">
        <v>1145</v>
      </c>
      <c r="P96" s="1574" t="s">
        <v>3985</v>
      </c>
      <c r="Q96" s="232"/>
    </row>
    <row r="97" spans="2:17" ht="12" customHeight="1">
      <c r="B97" s="55"/>
      <c r="C97" s="78" t="s">
        <v>2590</v>
      </c>
      <c r="D97" s="62" t="s">
        <v>3937</v>
      </c>
      <c r="E97" s="183"/>
      <c r="F97" s="183"/>
      <c r="G97" s="183"/>
      <c r="H97" s="183"/>
      <c r="I97" s="50"/>
      <c r="J97" s="50"/>
      <c r="K97" s="183"/>
      <c r="L97" s="79" t="s">
        <v>2590</v>
      </c>
      <c r="M97" s="1584" t="s">
        <v>4022</v>
      </c>
      <c r="N97" s="1585"/>
      <c r="O97" s="1585"/>
      <c r="P97" s="1586"/>
      <c r="Q97" s="352"/>
    </row>
    <row r="98" spans="2:17" ht="12" customHeight="1">
      <c r="B98" s="189"/>
      <c r="C98" s="79" t="s">
        <v>2591</v>
      </c>
      <c r="D98" s="44" t="s">
        <v>3644</v>
      </c>
      <c r="E98" s="50"/>
      <c r="F98" s="50"/>
      <c r="G98" s="50"/>
      <c r="H98" s="62"/>
      <c r="I98" s="50"/>
      <c r="J98" s="50"/>
      <c r="K98" s="183"/>
      <c r="L98" s="850"/>
      <c r="M98" s="850"/>
      <c r="O98" s="803" t="s">
        <v>2591</v>
      </c>
      <c r="P98" s="1590" t="s">
        <v>4096</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596" t="s">
        <v>4097</v>
      </c>
      <c r="E100" s="1597"/>
      <c r="F100" s="1597"/>
      <c r="G100" s="1597"/>
      <c r="H100" s="1597"/>
      <c r="I100" s="1597"/>
      <c r="J100" s="1597"/>
      <c r="K100" s="1597"/>
      <c r="L100" s="1597"/>
      <c r="M100" s="1597"/>
      <c r="N100" s="1597"/>
      <c r="O100" s="1598"/>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574" t="s">
        <v>3983</v>
      </c>
      <c r="Q102" s="232"/>
    </row>
    <row r="103" spans="2:17" ht="12" customHeight="1">
      <c r="B103" s="55"/>
      <c r="C103" s="79" t="s">
        <v>2591</v>
      </c>
      <c r="D103" s="62" t="s">
        <v>1816</v>
      </c>
      <c r="E103" s="183"/>
      <c r="F103" s="183"/>
      <c r="G103" s="183"/>
      <c r="H103" s="50"/>
      <c r="I103" s="50"/>
      <c r="J103" s="50"/>
      <c r="K103" s="183"/>
      <c r="L103" s="850"/>
      <c r="M103" s="850"/>
      <c r="O103" s="79" t="s">
        <v>2591</v>
      </c>
      <c r="P103" s="1590" t="s">
        <v>3983</v>
      </c>
      <c r="Q103" s="352"/>
    </row>
    <row r="104" spans="2:17" ht="12" customHeight="1">
      <c r="B104" s="55"/>
      <c r="C104" s="79"/>
      <c r="D104" s="62" t="s">
        <v>3764</v>
      </c>
      <c r="E104" s="728" t="s">
        <v>3419</v>
      </c>
      <c r="F104" s="62" t="s">
        <v>3765</v>
      </c>
      <c r="G104" s="50"/>
      <c r="H104" s="62"/>
      <c r="I104" s="50"/>
      <c r="J104" s="50"/>
      <c r="K104" s="183"/>
      <c r="L104" s="850"/>
      <c r="M104" s="850"/>
      <c r="O104" s="728" t="s">
        <v>3419</v>
      </c>
      <c r="P104" s="1599"/>
      <c r="Q104" s="448"/>
    </row>
    <row r="105" spans="2:17" ht="12" customHeight="1">
      <c r="B105" s="55"/>
      <c r="C105" s="79"/>
      <c r="E105" s="728" t="s">
        <v>3420</v>
      </c>
      <c r="F105" s="62" t="s">
        <v>3766</v>
      </c>
      <c r="G105" s="50"/>
      <c r="H105" s="62"/>
      <c r="I105" s="50"/>
      <c r="J105" s="50"/>
      <c r="K105" s="183"/>
      <c r="L105" s="850"/>
      <c r="M105" s="850"/>
      <c r="O105" s="728" t="s">
        <v>3420</v>
      </c>
      <c r="P105" s="1590"/>
      <c r="Q105" s="352"/>
    </row>
    <row r="106" spans="2:17" ht="12" customHeight="1">
      <c r="B106" s="55"/>
      <c r="C106" s="79"/>
      <c r="E106" s="728" t="s">
        <v>3421</v>
      </c>
      <c r="F106" s="62" t="s">
        <v>3767</v>
      </c>
      <c r="G106" s="50"/>
      <c r="H106" s="62"/>
      <c r="I106" s="50"/>
      <c r="J106" s="50"/>
      <c r="K106" s="183"/>
      <c r="L106" s="850"/>
      <c r="M106" s="850"/>
      <c r="O106" s="728" t="s">
        <v>3421</v>
      </c>
      <c r="P106" s="1590"/>
      <c r="Q106" s="352"/>
    </row>
    <row r="107" spans="2:17" ht="12" customHeight="1">
      <c r="B107" s="55"/>
      <c r="C107" s="79" t="s">
        <v>2592</v>
      </c>
      <c r="D107" s="62" t="s">
        <v>1817</v>
      </c>
      <c r="E107" s="183"/>
      <c r="F107" s="183"/>
      <c r="G107" s="183"/>
      <c r="H107" s="62"/>
      <c r="I107" s="50"/>
      <c r="J107" s="50"/>
      <c r="K107" s="183"/>
      <c r="L107" s="850"/>
      <c r="M107" s="850"/>
      <c r="O107" s="79" t="s">
        <v>2592</v>
      </c>
      <c r="P107" s="1574" t="s">
        <v>3983</v>
      </c>
      <c r="Q107" s="232"/>
    </row>
    <row r="108" spans="2:17" ht="12" customHeight="1">
      <c r="B108" s="55"/>
      <c r="C108" s="79"/>
      <c r="D108" s="62" t="s">
        <v>3764</v>
      </c>
      <c r="E108" s="728" t="s">
        <v>3419</v>
      </c>
      <c r="F108" s="62" t="s">
        <v>3768</v>
      </c>
      <c r="G108" s="50"/>
      <c r="H108" s="62"/>
      <c r="I108" s="50"/>
      <c r="J108" s="50"/>
      <c r="K108" s="183"/>
      <c r="L108" s="850"/>
      <c r="O108" s="728" t="s">
        <v>3419</v>
      </c>
      <c r="P108" s="1599"/>
      <c r="Q108" s="353"/>
    </row>
    <row r="109" spans="2:17" ht="12" customHeight="1">
      <c r="B109" s="55"/>
      <c r="C109" s="79"/>
      <c r="E109" s="728" t="s">
        <v>3420</v>
      </c>
      <c r="F109" s="62" t="s">
        <v>3769</v>
      </c>
      <c r="G109" s="50"/>
      <c r="H109" s="62"/>
      <c r="I109" s="50"/>
      <c r="J109" s="50"/>
      <c r="K109" s="183"/>
      <c r="L109" s="850"/>
      <c r="O109" s="728" t="s">
        <v>3420</v>
      </c>
      <c r="P109" s="1590"/>
      <c r="Q109" s="352"/>
    </row>
    <row r="110" spans="2:17" ht="12" customHeight="1">
      <c r="B110" s="55"/>
      <c r="C110" s="79"/>
      <c r="E110" s="728" t="s">
        <v>3421</v>
      </c>
      <c r="F110" s="62" t="s">
        <v>3767</v>
      </c>
      <c r="G110" s="50"/>
      <c r="H110" s="62"/>
      <c r="I110" s="50"/>
      <c r="J110" s="50"/>
      <c r="K110" s="183"/>
      <c r="L110" s="850"/>
      <c r="O110" s="728" t="s">
        <v>3421</v>
      </c>
      <c r="P110" s="1590"/>
      <c r="Q110" s="352"/>
    </row>
    <row r="111" spans="2:17" ht="12" customHeight="1">
      <c r="B111" s="44"/>
      <c r="C111" s="79" t="s">
        <v>3331</v>
      </c>
      <c r="D111" s="62" t="s">
        <v>3770</v>
      </c>
      <c r="E111" s="183"/>
      <c r="F111" s="183"/>
      <c r="G111" s="183"/>
      <c r="H111" s="183"/>
      <c r="I111" s="50"/>
      <c r="J111" s="50"/>
      <c r="K111" s="183"/>
      <c r="L111" s="850"/>
      <c r="M111" s="850"/>
      <c r="O111" s="79" t="s">
        <v>3331</v>
      </c>
      <c r="P111" s="1574" t="s">
        <v>3983</v>
      </c>
      <c r="Q111" s="232"/>
    </row>
    <row r="112" spans="2:17" ht="12" customHeight="1">
      <c r="B112" s="55" t="s">
        <v>2588</v>
      </c>
      <c r="C112" s="196" t="s">
        <v>3396</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3397</v>
      </c>
      <c r="E113" s="183"/>
      <c r="F113" s="1574" t="s">
        <v>3983</v>
      </c>
      <c r="G113" s="232"/>
      <c r="H113" s="79" t="s">
        <v>3331</v>
      </c>
      <c r="I113" s="62" t="s">
        <v>2156</v>
      </c>
      <c r="J113" s="1574" t="s">
        <v>3983</v>
      </c>
      <c r="K113" s="232"/>
      <c r="L113" s="803" t="s">
        <v>107</v>
      </c>
      <c r="M113" s="62" t="s">
        <v>2157</v>
      </c>
      <c r="O113" s="1574" t="s">
        <v>3983</v>
      </c>
      <c r="P113" s="232"/>
    </row>
    <row r="114" spans="1:31" ht="12" customHeight="1">
      <c r="B114" s="44"/>
      <c r="C114" s="79" t="s">
        <v>2591</v>
      </c>
      <c r="D114" s="62" t="s">
        <v>3502</v>
      </c>
      <c r="E114" s="183"/>
      <c r="F114" s="1574" t="s">
        <v>3983</v>
      </c>
      <c r="G114" s="232"/>
      <c r="H114" s="79" t="s">
        <v>2153</v>
      </c>
      <c r="I114" s="62" t="s">
        <v>3772</v>
      </c>
      <c r="J114" s="1600" t="s">
        <v>3983</v>
      </c>
      <c r="K114" s="663"/>
      <c r="L114" s="803" t="s">
        <v>743</v>
      </c>
      <c r="M114" s="65" t="s">
        <v>3773</v>
      </c>
      <c r="O114" s="1600" t="s">
        <v>3983</v>
      </c>
      <c r="P114" s="663"/>
    </row>
    <row r="115" spans="1:31" ht="12" customHeight="1">
      <c r="B115" s="44"/>
      <c r="C115" s="79" t="s">
        <v>2592</v>
      </c>
      <c r="D115" s="62" t="s">
        <v>3771</v>
      </c>
      <c r="E115" s="183"/>
      <c r="F115" s="1574" t="s">
        <v>3983</v>
      </c>
      <c r="G115" s="232"/>
      <c r="H115" s="79" t="s">
        <v>2154</v>
      </c>
      <c r="I115" s="62" t="s">
        <v>2155</v>
      </c>
      <c r="J115" s="1600" t="s">
        <v>3983</v>
      </c>
      <c r="K115" s="663"/>
      <c r="L115" s="803" t="s">
        <v>744</v>
      </c>
      <c r="M115" s="65" t="s">
        <v>3774</v>
      </c>
      <c r="O115" s="1600" t="s">
        <v>3983</v>
      </c>
      <c r="P115" s="663"/>
    </row>
    <row r="116" spans="1:31" ht="12" customHeight="1">
      <c r="B116" s="44"/>
      <c r="C116" s="803" t="s">
        <v>745</v>
      </c>
      <c r="D116" s="62" t="s">
        <v>3775</v>
      </c>
      <c r="E116" s="183"/>
      <c r="F116" s="183"/>
      <c r="G116" s="183"/>
      <c r="H116" s="183"/>
      <c r="J116" s="1584" t="s">
        <v>4023</v>
      </c>
      <c r="K116" s="1585"/>
      <c r="L116" s="1585"/>
      <c r="M116" s="1585"/>
      <c r="N116" s="1585"/>
      <c r="O116" s="1585"/>
      <c r="P116" s="1586"/>
      <c r="Q116" s="232"/>
    </row>
    <row r="117" spans="1:31" ht="12" customHeight="1">
      <c r="B117" s="55" t="s">
        <v>2589</v>
      </c>
      <c r="C117" s="62" t="s">
        <v>1851</v>
      </c>
      <c r="D117" s="183"/>
      <c r="E117" s="183"/>
      <c r="F117" s="183"/>
      <c r="G117" s="183"/>
      <c r="H117" s="183"/>
      <c r="I117" s="50"/>
      <c r="J117" s="50"/>
      <c r="K117" s="183"/>
      <c r="L117" s="183"/>
      <c r="M117" s="850"/>
      <c r="O117" s="803" t="s">
        <v>2589</v>
      </c>
      <c r="P117" s="1574" t="s">
        <v>1469</v>
      </c>
      <c r="Q117" s="232"/>
    </row>
    <row r="118" spans="1:31" ht="12" customHeight="1">
      <c r="A118" s="194"/>
      <c r="B118" s="50"/>
      <c r="C118" s="79" t="s">
        <v>2590</v>
      </c>
      <c r="D118" s="62" t="s">
        <v>995</v>
      </c>
      <c r="E118" s="183"/>
      <c r="F118" s="183"/>
      <c r="G118" s="183"/>
      <c r="H118" s="183"/>
      <c r="O118" s="79" t="s">
        <v>2590</v>
      </c>
      <c r="P118" s="1574"/>
      <c r="Q118" s="232"/>
    </row>
    <row r="119" spans="1:31" ht="12" customHeight="1">
      <c r="A119" s="194"/>
      <c r="B119" s="180"/>
      <c r="C119" s="79" t="s">
        <v>2591</v>
      </c>
      <c r="D119" s="62" t="s">
        <v>681</v>
      </c>
      <c r="E119" s="62"/>
      <c r="F119" s="62"/>
      <c r="G119" s="62"/>
      <c r="H119" s="62"/>
      <c r="I119" s="50"/>
      <c r="J119" s="50"/>
      <c r="K119" s="62"/>
      <c r="L119" s="62"/>
      <c r="M119" s="62"/>
      <c r="O119" s="79" t="s">
        <v>2591</v>
      </c>
      <c r="P119" s="1574"/>
      <c r="Q119" s="232"/>
    </row>
    <row r="120" spans="1:31" ht="12" customHeight="1">
      <c r="A120" s="194"/>
      <c r="B120" s="180"/>
      <c r="C120" s="79" t="s">
        <v>2592</v>
      </c>
      <c r="D120" s="62" t="s">
        <v>951</v>
      </c>
      <c r="E120" s="62"/>
      <c r="F120" s="62"/>
      <c r="G120" s="62"/>
      <c r="H120" s="62"/>
      <c r="I120" s="50"/>
      <c r="J120" s="50"/>
      <c r="K120" s="62"/>
      <c r="L120" s="62"/>
      <c r="M120" s="62"/>
      <c r="O120" s="79" t="s">
        <v>2592</v>
      </c>
      <c r="P120" s="1574"/>
      <c r="Q120" s="232"/>
    </row>
    <row r="121" spans="1:31" ht="12" customHeight="1">
      <c r="B121" s="55" t="s">
        <v>2825</v>
      </c>
      <c r="C121" s="62" t="s">
        <v>2607</v>
      </c>
      <c r="D121" s="183"/>
      <c r="E121" s="183"/>
      <c r="F121" s="183"/>
      <c r="G121" s="183"/>
      <c r="H121" s="183"/>
      <c r="I121" s="50"/>
      <c r="J121" s="50"/>
      <c r="K121" s="183"/>
      <c r="L121" s="183"/>
      <c r="M121" s="850"/>
      <c r="O121" s="803" t="s">
        <v>2825</v>
      </c>
      <c r="P121" s="1574" t="s">
        <v>1469</v>
      </c>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12" customHeight="1">
      <c r="A124" s="1578"/>
      <c r="B124" s="1579"/>
      <c r="C124" s="1579"/>
      <c r="D124" s="1579"/>
      <c r="E124" s="1579"/>
      <c r="F124" s="1579"/>
      <c r="G124" s="1579"/>
      <c r="H124" s="1579"/>
      <c r="I124" s="1579"/>
      <c r="J124" s="1579"/>
      <c r="K124" s="1579"/>
      <c r="L124" s="1579"/>
      <c r="M124" s="1579"/>
      <c r="N124" s="1579"/>
      <c r="O124" s="1579"/>
      <c r="P124" s="1579"/>
      <c r="Q124" s="1580"/>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3795</v>
      </c>
      <c r="C128" s="856"/>
      <c r="D128" s="855"/>
      <c r="E128" s="855"/>
      <c r="F128" s="855"/>
      <c r="G128" s="855"/>
      <c r="H128" s="855"/>
      <c r="I128" s="855"/>
      <c r="J128" s="855"/>
      <c r="K128" s="855"/>
      <c r="O128" s="181" t="s">
        <v>2739</v>
      </c>
      <c r="P128" s="1116"/>
      <c r="Q128" s="1117"/>
    </row>
    <row r="129" spans="1:31" ht="10.9" customHeight="1">
      <c r="B129" s="55" t="s">
        <v>2862</v>
      </c>
      <c r="C129" s="62" t="s">
        <v>3776</v>
      </c>
      <c r="D129" s="62"/>
      <c r="E129" s="62"/>
      <c r="F129" s="62"/>
      <c r="G129" s="62"/>
      <c r="H129" s="62"/>
      <c r="N129" s="62"/>
      <c r="O129" s="803" t="s">
        <v>2862</v>
      </c>
      <c r="P129" s="1574" t="s">
        <v>3985</v>
      </c>
      <c r="Q129" s="232"/>
    </row>
    <row r="130" spans="1:31" ht="12" customHeight="1">
      <c r="A130" s="189"/>
      <c r="B130" s="55" t="s">
        <v>2865</v>
      </c>
      <c r="C130" s="190" t="s">
        <v>185</v>
      </c>
      <c r="D130" s="190"/>
      <c r="E130" s="190"/>
      <c r="F130" s="190"/>
      <c r="G130" s="190"/>
      <c r="H130" s="190"/>
      <c r="M130" s="803" t="s">
        <v>2865</v>
      </c>
      <c r="N130" s="1601" t="s">
        <v>4024</v>
      </c>
      <c r="O130" s="1602"/>
      <c r="P130" s="1147"/>
      <c r="Q130" s="1148"/>
    </row>
    <row r="131" spans="1:31" ht="12" customHeight="1">
      <c r="A131" s="189"/>
      <c r="B131" s="55" t="s">
        <v>1145</v>
      </c>
      <c r="C131" s="190" t="s">
        <v>952</v>
      </c>
      <c r="D131" s="190"/>
      <c r="E131" s="190"/>
      <c r="F131" s="190"/>
      <c r="G131" s="190"/>
      <c r="H131" s="190"/>
      <c r="J131" s="803" t="s">
        <v>1145</v>
      </c>
      <c r="K131" s="1603" t="s">
        <v>3989</v>
      </c>
      <c r="L131" s="1604"/>
      <c r="M131" s="1604"/>
      <c r="N131" s="1604"/>
      <c r="O131" s="1604"/>
      <c r="P131" s="1605"/>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11.45" customHeight="1">
      <c r="A133" s="1578" t="s">
        <v>4049</v>
      </c>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3796</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574" t="s">
        <v>3985</v>
      </c>
      <c r="Q138" s="232"/>
    </row>
    <row r="139" spans="1:31" ht="22.15" customHeight="1">
      <c r="B139" s="192" t="s">
        <v>2865</v>
      </c>
      <c r="C139" s="1125" t="s">
        <v>3518</v>
      </c>
      <c r="D139" s="1125"/>
      <c r="E139" s="1125"/>
      <c r="F139" s="1125"/>
      <c r="G139" s="1125"/>
      <c r="H139" s="1125"/>
      <c r="I139" s="1125"/>
      <c r="J139" s="1125"/>
      <c r="K139" s="1125"/>
      <c r="L139" s="1125"/>
      <c r="M139" s="1125"/>
      <c r="N139" s="1125"/>
      <c r="O139" s="219" t="s">
        <v>2865</v>
      </c>
      <c r="P139" s="1574"/>
      <c r="Q139" s="232"/>
    </row>
    <row r="140" spans="1:31" ht="21.75" customHeight="1">
      <c r="B140" s="192" t="s">
        <v>1145</v>
      </c>
      <c r="C140" s="1125" t="s">
        <v>3778</v>
      </c>
      <c r="D140" s="1125"/>
      <c r="E140" s="1125"/>
      <c r="F140" s="1125"/>
      <c r="G140" s="1125"/>
      <c r="H140" s="1125"/>
      <c r="I140" s="1125"/>
      <c r="J140" s="1125"/>
      <c r="K140" s="1125"/>
      <c r="L140" s="1125"/>
      <c r="M140" s="1125"/>
      <c r="N140" s="1125"/>
      <c r="O140" s="219" t="s">
        <v>1145</v>
      </c>
      <c r="P140" s="1574" t="s">
        <v>3985</v>
      </c>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578" t="s">
        <v>4093</v>
      </c>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3797</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574" t="s">
        <v>3985</v>
      </c>
      <c r="Q147" s="232"/>
    </row>
    <row r="148" spans="1:32" ht="12" customHeight="1">
      <c r="B148" s="192" t="s">
        <v>2865</v>
      </c>
      <c r="C148" s="197" t="s">
        <v>3779</v>
      </c>
      <c r="D148" s="197"/>
      <c r="E148" s="197"/>
      <c r="F148" s="197"/>
      <c r="G148" s="197"/>
      <c r="H148" s="197"/>
      <c r="I148" s="197"/>
      <c r="J148" s="197"/>
      <c r="K148" s="197"/>
      <c r="L148" s="197"/>
      <c r="M148" s="197"/>
      <c r="O148" s="219" t="s">
        <v>2865</v>
      </c>
      <c r="P148" s="1574" t="s">
        <v>3985</v>
      </c>
      <c r="Q148" s="232"/>
    </row>
    <row r="149" spans="1:32" ht="12" customHeight="1">
      <c r="B149" s="192" t="s">
        <v>1145</v>
      </c>
      <c r="C149" s="197" t="s">
        <v>3780</v>
      </c>
      <c r="D149" s="197"/>
      <c r="E149" s="197"/>
      <c r="F149" s="197"/>
      <c r="G149" s="197"/>
      <c r="H149" s="197"/>
      <c r="I149" s="197"/>
      <c r="J149" s="197"/>
      <c r="K149" s="197"/>
      <c r="L149" s="197"/>
      <c r="M149" s="197"/>
      <c r="O149" s="219" t="s">
        <v>1145</v>
      </c>
      <c r="P149" s="1574" t="s">
        <v>3985</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4" t="s">
        <v>3985</v>
      </c>
      <c r="Q150" s="232"/>
    </row>
    <row r="151" spans="1:32" ht="12" customHeight="1">
      <c r="B151" s="192"/>
      <c r="C151" s="197"/>
      <c r="D151" s="197"/>
      <c r="E151" s="728" t="s">
        <v>2591</v>
      </c>
      <c r="F151" s="197" t="s">
        <v>3782</v>
      </c>
      <c r="G151" s="197"/>
      <c r="H151" s="197"/>
      <c r="I151" s="197"/>
      <c r="J151" s="197"/>
      <c r="K151" s="197"/>
      <c r="L151" s="197"/>
      <c r="M151" s="197"/>
      <c r="O151" s="728" t="s">
        <v>2591</v>
      </c>
      <c r="P151" s="1574" t="s">
        <v>3985</v>
      </c>
      <c r="Q151" s="232"/>
    </row>
    <row r="152" spans="1:32" s="182" customFormat="1" ht="21.75" customHeight="1">
      <c r="B152" s="192"/>
      <c r="C152" s="197"/>
      <c r="D152" s="197"/>
      <c r="E152" s="219" t="s">
        <v>2592</v>
      </c>
      <c r="F152" s="1125" t="s">
        <v>3783</v>
      </c>
      <c r="G152" s="1125"/>
      <c r="H152" s="1125"/>
      <c r="I152" s="1125"/>
      <c r="J152" s="1125"/>
      <c r="K152" s="1125"/>
      <c r="L152" s="1125"/>
      <c r="M152" s="1125"/>
      <c r="N152" s="1125"/>
      <c r="O152" s="219" t="s">
        <v>2592</v>
      </c>
      <c r="P152" s="1595" t="s">
        <v>3985</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4" t="s">
        <v>3985</v>
      </c>
      <c r="Q153" s="232"/>
    </row>
    <row r="154" spans="1:32" s="182" customFormat="1" ht="21.75" customHeight="1">
      <c r="B154" s="192"/>
      <c r="C154" s="197"/>
      <c r="D154" s="197"/>
      <c r="E154" s="219" t="s">
        <v>2153</v>
      </c>
      <c r="F154" s="1125" t="s">
        <v>3785</v>
      </c>
      <c r="G154" s="1125"/>
      <c r="H154" s="1125"/>
      <c r="I154" s="1125"/>
      <c r="J154" s="1125"/>
      <c r="K154" s="1125"/>
      <c r="L154" s="1125"/>
      <c r="M154" s="1125"/>
      <c r="N154" s="1125"/>
      <c r="O154" s="219" t="s">
        <v>2153</v>
      </c>
      <c r="P154" s="1595"/>
      <c r="Q154" s="354"/>
      <c r="AE154" s="806"/>
      <c r="AF154" s="806"/>
    </row>
    <row r="155" spans="1:32" ht="21.75" customHeight="1">
      <c r="B155" s="192" t="s">
        <v>3004</v>
      </c>
      <c r="C155" s="1125" t="s">
        <v>3786</v>
      </c>
      <c r="D155" s="1125"/>
      <c r="E155" s="1125"/>
      <c r="F155" s="1125"/>
      <c r="G155" s="1125"/>
      <c r="H155" s="1125"/>
      <c r="I155" s="1125"/>
      <c r="J155" s="1125"/>
      <c r="K155" s="1125"/>
      <c r="L155" s="1125"/>
      <c r="M155" s="1125"/>
      <c r="N155" s="1125"/>
      <c r="O155" s="219" t="s">
        <v>3004</v>
      </c>
      <c r="P155" s="1574" t="s">
        <v>3985</v>
      </c>
      <c r="Q155" s="232"/>
    </row>
    <row r="156" spans="1:32" ht="12" customHeight="1">
      <c r="B156" s="192" t="s">
        <v>2588</v>
      </c>
      <c r="C156" s="197" t="s">
        <v>3352</v>
      </c>
      <c r="D156" s="197"/>
      <c r="E156" s="197"/>
      <c r="F156" s="197"/>
      <c r="G156" s="197"/>
      <c r="H156" s="197"/>
      <c r="I156" s="197"/>
      <c r="J156" s="197"/>
      <c r="K156" s="197"/>
      <c r="L156" s="197"/>
      <c r="M156" s="197"/>
      <c r="O156" s="219" t="s">
        <v>2588</v>
      </c>
      <c r="P156" s="1574" t="s">
        <v>3985</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11.45" customHeight="1">
      <c r="A158" s="1578" t="s">
        <v>4050</v>
      </c>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3798</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584" t="s">
        <v>1469</v>
      </c>
      <c r="K163" s="1585"/>
      <c r="L163" s="1585"/>
      <c r="M163" s="1585"/>
      <c r="N163" s="1586"/>
      <c r="O163" s="79" t="s">
        <v>2590</v>
      </c>
      <c r="P163" s="1574" t="s">
        <v>3983</v>
      </c>
      <c r="Q163" s="232"/>
    </row>
    <row r="164" spans="1:31" ht="12" customHeight="1">
      <c r="A164" s="189"/>
      <c r="B164" s="180"/>
      <c r="C164" s="143"/>
      <c r="D164" s="143"/>
      <c r="E164" s="143"/>
      <c r="F164" s="143"/>
      <c r="H164" s="79" t="s">
        <v>2591</v>
      </c>
      <c r="I164" s="62" t="s">
        <v>2204</v>
      </c>
      <c r="J164" s="1584" t="s">
        <v>4025</v>
      </c>
      <c r="K164" s="1585"/>
      <c r="L164" s="1585"/>
      <c r="M164" s="1585"/>
      <c r="N164" s="1586"/>
      <c r="O164" s="79" t="s">
        <v>2591</v>
      </c>
      <c r="P164" s="1574" t="s">
        <v>3985</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578" t="s">
        <v>4051</v>
      </c>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3799</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4" t="s">
        <v>3983</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4" t="s">
        <v>3983</v>
      </c>
      <c r="Q173" s="232"/>
    </row>
    <row r="174" spans="1:31" ht="11.45" customHeight="1">
      <c r="A174" s="189"/>
      <c r="B174" s="192" t="s">
        <v>2865</v>
      </c>
      <c r="C174" s="1125" t="s">
        <v>2720</v>
      </c>
      <c r="D174" s="1125"/>
      <c r="E174" s="1125"/>
      <c r="F174" s="1125"/>
      <c r="G174" s="1125"/>
      <c r="H174" s="79" t="s">
        <v>2590</v>
      </c>
      <c r="I174" s="62" t="s">
        <v>894</v>
      </c>
      <c r="J174" s="1584" t="s">
        <v>4026</v>
      </c>
      <c r="K174" s="1585"/>
      <c r="L174" s="1585"/>
      <c r="M174" s="1585"/>
      <c r="N174" s="1586"/>
      <c r="O174" s="79" t="s">
        <v>2030</v>
      </c>
      <c r="P174" s="1574" t="s">
        <v>3985</v>
      </c>
      <c r="Q174" s="232"/>
    </row>
    <row r="175" spans="1:31" ht="11.45" customHeight="1">
      <c r="A175" s="189"/>
      <c r="B175" s="861"/>
      <c r="C175" s="1125"/>
      <c r="D175" s="1125"/>
      <c r="E175" s="1125"/>
      <c r="F175" s="1125"/>
      <c r="G175" s="1125"/>
      <c r="H175" s="79" t="s">
        <v>2591</v>
      </c>
      <c r="I175" s="62" t="s">
        <v>125</v>
      </c>
      <c r="J175" s="1584" t="s">
        <v>4026</v>
      </c>
      <c r="K175" s="1585"/>
      <c r="L175" s="1585"/>
      <c r="M175" s="1585"/>
      <c r="N175" s="1586"/>
      <c r="O175" s="79" t="s">
        <v>2591</v>
      </c>
      <c r="P175" s="1574" t="s">
        <v>3985</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11.45" customHeight="1">
      <c r="A177" s="1578" t="s">
        <v>4052</v>
      </c>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3800</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4" t="s">
        <v>3985</v>
      </c>
      <c r="Q183" s="232"/>
    </row>
    <row r="184" spans="1:32" ht="11.45" customHeight="1">
      <c r="B184" s="55" t="s">
        <v>2865</v>
      </c>
      <c r="C184" s="62" t="s">
        <v>176</v>
      </c>
      <c r="D184" s="62"/>
      <c r="E184" s="62"/>
      <c r="F184" s="62"/>
      <c r="G184" s="62"/>
      <c r="H184" s="62"/>
      <c r="I184" s="50"/>
      <c r="J184" s="50"/>
      <c r="K184" s="50"/>
      <c r="L184" s="190"/>
      <c r="M184" s="190"/>
      <c r="O184" s="219" t="s">
        <v>2865</v>
      </c>
      <c r="P184" s="1574" t="s">
        <v>3985</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4" t="s">
        <v>3985</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4" t="s">
        <v>3983</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13.15" customHeight="1">
      <c r="A188" s="1578" t="s">
        <v>4053</v>
      </c>
      <c r="B188" s="1579"/>
      <c r="C188" s="1579"/>
      <c r="D188" s="1579"/>
      <c r="E188" s="1579"/>
      <c r="F188" s="1579"/>
      <c r="G188" s="1579"/>
      <c r="H188" s="1579"/>
      <c r="I188" s="1579"/>
      <c r="J188" s="1579"/>
      <c r="K188" s="1579"/>
      <c r="L188" s="1579"/>
      <c r="M188" s="1579"/>
      <c r="N188" s="1579"/>
      <c r="O188" s="1579"/>
      <c r="P188" s="1579"/>
      <c r="Q188" s="158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3801</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574" t="s">
        <v>3983</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4" t="s">
        <v>768</v>
      </c>
      <c r="N196" s="1585"/>
      <c r="O196" s="1586"/>
      <c r="P196" s="1574" t="s">
        <v>4019</v>
      </c>
      <c r="Q196" s="232"/>
    </row>
    <row r="197" spans="1:32" ht="11.45" customHeight="1">
      <c r="B197" s="55"/>
      <c r="C197" s="79" t="s">
        <v>2591</v>
      </c>
      <c r="D197" s="38" t="s">
        <v>180</v>
      </c>
      <c r="E197" s="38"/>
      <c r="F197" s="38"/>
      <c r="G197" s="38"/>
      <c r="H197" s="38"/>
      <c r="I197" s="50"/>
      <c r="J197" s="50"/>
      <c r="K197" s="50"/>
      <c r="L197" s="79" t="s">
        <v>2082</v>
      </c>
      <c r="M197" s="1584" t="s">
        <v>4027</v>
      </c>
      <c r="N197" s="1585"/>
      <c r="O197" s="1586"/>
      <c r="P197" s="1574" t="s">
        <v>4019</v>
      </c>
      <c r="Q197" s="232"/>
    </row>
    <row r="198" spans="1:32" ht="11.45" customHeight="1">
      <c r="B198" s="55"/>
      <c r="C198" s="79" t="s">
        <v>2592</v>
      </c>
      <c r="D198" s="38" t="s">
        <v>796</v>
      </c>
      <c r="E198" s="38"/>
      <c r="F198" s="38"/>
      <c r="G198" s="38"/>
      <c r="H198" s="38"/>
      <c r="I198" s="50"/>
      <c r="J198" s="50"/>
      <c r="K198" s="50"/>
      <c r="L198" s="79" t="s">
        <v>2083</v>
      </c>
      <c r="M198" s="1606" t="s">
        <v>4028</v>
      </c>
      <c r="N198" s="1607"/>
      <c r="O198" s="1608"/>
      <c r="P198" s="1574" t="s">
        <v>4019</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74" t="s">
        <v>4019</v>
      </c>
      <c r="Q200" s="232"/>
    </row>
    <row r="201" spans="1:32" ht="10.9" customHeight="1">
      <c r="B201" s="55"/>
      <c r="C201" s="62" t="s">
        <v>3519</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09" t="s">
        <v>4029</v>
      </c>
      <c r="E203" s="1610"/>
      <c r="F203" s="1610"/>
      <c r="G203" s="1610"/>
      <c r="H203" s="1611"/>
      <c r="I203" s="447"/>
      <c r="J203" s="292"/>
      <c r="K203" s="79" t="s">
        <v>2592</v>
      </c>
      <c r="L203" s="1609"/>
      <c r="M203" s="1610"/>
      <c r="N203" s="1610"/>
      <c r="O203" s="1611"/>
      <c r="P203" s="355"/>
      <c r="Q203" s="292"/>
      <c r="AE203" s="64"/>
      <c r="AF203" s="64"/>
    </row>
    <row r="204" spans="1:32" s="51" customFormat="1" ht="11.45" customHeight="1">
      <c r="A204" s="126"/>
      <c r="B204" s="61"/>
      <c r="C204" s="79" t="s">
        <v>2591</v>
      </c>
      <c r="D204" s="1612" t="s">
        <v>4030</v>
      </c>
      <c r="E204" s="1613"/>
      <c r="F204" s="1613"/>
      <c r="G204" s="1613"/>
      <c r="H204" s="1614"/>
      <c r="I204" s="652"/>
      <c r="J204" s="293"/>
      <c r="K204" s="79" t="s">
        <v>3331</v>
      </c>
      <c r="L204" s="1612"/>
      <c r="M204" s="1613"/>
      <c r="N204" s="1613"/>
      <c r="O204" s="1614"/>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4" t="s">
        <v>4019</v>
      </c>
      <c r="Q206" s="232"/>
    </row>
    <row r="207" spans="1:32" ht="11.45" customHeight="1">
      <c r="B207" s="55"/>
      <c r="C207" s="79" t="s">
        <v>2590</v>
      </c>
      <c r="D207" s="62" t="s">
        <v>188</v>
      </c>
      <c r="E207" s="62"/>
      <c r="F207" s="62"/>
      <c r="G207" s="62"/>
      <c r="H207" s="62"/>
      <c r="I207" s="50"/>
      <c r="J207" s="40"/>
      <c r="K207" s="50"/>
      <c r="L207" s="40"/>
      <c r="M207" s="40"/>
      <c r="O207" s="79" t="s">
        <v>2590</v>
      </c>
      <c r="P207" s="1574" t="s">
        <v>3985</v>
      </c>
      <c r="Q207" s="232"/>
    </row>
    <row r="208" spans="1:32" ht="11.45" customHeight="1">
      <c r="C208" s="79" t="s">
        <v>2591</v>
      </c>
      <c r="D208" s="38" t="s">
        <v>2490</v>
      </c>
      <c r="E208" s="38"/>
      <c r="F208" s="38"/>
      <c r="G208" s="38"/>
      <c r="H208" s="38"/>
      <c r="I208" s="50"/>
      <c r="J208" s="40"/>
      <c r="K208" s="50"/>
      <c r="L208" s="40"/>
      <c r="M208" s="40"/>
      <c r="O208" s="79" t="s">
        <v>2591</v>
      </c>
      <c r="P208" s="1574" t="s">
        <v>3985</v>
      </c>
      <c r="Q208" s="232"/>
    </row>
    <row r="209" spans="1:31" ht="11.45" customHeight="1">
      <c r="C209" s="79" t="s">
        <v>2592</v>
      </c>
      <c r="D209" s="38" t="s">
        <v>2107</v>
      </c>
      <c r="E209" s="38"/>
      <c r="F209" s="38"/>
      <c r="G209" s="38"/>
      <c r="H209" s="38"/>
      <c r="I209" s="50"/>
      <c r="J209" s="40"/>
      <c r="K209" s="50"/>
      <c r="L209" s="40"/>
      <c r="M209" s="40"/>
      <c r="O209" s="79" t="s">
        <v>2592</v>
      </c>
      <c r="P209" s="1574" t="s">
        <v>3985</v>
      </c>
      <c r="Q209" s="232"/>
    </row>
    <row r="210" spans="1:31" ht="11.45" customHeight="1">
      <c r="B210" s="55"/>
      <c r="C210" s="79" t="s">
        <v>3331</v>
      </c>
      <c r="D210" s="38" t="s">
        <v>189</v>
      </c>
      <c r="E210" s="38"/>
      <c r="F210" s="38"/>
      <c r="G210" s="38"/>
      <c r="H210" s="38"/>
      <c r="I210" s="50"/>
      <c r="J210" s="40"/>
      <c r="K210" s="50"/>
      <c r="L210" s="40"/>
      <c r="M210" s="40"/>
      <c r="O210" s="79" t="s">
        <v>3331</v>
      </c>
      <c r="P210" s="1574" t="s">
        <v>3985</v>
      </c>
      <c r="Q210" s="232"/>
    </row>
    <row r="211" spans="1:31" ht="11.45" customHeight="1">
      <c r="B211" s="55"/>
      <c r="C211" s="79" t="s">
        <v>2153</v>
      </c>
      <c r="D211" s="62" t="s">
        <v>1256</v>
      </c>
      <c r="E211" s="62"/>
      <c r="F211" s="62"/>
      <c r="G211" s="62"/>
      <c r="H211" s="62"/>
      <c r="I211" s="50"/>
      <c r="J211" s="40"/>
      <c r="K211" s="50"/>
      <c r="L211" s="40"/>
      <c r="M211" s="40"/>
      <c r="O211" s="79" t="s">
        <v>1257</v>
      </c>
      <c r="P211" s="1574" t="s">
        <v>3985</v>
      </c>
      <c r="Q211" s="232"/>
    </row>
    <row r="212" spans="1:31" ht="11.45" customHeight="1">
      <c r="B212" s="55"/>
      <c r="C212" s="79"/>
      <c r="D212" s="62" t="s">
        <v>2084</v>
      </c>
      <c r="E212" s="62"/>
      <c r="F212" s="62"/>
      <c r="G212" s="62"/>
      <c r="H212" s="62"/>
      <c r="I212" s="50"/>
      <c r="J212" s="40"/>
      <c r="K212" s="50"/>
      <c r="L212" s="40"/>
      <c r="M212" s="40"/>
      <c r="O212" s="79" t="s">
        <v>1258</v>
      </c>
      <c r="P212" s="1574" t="s">
        <v>3983</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74"/>
      <c r="Q214" s="232"/>
    </row>
    <row r="215" spans="1:31" ht="11.45" customHeight="1">
      <c r="B215" s="55"/>
      <c r="C215" s="79" t="s">
        <v>2590</v>
      </c>
      <c r="D215" s="47" t="s">
        <v>1807</v>
      </c>
      <c r="E215" s="50"/>
      <c r="F215" s="50"/>
      <c r="G215" s="47"/>
      <c r="H215" s="38"/>
      <c r="I215" s="50"/>
      <c r="J215" s="38"/>
      <c r="K215" s="50"/>
      <c r="L215" s="38"/>
      <c r="M215" s="38"/>
      <c r="O215" s="79" t="s">
        <v>2590</v>
      </c>
      <c r="P215" s="1574"/>
      <c r="Q215" s="232"/>
    </row>
    <row r="216" spans="1:31" ht="11.45" customHeight="1">
      <c r="B216" s="55"/>
      <c r="C216" s="79" t="s">
        <v>2591</v>
      </c>
      <c r="D216" s="47" t="s">
        <v>181</v>
      </c>
      <c r="E216" s="50"/>
      <c r="F216" s="50"/>
      <c r="G216" s="38"/>
      <c r="H216" s="38"/>
      <c r="I216" s="50"/>
      <c r="J216" s="38"/>
      <c r="K216" s="50"/>
      <c r="L216" s="38"/>
      <c r="M216" s="38"/>
      <c r="O216" s="79" t="s">
        <v>2591</v>
      </c>
      <c r="P216" s="1574"/>
      <c r="Q216" s="232"/>
    </row>
    <row r="217" spans="1:31" ht="11.45" customHeight="1">
      <c r="B217" s="55"/>
      <c r="C217" s="79" t="s">
        <v>2592</v>
      </c>
      <c r="D217" s="38" t="s">
        <v>2468</v>
      </c>
      <c r="E217" s="50"/>
      <c r="F217" s="50"/>
      <c r="G217" s="38"/>
      <c r="H217" s="38"/>
      <c r="I217" s="50"/>
      <c r="J217" s="38"/>
      <c r="K217" s="50"/>
      <c r="L217" s="38"/>
      <c r="M217" s="38"/>
      <c r="O217" s="79" t="s">
        <v>3340</v>
      </c>
      <c r="P217" s="1574"/>
      <c r="Q217" s="232"/>
    </row>
    <row r="218" spans="1:31" ht="11.45" customHeight="1">
      <c r="B218" s="44"/>
      <c r="C218" s="50"/>
      <c r="D218" s="38" t="s">
        <v>1852</v>
      </c>
      <c r="E218" s="50"/>
      <c r="F218" s="50"/>
      <c r="G218" s="38"/>
      <c r="H218" s="38"/>
      <c r="I218" s="50"/>
      <c r="J218" s="38"/>
      <c r="K218" s="50"/>
      <c r="L218" s="38"/>
      <c r="M218" s="38"/>
      <c r="O218" s="79" t="s">
        <v>3341</v>
      </c>
      <c r="P218" s="1574"/>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11.45" customHeight="1">
      <c r="A220" s="1578" t="s">
        <v>4054</v>
      </c>
      <c r="B220" s="1579"/>
      <c r="C220" s="1579"/>
      <c r="D220" s="1579"/>
      <c r="E220" s="1579"/>
      <c r="F220" s="1579"/>
      <c r="G220" s="1579"/>
      <c r="H220" s="1579"/>
      <c r="I220" s="1579"/>
      <c r="J220" s="1579"/>
      <c r="K220" s="1579"/>
      <c r="L220" s="1579"/>
      <c r="M220" s="1579"/>
      <c r="N220" s="1579"/>
      <c r="O220" s="1579"/>
      <c r="P220" s="1579"/>
      <c r="Q220" s="1580"/>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3802</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584" t="s">
        <v>2626</v>
      </c>
      <c r="N226" s="1585"/>
      <c r="O226" s="1586"/>
      <c r="P226" s="1149" t="s">
        <v>2626</v>
      </c>
      <c r="Q226" s="1150"/>
    </row>
    <row r="227" spans="1:32" ht="11.45" customHeight="1">
      <c r="B227" s="55" t="s">
        <v>2865</v>
      </c>
      <c r="C227" s="62" t="s">
        <v>1795</v>
      </c>
      <c r="D227" s="62"/>
      <c r="E227" s="62"/>
      <c r="F227" s="62"/>
      <c r="G227" s="62"/>
      <c r="H227" s="62"/>
      <c r="I227" s="50"/>
      <c r="J227" s="50"/>
      <c r="K227" s="50"/>
      <c r="L227" s="803" t="s">
        <v>2865</v>
      </c>
      <c r="M227" s="1615"/>
      <c r="N227" s="1616"/>
      <c r="O227" s="1617"/>
      <c r="P227" s="1130"/>
      <c r="Q227" s="1131"/>
    </row>
    <row r="228" spans="1:32" s="199" customFormat="1" ht="11.45" customHeight="1">
      <c r="B228" s="55" t="s">
        <v>1145</v>
      </c>
      <c r="C228" s="62" t="s">
        <v>2823</v>
      </c>
      <c r="D228" s="62"/>
      <c r="E228" s="62"/>
      <c r="F228" s="62"/>
      <c r="G228" s="62"/>
      <c r="H228" s="62"/>
      <c r="I228" s="126"/>
      <c r="J228" s="126"/>
      <c r="K228" s="126"/>
      <c r="L228" s="803" t="s">
        <v>1145</v>
      </c>
      <c r="M228" s="1584"/>
      <c r="N228" s="1585"/>
      <c r="O228" s="1586"/>
      <c r="P228" s="1149"/>
      <c r="Q228" s="1150"/>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74"/>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4"/>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578" t="s">
        <v>4048</v>
      </c>
      <c r="B232" s="1579"/>
      <c r="C232" s="1579"/>
      <c r="D232" s="1579"/>
      <c r="E232" s="1579"/>
      <c r="F232" s="1579"/>
      <c r="G232" s="1579"/>
      <c r="H232" s="1579"/>
      <c r="I232" s="1579"/>
      <c r="J232" s="1579"/>
      <c r="K232" s="1579"/>
      <c r="L232" s="1579"/>
      <c r="M232" s="1579"/>
      <c r="N232" s="1579"/>
      <c r="O232" s="1579"/>
      <c r="P232" s="1579"/>
      <c r="Q232" s="1580"/>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3803</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3846</v>
      </c>
      <c r="D238" s="1125"/>
      <c r="E238" s="1125"/>
      <c r="F238" s="1125"/>
      <c r="G238" s="1125"/>
      <c r="H238" s="1125"/>
      <c r="I238" s="1125"/>
      <c r="J238" s="1125"/>
      <c r="K238" s="1125"/>
      <c r="L238" s="1125"/>
      <c r="M238" s="1125"/>
      <c r="N238" s="1125"/>
      <c r="O238" s="219" t="s">
        <v>2862</v>
      </c>
      <c r="P238" s="1595" t="s">
        <v>3985</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4" t="s">
        <v>3985</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13.15" customHeight="1">
      <c r="A241" s="1578" t="s">
        <v>4055</v>
      </c>
      <c r="B241" s="1579"/>
      <c r="C241" s="1579"/>
      <c r="D241" s="1579"/>
      <c r="E241" s="1579"/>
      <c r="F241" s="1579"/>
      <c r="G241" s="1579"/>
      <c r="H241" s="1579"/>
      <c r="I241" s="1579"/>
      <c r="J241" s="1579"/>
      <c r="K241" s="1579"/>
      <c r="L241" s="1579"/>
      <c r="M241" s="1579"/>
      <c r="N241" s="1579"/>
      <c r="O241" s="1579"/>
      <c r="P241" s="1579"/>
      <c r="Q241" s="1580"/>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3804</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3890</v>
      </c>
      <c r="D247" s="1006"/>
      <c r="E247" s="1006"/>
      <c r="F247" s="1006"/>
      <c r="G247" s="1006"/>
      <c r="H247" s="1006"/>
      <c r="I247" s="1006"/>
      <c r="J247" s="1006"/>
      <c r="K247" s="1006"/>
      <c r="L247" s="1006"/>
      <c r="M247" s="1006"/>
      <c r="N247" s="1006"/>
      <c r="O247" s="219" t="s">
        <v>2862</v>
      </c>
      <c r="P247" s="1574" t="s">
        <v>4019</v>
      </c>
      <c r="Q247" s="232"/>
      <c r="AE247" s="808"/>
      <c r="AF247" s="808"/>
    </row>
    <row r="248" spans="1:32" s="661" customFormat="1" ht="24" customHeight="1">
      <c r="B248" s="192" t="s">
        <v>2865</v>
      </c>
      <c r="C248" s="1121" t="s">
        <v>3891</v>
      </c>
      <c r="D248" s="1006"/>
      <c r="E248" s="1006"/>
      <c r="F248" s="1006"/>
      <c r="G248" s="1006"/>
      <c r="H248" s="1006"/>
      <c r="I248" s="1006"/>
      <c r="J248" s="1006"/>
      <c r="K248" s="1006"/>
      <c r="L248" s="1006"/>
      <c r="M248" s="1006"/>
      <c r="N248" s="1006"/>
      <c r="O248" s="219" t="s">
        <v>2865</v>
      </c>
      <c r="P248" s="1574" t="s">
        <v>4019</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13.15" customHeight="1">
      <c r="A250" s="1578"/>
      <c r="B250" s="1579"/>
      <c r="C250" s="1579"/>
      <c r="D250" s="1579"/>
      <c r="E250" s="1579"/>
      <c r="F250" s="1579"/>
      <c r="G250" s="1579"/>
      <c r="H250" s="1579"/>
      <c r="I250" s="1579"/>
      <c r="J250" s="1579"/>
      <c r="K250" s="1579"/>
      <c r="L250" s="1579"/>
      <c r="M250" s="1579"/>
      <c r="N250" s="1579"/>
      <c r="O250" s="1579"/>
      <c r="P250" s="1579"/>
      <c r="Q250" s="1580"/>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3805</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3833</v>
      </c>
      <c r="D255" s="1121"/>
      <c r="E255" s="1121"/>
      <c r="F255" s="1121"/>
      <c r="G255" s="1121"/>
      <c r="H255" s="1121"/>
      <c r="I255" s="1121"/>
      <c r="J255" s="1121"/>
      <c r="K255" s="1121"/>
      <c r="L255" s="1121"/>
      <c r="M255" s="1121"/>
      <c r="N255" s="1121"/>
      <c r="O255" s="219" t="s">
        <v>2862</v>
      </c>
      <c r="P255" s="1595" t="s">
        <v>3985</v>
      </c>
      <c r="Q255" s="232"/>
      <c r="AE255" s="807"/>
      <c r="AF255" s="807"/>
    </row>
    <row r="256" spans="1:32" s="126" customFormat="1">
      <c r="B256" s="55" t="s">
        <v>2865</v>
      </c>
      <c r="C256" s="1096" t="s">
        <v>3834</v>
      </c>
      <c r="D256" s="1096"/>
      <c r="E256" s="1096"/>
      <c r="F256" s="1096"/>
      <c r="G256" s="1096"/>
      <c r="H256" s="1096"/>
      <c r="I256" s="1096"/>
      <c r="J256" s="1096"/>
      <c r="K256" s="1096"/>
      <c r="L256" s="1096"/>
      <c r="M256" s="1096"/>
      <c r="N256" s="1096"/>
      <c r="O256" s="803" t="s">
        <v>2865</v>
      </c>
      <c r="P256" s="1574" t="s">
        <v>3985</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595" t="s">
        <v>3985</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74" t="s">
        <v>3985</v>
      </c>
      <c r="Q258" s="232"/>
      <c r="AE258" s="807"/>
      <c r="AF258" s="807"/>
    </row>
    <row r="259" spans="1:256" s="661" customFormat="1" ht="24.75" customHeight="1">
      <c r="B259" s="192" t="s">
        <v>2588</v>
      </c>
      <c r="C259" s="1121" t="s">
        <v>3847</v>
      </c>
      <c r="D259" s="1006"/>
      <c r="E259" s="1006"/>
      <c r="F259" s="1006"/>
      <c r="G259" s="1006"/>
      <c r="H259" s="1006"/>
      <c r="I259" s="1006"/>
      <c r="J259" s="1006"/>
      <c r="K259" s="1006"/>
      <c r="L259" s="1006"/>
      <c r="M259" s="1006"/>
      <c r="N259" s="1006"/>
      <c r="O259" s="219" t="s">
        <v>2588</v>
      </c>
      <c r="P259" s="1595" t="s">
        <v>3985</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11.45" customHeight="1">
      <c r="A261" s="1578"/>
      <c r="B261" s="1579"/>
      <c r="C261" s="1579"/>
      <c r="D261" s="1579"/>
      <c r="E261" s="1579"/>
      <c r="F261" s="1579"/>
      <c r="G261" s="1579"/>
      <c r="H261" s="1579"/>
      <c r="I261" s="1579"/>
      <c r="J261" s="1579"/>
      <c r="K261" s="1579"/>
      <c r="L261" s="1579"/>
      <c r="M261" s="1579"/>
      <c r="N261" s="1579"/>
      <c r="O261" s="1579"/>
      <c r="P261" s="1579"/>
      <c r="Q261" s="1580"/>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3806</v>
      </c>
      <c r="C264" s="11"/>
      <c r="D264" s="11"/>
      <c r="E264" s="11"/>
      <c r="F264" s="11"/>
      <c r="G264" s="11"/>
      <c r="H264" s="855"/>
      <c r="I264" s="855"/>
      <c r="J264" s="855"/>
      <c r="K264" s="855"/>
      <c r="L264" s="855"/>
      <c r="M264" s="855"/>
      <c r="O264" s="181" t="s">
        <v>2739</v>
      </c>
      <c r="P264" s="1118"/>
      <c r="Q264" s="1119"/>
    </row>
    <row r="265" spans="1:256" ht="11.45" customHeight="1">
      <c r="B265" s="195" t="s">
        <v>3164</v>
      </c>
      <c r="P265" s="1574" t="s">
        <v>3983</v>
      </c>
      <c r="Q265" s="232"/>
    </row>
    <row r="266" spans="1:256" ht="12" customHeight="1">
      <c r="B266" s="197" t="s">
        <v>3112</v>
      </c>
      <c r="C266" s="197"/>
      <c r="D266" s="197"/>
      <c r="E266" s="197"/>
      <c r="F266" s="197"/>
      <c r="G266" s="197"/>
      <c r="H266" s="197"/>
      <c r="I266" s="197"/>
      <c r="J266" s="197"/>
      <c r="K266" s="197"/>
      <c r="L266" s="197"/>
      <c r="P266" s="1574" t="s">
        <v>3985</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3938</v>
      </c>
      <c r="D268" s="1121"/>
      <c r="E268" s="1121"/>
      <c r="F268" s="1121"/>
      <c r="G268" s="1121"/>
      <c r="H268" s="1121"/>
      <c r="I268" s="1121"/>
      <c r="J268" s="1121"/>
      <c r="K268" s="1121"/>
      <c r="L268" s="1121"/>
      <c r="M268" s="1121"/>
      <c r="N268" s="1121"/>
      <c r="O268" s="219" t="s">
        <v>2862</v>
      </c>
      <c r="P268" s="1595"/>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18" t="s">
        <v>2027</v>
      </c>
      <c r="H271" s="1619"/>
      <c r="I271" s="1619"/>
      <c r="J271" s="1619"/>
      <c r="K271" s="1619"/>
      <c r="L271" s="1619"/>
      <c r="M271" s="1619"/>
      <c r="N271" s="1620"/>
      <c r="O271" s="298" t="s">
        <v>2590</v>
      </c>
      <c r="P271" s="1595" t="s">
        <v>3985</v>
      </c>
      <c r="Q271" s="354"/>
    </row>
    <row r="272" spans="1:256" ht="23.25" customHeight="1">
      <c r="A272" s="194"/>
      <c r="C272" s="294" t="s">
        <v>2591</v>
      </c>
      <c r="D272" s="1110" t="s">
        <v>1648</v>
      </c>
      <c r="E272" s="1111"/>
      <c r="F272" s="1112"/>
      <c r="G272" s="1578" t="s">
        <v>3787</v>
      </c>
      <c r="H272" s="1446"/>
      <c r="I272" s="1446"/>
      <c r="J272" s="1446"/>
      <c r="K272" s="1446"/>
      <c r="L272" s="1446"/>
      <c r="M272" s="1446"/>
      <c r="N272" s="1447"/>
      <c r="O272" s="298" t="s">
        <v>2591</v>
      </c>
      <c r="P272" s="1595" t="s">
        <v>3985</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3835</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1"/>
      <c r="E275" s="1622"/>
      <c r="F275" s="1622"/>
      <c r="G275" s="1622"/>
      <c r="H275" s="1622"/>
      <c r="I275" s="1622"/>
      <c r="J275" s="1622"/>
      <c r="K275" s="1622"/>
      <c r="L275" s="1622"/>
      <c r="M275" s="1622"/>
      <c r="N275" s="1623"/>
      <c r="O275" s="298" t="s">
        <v>2590</v>
      </c>
      <c r="P275" s="1595"/>
      <c r="Q275" s="354"/>
      <c r="AE275" s="806"/>
      <c r="AF275" s="806"/>
    </row>
    <row r="276" spans="1:256" s="182" customFormat="1" ht="11.25" customHeight="1">
      <c r="A276" s="194"/>
      <c r="C276" s="294" t="s">
        <v>2591</v>
      </c>
      <c r="D276" s="1621"/>
      <c r="E276" s="1622"/>
      <c r="F276" s="1622"/>
      <c r="G276" s="1622"/>
      <c r="H276" s="1622"/>
      <c r="I276" s="1622"/>
      <c r="J276" s="1622"/>
      <c r="K276" s="1622"/>
      <c r="L276" s="1622"/>
      <c r="M276" s="1622"/>
      <c r="N276" s="1623"/>
      <c r="O276" s="298" t="s">
        <v>2591</v>
      </c>
      <c r="P276" s="1595"/>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578"/>
      <c r="B279" s="1579"/>
      <c r="C279" s="1579"/>
      <c r="D279" s="1579"/>
      <c r="E279" s="1579"/>
      <c r="F279" s="1579"/>
      <c r="G279" s="1579"/>
      <c r="H279" s="1579"/>
      <c r="I279" s="1579"/>
      <c r="J279" s="1579"/>
      <c r="K279" s="1579"/>
      <c r="L279" s="1579"/>
      <c r="M279" s="1579"/>
      <c r="N279" s="1579"/>
      <c r="O279" s="1579"/>
      <c r="P279" s="1579"/>
      <c r="Q279" s="1580"/>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3807</v>
      </c>
      <c r="C283" s="856"/>
      <c r="D283" s="855"/>
      <c r="E283" s="855"/>
      <c r="F283" s="855"/>
      <c r="G283" s="855"/>
      <c r="H283" s="855"/>
      <c r="O283" s="181" t="s">
        <v>2739</v>
      </c>
      <c r="P283" s="1116"/>
      <c r="Q283" s="1117"/>
    </row>
    <row r="284" spans="1:256" ht="3" customHeight="1"/>
    <row r="285" spans="1:256" ht="11.45" customHeight="1">
      <c r="B285" s="195" t="s">
        <v>3284</v>
      </c>
      <c r="P285" s="1574" t="s">
        <v>3985</v>
      </c>
      <c r="Q285" s="232"/>
    </row>
    <row r="286" spans="1:256" ht="11.45" customHeight="1">
      <c r="B286" s="195" t="s">
        <v>3285</v>
      </c>
      <c r="P286" s="1574" t="s">
        <v>3985</v>
      </c>
      <c r="Q286" s="232"/>
    </row>
    <row r="287" spans="1:256" ht="11.45" customHeight="1">
      <c r="B287" s="195" t="s">
        <v>850</v>
      </c>
      <c r="L287" s="1624" t="s">
        <v>4031</v>
      </c>
      <c r="M287" s="1625"/>
      <c r="N287" s="1625"/>
      <c r="O287" s="1626"/>
    </row>
    <row r="288" spans="1:256" ht="11.45" customHeight="1">
      <c r="B288" s="653" t="s">
        <v>3286</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13.15" customHeight="1">
      <c r="A290" s="1578" t="s">
        <v>4089</v>
      </c>
      <c r="B290" s="1579"/>
      <c r="C290" s="1579"/>
      <c r="D290" s="1579"/>
      <c r="E290" s="1579"/>
      <c r="F290" s="1579"/>
      <c r="G290" s="1579"/>
      <c r="H290" s="1579"/>
      <c r="I290" s="1579"/>
      <c r="J290" s="1579"/>
      <c r="K290" s="1579"/>
      <c r="L290" s="1579"/>
      <c r="M290" s="1579"/>
      <c r="N290" s="1579"/>
      <c r="O290" s="1579"/>
      <c r="P290" s="1579"/>
      <c r="Q290" s="1580"/>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3808</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3836</v>
      </c>
      <c r="D296" s="1125"/>
      <c r="E296" s="1125"/>
      <c r="F296" s="1125"/>
      <c r="G296" s="1125"/>
      <c r="H296" s="1125"/>
      <c r="I296" s="1125"/>
      <c r="J296" s="1125"/>
      <c r="K296" s="1125"/>
      <c r="L296" s="1125"/>
      <c r="M296" s="1125"/>
      <c r="N296" s="1125"/>
      <c r="O296" s="219" t="s">
        <v>2862</v>
      </c>
      <c r="P296" s="1574" t="s">
        <v>3985</v>
      </c>
      <c r="Q296" s="232"/>
    </row>
    <row r="297" spans="1:31" ht="11.45" customHeight="1">
      <c r="B297" s="192" t="s">
        <v>2865</v>
      </c>
      <c r="C297" s="1125" t="s">
        <v>3892</v>
      </c>
      <c r="D297" s="1125"/>
      <c r="E297" s="1125"/>
      <c r="F297" s="1125"/>
      <c r="G297" s="1125"/>
      <c r="H297" s="1125"/>
      <c r="I297" s="1125"/>
      <c r="J297" s="1125"/>
      <c r="K297" s="1125"/>
      <c r="L297" s="1125"/>
      <c r="M297" s="1125"/>
      <c r="N297" s="1125"/>
      <c r="O297" s="219" t="s">
        <v>2865</v>
      </c>
      <c r="P297" s="1574" t="s">
        <v>3985</v>
      </c>
      <c r="Q297" s="232"/>
    </row>
    <row r="298" spans="1:31" ht="11.45" customHeight="1">
      <c r="B298" s="192" t="s">
        <v>1145</v>
      </c>
      <c r="C298" s="197" t="s">
        <v>3837</v>
      </c>
      <c r="D298" s="197"/>
      <c r="E298" s="197"/>
      <c r="F298" s="197"/>
      <c r="G298" s="197"/>
      <c r="H298" s="197"/>
      <c r="I298" s="197"/>
      <c r="J298" s="197"/>
      <c r="K298" s="197"/>
      <c r="L298" s="197"/>
      <c r="M298" s="197"/>
      <c r="O298" s="219" t="s">
        <v>1145</v>
      </c>
      <c r="P298" s="1574" t="s">
        <v>3985</v>
      </c>
      <c r="Q298" s="232"/>
    </row>
    <row r="299" spans="1:31" ht="22.15" customHeight="1">
      <c r="B299" s="192" t="s">
        <v>3004</v>
      </c>
      <c r="C299" s="1125" t="s">
        <v>3871</v>
      </c>
      <c r="D299" s="1125"/>
      <c r="E299" s="1125"/>
      <c r="F299" s="1125"/>
      <c r="G299" s="1125"/>
      <c r="H299" s="1125"/>
      <c r="I299" s="1125"/>
      <c r="J299" s="1125"/>
      <c r="K299" s="1125"/>
      <c r="L299" s="1125"/>
      <c r="M299" s="1125"/>
      <c r="N299" s="1125"/>
      <c r="O299" s="219" t="s">
        <v>3004</v>
      </c>
      <c r="P299" s="1574" t="s">
        <v>3985</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11.45" customHeight="1">
      <c r="A301" s="1578" t="s">
        <v>4090</v>
      </c>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3878</v>
      </c>
      <c r="C305" s="5"/>
      <c r="D305" s="5"/>
      <c r="E305" s="5"/>
      <c r="F305" s="5"/>
      <c r="G305" s="5"/>
      <c r="H305" s="855"/>
      <c r="I305" s="855"/>
      <c r="J305" s="855"/>
      <c r="K305" s="855"/>
      <c r="L305" s="855"/>
      <c r="M305" s="855"/>
      <c r="O305" s="181" t="s">
        <v>2739</v>
      </c>
      <c r="P305" s="1116"/>
      <c r="Q305" s="1117"/>
    </row>
    <row r="306" spans="1:32" ht="12" customHeight="1">
      <c r="B306" s="55" t="s">
        <v>2862</v>
      </c>
      <c r="C306" s="161" t="s">
        <v>3873</v>
      </c>
      <c r="D306" s="861"/>
      <c r="E306" s="861"/>
      <c r="F306" s="861"/>
      <c r="G306" s="861"/>
      <c r="H306" s="861"/>
      <c r="I306" s="50"/>
      <c r="J306" s="803" t="s">
        <v>2862</v>
      </c>
      <c r="K306" s="1603" t="s">
        <v>3987</v>
      </c>
      <c r="L306" s="1604"/>
      <c r="M306" s="1604"/>
      <c r="N306" s="1604"/>
      <c r="O306" s="1604"/>
      <c r="P306" s="1605"/>
      <c r="Q306" s="232"/>
    </row>
    <row r="307" spans="1:32" ht="22.5" customHeight="1">
      <c r="B307" s="192" t="s">
        <v>2865</v>
      </c>
      <c r="C307" s="1096" t="s">
        <v>3872</v>
      </c>
      <c r="D307" s="1096"/>
      <c r="E307" s="1096"/>
      <c r="F307" s="1096"/>
      <c r="G307" s="1096"/>
      <c r="H307" s="1096"/>
      <c r="I307" s="1096"/>
      <c r="J307" s="1096"/>
      <c r="K307" s="1096"/>
      <c r="L307" s="1096"/>
      <c r="M307" s="1096"/>
      <c r="N307" s="1096"/>
      <c r="O307" s="219" t="s">
        <v>2865</v>
      </c>
      <c r="P307" s="1595" t="s">
        <v>3985</v>
      </c>
      <c r="Q307" s="232"/>
    </row>
    <row r="308" spans="1:32" ht="11.45" customHeight="1">
      <c r="B308" s="55" t="s">
        <v>1145</v>
      </c>
      <c r="C308" s="62" t="s">
        <v>3874</v>
      </c>
      <c r="D308" s="62"/>
      <c r="E308" s="62"/>
      <c r="F308" s="62"/>
      <c r="G308" s="62"/>
      <c r="H308" s="62"/>
      <c r="I308" s="62"/>
      <c r="J308" s="62"/>
      <c r="K308" s="62"/>
      <c r="L308" s="38"/>
      <c r="M308" s="38"/>
      <c r="O308" s="803" t="s">
        <v>1145</v>
      </c>
      <c r="P308" s="1574" t="s">
        <v>3985</v>
      </c>
      <c r="Q308" s="232"/>
    </row>
    <row r="309" spans="1:32" ht="11.45" customHeight="1">
      <c r="B309" s="55" t="s">
        <v>3004</v>
      </c>
      <c r="C309" s="62" t="s">
        <v>3875</v>
      </c>
      <c r="D309" s="62"/>
      <c r="E309" s="62"/>
      <c r="F309" s="62"/>
      <c r="G309" s="62"/>
      <c r="H309" s="62"/>
      <c r="I309" s="62"/>
      <c r="J309" s="62"/>
      <c r="K309" s="62"/>
      <c r="L309" s="62"/>
      <c r="M309" s="62"/>
      <c r="O309" s="803" t="s">
        <v>3004</v>
      </c>
      <c r="P309" s="1574" t="s">
        <v>3985</v>
      </c>
      <c r="Q309" s="232"/>
    </row>
    <row r="310" spans="1:32" s="182" customFormat="1" ht="11.45" customHeight="1">
      <c r="B310" s="192" t="s">
        <v>2588</v>
      </c>
      <c r="C310" s="1125" t="s">
        <v>3880</v>
      </c>
      <c r="D310" s="1125"/>
      <c r="E310" s="1125"/>
      <c r="F310" s="1125"/>
      <c r="G310" s="1125"/>
      <c r="H310" s="1125"/>
      <c r="I310" s="1125"/>
      <c r="J310" s="1125"/>
      <c r="K310" s="1125"/>
      <c r="L310" s="1125"/>
      <c r="M310" s="1125"/>
      <c r="N310" s="1125"/>
      <c r="O310" s="219" t="s">
        <v>2588</v>
      </c>
      <c r="P310" s="1595" t="s">
        <v>3985</v>
      </c>
      <c r="Q310" s="354"/>
      <c r="AE310" s="806"/>
      <c r="AF310" s="806"/>
    </row>
    <row r="311" spans="1:32" s="182" customFormat="1" ht="11.45" customHeight="1">
      <c r="B311" s="192" t="s">
        <v>2589</v>
      </c>
      <c r="C311" s="1125" t="s">
        <v>3893</v>
      </c>
      <c r="D311" s="1125"/>
      <c r="E311" s="1125"/>
      <c r="F311" s="1125"/>
      <c r="G311" s="1125"/>
      <c r="H311" s="1125"/>
      <c r="I311" s="1125"/>
      <c r="J311" s="1125"/>
      <c r="K311" s="1125"/>
      <c r="L311" s="1125"/>
      <c r="M311" s="1125"/>
      <c r="N311" s="1125"/>
      <c r="O311" s="219" t="s">
        <v>2589</v>
      </c>
      <c r="P311" s="1595" t="s">
        <v>3985</v>
      </c>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74" t="s">
        <v>3985</v>
      </c>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11.45" customHeight="1">
      <c r="A314" s="1578" t="s">
        <v>4091</v>
      </c>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3933</v>
      </c>
      <c r="C318" s="5"/>
      <c r="D318" s="5"/>
      <c r="E318" s="5"/>
      <c r="F318" s="5"/>
      <c r="G318" s="5"/>
      <c r="H318" s="855"/>
      <c r="I318" s="855"/>
      <c r="J318" s="855"/>
      <c r="O318" s="181" t="s">
        <v>2739</v>
      </c>
      <c r="P318" s="1116"/>
      <c r="Q318" s="1117"/>
    </row>
    <row r="319" spans="1:32" ht="13.9" customHeight="1">
      <c r="A319" s="856"/>
      <c r="B319" s="149" t="s">
        <v>3814</v>
      </c>
      <c r="C319" s="5"/>
      <c r="D319" s="5"/>
      <c r="E319" s="5"/>
      <c r="F319" s="5"/>
      <c r="G319" s="5"/>
      <c r="H319" s="855"/>
      <c r="I319" s="855"/>
      <c r="J319" s="855"/>
    </row>
    <row r="320" spans="1:32" ht="11.45" customHeight="1">
      <c r="B320" s="55" t="s">
        <v>2862</v>
      </c>
      <c r="C320" s="653" t="s">
        <v>3817</v>
      </c>
      <c r="D320" s="65"/>
      <c r="E320" s="861"/>
      <c r="F320" s="861"/>
      <c r="G320" s="861"/>
      <c r="H320" s="861"/>
      <c r="I320" s="50"/>
      <c r="O320" s="803" t="s">
        <v>2862</v>
      </c>
    </row>
    <row r="321" spans="2:32" s="182" customFormat="1" ht="21.75" customHeight="1">
      <c r="B321" s="192"/>
      <c r="C321" s="201" t="s">
        <v>2590</v>
      </c>
      <c r="D321" s="1171" t="s">
        <v>3815</v>
      </c>
      <c r="E321" s="1171"/>
      <c r="F321" s="1171"/>
      <c r="G321" s="1171"/>
      <c r="H321" s="1171"/>
      <c r="I321" s="1171"/>
      <c r="J321" s="1171"/>
      <c r="K321" s="1171"/>
      <c r="L321" s="1171"/>
      <c r="M321" s="1171"/>
      <c r="N321" s="1171"/>
      <c r="O321" s="201" t="s">
        <v>2590</v>
      </c>
      <c r="P321" s="1595"/>
      <c r="Q321" s="354"/>
      <c r="AE321" s="806"/>
      <c r="AF321" s="806"/>
    </row>
    <row r="322" spans="2:32" s="182" customFormat="1" ht="21.75" customHeight="1">
      <c r="C322" s="201" t="s">
        <v>2591</v>
      </c>
      <c r="D322" s="1121" t="s">
        <v>3816</v>
      </c>
      <c r="E322" s="1121"/>
      <c r="F322" s="1121"/>
      <c r="G322" s="1121"/>
      <c r="H322" s="1121"/>
      <c r="I322" s="1121"/>
      <c r="J322" s="1121"/>
      <c r="K322" s="1121"/>
      <c r="L322" s="1121"/>
      <c r="M322" s="1121"/>
      <c r="N322" s="1121"/>
      <c r="O322" s="201" t="s">
        <v>2591</v>
      </c>
      <c r="P322" s="1595"/>
      <c r="Q322" s="354"/>
      <c r="AE322" s="806"/>
      <c r="AF322" s="806"/>
    </row>
    <row r="323" spans="2:32" s="182" customFormat="1" ht="21.75" customHeight="1">
      <c r="B323" s="192"/>
      <c r="C323" s="201" t="s">
        <v>2592</v>
      </c>
      <c r="D323" s="1121" t="s">
        <v>3819</v>
      </c>
      <c r="E323" s="1121"/>
      <c r="F323" s="1121"/>
      <c r="G323" s="1121"/>
      <c r="H323" s="1121"/>
      <c r="I323" s="1121"/>
      <c r="J323" s="1121"/>
      <c r="K323" s="1121"/>
      <c r="L323" s="1121"/>
      <c r="M323" s="1121"/>
      <c r="N323" s="1121"/>
      <c r="O323" s="201" t="s">
        <v>2592</v>
      </c>
      <c r="P323" s="1595"/>
      <c r="Q323" s="354"/>
      <c r="AE323" s="806"/>
      <c r="AF323" s="806"/>
    </row>
    <row r="324" spans="2:32" s="182" customFormat="1" ht="22.15" customHeight="1">
      <c r="B324" s="192"/>
      <c r="C324" s="201" t="s">
        <v>3331</v>
      </c>
      <c r="D324" s="1121" t="s">
        <v>3820</v>
      </c>
      <c r="E324" s="1121"/>
      <c r="F324" s="1121"/>
      <c r="G324" s="1121"/>
      <c r="H324" s="1121"/>
      <c r="I324" s="1121"/>
      <c r="J324" s="1121"/>
      <c r="K324" s="1121"/>
      <c r="L324" s="1121"/>
      <c r="M324" s="1121"/>
      <c r="N324" s="1121"/>
      <c r="O324" s="201" t="s">
        <v>3331</v>
      </c>
      <c r="P324" s="1595"/>
      <c r="Q324" s="354"/>
      <c r="AE324" s="806"/>
      <c r="AF324" s="806"/>
    </row>
    <row r="325" spans="2:32" s="182" customFormat="1" ht="21.75" customHeight="1">
      <c r="B325" s="192"/>
      <c r="C325" s="201" t="s">
        <v>2153</v>
      </c>
      <c r="D325" s="1121" t="s">
        <v>3821</v>
      </c>
      <c r="E325" s="1121"/>
      <c r="F325" s="1121"/>
      <c r="G325" s="1121"/>
      <c r="H325" s="1121"/>
      <c r="I325" s="1121"/>
      <c r="J325" s="1121"/>
      <c r="K325" s="1121"/>
      <c r="L325" s="1121"/>
      <c r="M325" s="1121"/>
      <c r="N325" s="1121"/>
      <c r="O325" s="201" t="s">
        <v>2153</v>
      </c>
      <c r="P325" s="1595"/>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578" t="s">
        <v>4048</v>
      </c>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3894</v>
      </c>
      <c r="C341" s="5"/>
      <c r="D341" s="5"/>
      <c r="E341" s="5"/>
      <c r="F341" s="5"/>
      <c r="G341" s="5"/>
      <c r="H341" s="855"/>
      <c r="I341" s="855"/>
      <c r="J341" s="855"/>
      <c r="O341" s="181" t="s">
        <v>2739</v>
      </c>
      <c r="P341" s="1116"/>
      <c r="Q341" s="1117"/>
    </row>
    <row r="342" spans="1:31" ht="11.45" customHeight="1">
      <c r="B342" s="55" t="s">
        <v>2862</v>
      </c>
      <c r="C342" s="161" t="s">
        <v>1543</v>
      </c>
      <c r="E342" s="1584"/>
      <c r="F342" s="1585"/>
      <c r="G342" s="1585"/>
      <c r="H342" s="1585"/>
      <c r="I342" s="1586"/>
      <c r="J342" s="1168" t="s">
        <v>3832</v>
      </c>
      <c r="K342" s="1169"/>
      <c r="L342" s="1170"/>
      <c r="M342" s="1584"/>
      <c r="N342" s="1585"/>
      <c r="O342" s="1585"/>
      <c r="P342" s="1585"/>
      <c r="Q342" s="1586"/>
    </row>
    <row r="343" spans="1:31" ht="11.45" customHeight="1">
      <c r="B343" s="55" t="s">
        <v>2865</v>
      </c>
      <c r="C343" s="62" t="s">
        <v>2593</v>
      </c>
      <c r="D343" s="62"/>
      <c r="E343" s="62"/>
      <c r="F343" s="62"/>
      <c r="G343" s="62"/>
      <c r="H343" s="62"/>
      <c r="I343" s="62"/>
      <c r="J343" s="62"/>
      <c r="K343" s="62"/>
      <c r="L343" s="38"/>
      <c r="M343" s="38"/>
      <c r="O343" s="803" t="s">
        <v>2865</v>
      </c>
      <c r="P343" s="1574"/>
      <c r="Q343" s="232"/>
    </row>
    <row r="344" spans="1:31" ht="11.45" customHeight="1">
      <c r="B344" s="55" t="s">
        <v>1145</v>
      </c>
      <c r="C344" s="62" t="s">
        <v>2008</v>
      </c>
      <c r="D344" s="62"/>
      <c r="E344" s="62"/>
      <c r="F344" s="62"/>
      <c r="G344" s="62"/>
      <c r="H344" s="62"/>
      <c r="I344" s="62"/>
      <c r="J344" s="62"/>
      <c r="K344" s="62"/>
      <c r="L344" s="62"/>
      <c r="M344" s="62"/>
      <c r="O344" s="803" t="s">
        <v>1145</v>
      </c>
      <c r="P344" s="1574"/>
      <c r="Q344" s="232"/>
    </row>
    <row r="345" spans="1:31" ht="11.45" customHeight="1">
      <c r="B345" s="55" t="s">
        <v>3004</v>
      </c>
      <c r="C345" s="62" t="s">
        <v>3877</v>
      </c>
      <c r="D345" s="62"/>
      <c r="E345" s="62"/>
      <c r="F345" s="62"/>
      <c r="G345" s="62"/>
      <c r="H345" s="62"/>
      <c r="I345" s="62"/>
      <c r="J345" s="62"/>
      <c r="K345" s="62"/>
      <c r="L345" s="62"/>
      <c r="M345" s="62"/>
      <c r="O345" s="803" t="s">
        <v>3004</v>
      </c>
      <c r="P345" s="1574"/>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4"/>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595"/>
      <c r="Q347" s="232"/>
    </row>
    <row r="348" spans="1:31" ht="11.45" customHeight="1">
      <c r="B348" s="55" t="s">
        <v>2825</v>
      </c>
      <c r="C348" s="38" t="s">
        <v>792</v>
      </c>
      <c r="D348" s="203"/>
      <c r="E348" s="203"/>
      <c r="F348" s="203"/>
      <c r="G348" s="203"/>
      <c r="H348" s="203"/>
      <c r="I348" s="203"/>
      <c r="J348" s="203"/>
      <c r="K348" s="203"/>
      <c r="L348" s="203"/>
      <c r="M348" s="203"/>
      <c r="O348" s="803" t="s">
        <v>2825</v>
      </c>
      <c r="P348" s="1574"/>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578" t="s">
        <v>4048</v>
      </c>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3830</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27" t="s">
        <v>2626</v>
      </c>
      <c r="O355" s="1628"/>
      <c r="P355" s="1172" t="s">
        <v>2626</v>
      </c>
      <c r="Q355" s="1173"/>
      <c r="AE355" s="6"/>
      <c r="AF355" s="6"/>
    </row>
    <row r="356" spans="1:32" s="2" customFormat="1" ht="12" customHeight="1">
      <c r="B356" s="55" t="s">
        <v>2865</v>
      </c>
      <c r="C356" s="158" t="s">
        <v>1</v>
      </c>
      <c r="D356" s="203"/>
      <c r="E356" s="203"/>
      <c r="G356" s="803" t="s">
        <v>2865</v>
      </c>
      <c r="H356" s="1629"/>
      <c r="I356" s="1630"/>
      <c r="J356" s="1630"/>
      <c r="K356" s="1630"/>
      <c r="L356" s="1630"/>
      <c r="M356" s="1630"/>
      <c r="N356" s="1630"/>
      <c r="O356" s="1630"/>
      <c r="P356" s="1631"/>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4"/>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578" t="s">
        <v>4048</v>
      </c>
      <c r="B359" s="1579"/>
      <c r="C359" s="1579"/>
      <c r="D359" s="1579"/>
      <c r="E359" s="1579"/>
      <c r="F359" s="1579"/>
      <c r="G359" s="1579"/>
      <c r="H359" s="1579"/>
      <c r="I359" s="1579"/>
      <c r="J359" s="1579"/>
      <c r="K359" s="1579"/>
      <c r="L359" s="1579"/>
      <c r="M359" s="1579"/>
      <c r="N359" s="1579"/>
      <c r="O359" s="1579"/>
      <c r="P359" s="1579"/>
      <c r="Q359" s="158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3809</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3838</v>
      </c>
      <c r="D365" s="727"/>
      <c r="E365" s="727"/>
      <c r="H365" s="190"/>
      <c r="O365" s="803" t="s">
        <v>2862</v>
      </c>
      <c r="P365" s="1574"/>
      <c r="Q365" s="232"/>
    </row>
    <row r="366" spans="1:32" ht="12" customHeight="1">
      <c r="A366" s="194"/>
      <c r="B366" s="55" t="s">
        <v>2865</v>
      </c>
      <c r="C366" s="62" t="s">
        <v>3839</v>
      </c>
      <c r="D366" s="727"/>
      <c r="E366" s="727"/>
      <c r="O366" s="803" t="s">
        <v>2865</v>
      </c>
      <c r="P366" s="1574"/>
      <c r="Q366" s="232"/>
    </row>
    <row r="367" spans="1:32" ht="12" customHeight="1">
      <c r="A367" s="194"/>
      <c r="B367" s="55" t="s">
        <v>1145</v>
      </c>
      <c r="C367" s="62" t="s">
        <v>3895</v>
      </c>
      <c r="D367" s="727"/>
      <c r="E367" s="727"/>
      <c r="O367" s="803" t="s">
        <v>1145</v>
      </c>
      <c r="P367" s="1574" t="s">
        <v>3985</v>
      </c>
      <c r="Q367" s="232"/>
    </row>
    <row r="368" spans="1:32" ht="12" customHeight="1">
      <c r="A368" s="194"/>
      <c r="B368" s="55" t="s">
        <v>3004</v>
      </c>
      <c r="C368" s="62" t="s">
        <v>3831</v>
      </c>
      <c r="E368" s="190"/>
      <c r="O368" s="803" t="s">
        <v>3004</v>
      </c>
      <c r="P368" s="1574"/>
      <c r="Q368" s="232"/>
    </row>
    <row r="369" spans="1:31" ht="12" customHeight="1">
      <c r="B369" s="55" t="s">
        <v>2588</v>
      </c>
      <c r="C369" s="62" t="s">
        <v>2967</v>
      </c>
      <c r="E369" s="190"/>
      <c r="G369" s="803" t="s">
        <v>2588</v>
      </c>
      <c r="H369" s="1596"/>
      <c r="I369" s="1597"/>
      <c r="J369" s="1597"/>
      <c r="K369" s="1597"/>
      <c r="L369" s="1597"/>
      <c r="M369" s="1597"/>
      <c r="N369" s="1597"/>
      <c r="O369" s="1598"/>
      <c r="P369" s="1574"/>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578" t="s">
        <v>4056</v>
      </c>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3810</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574" t="s">
        <v>4019</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574" t="s">
        <v>3985</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11.45" customHeight="1">
      <c r="A379" s="1578" t="s">
        <v>4057</v>
      </c>
      <c r="B379" s="1579"/>
      <c r="C379" s="1579"/>
      <c r="D379" s="1579"/>
      <c r="E379" s="1579"/>
      <c r="F379" s="1579"/>
      <c r="G379" s="1579"/>
      <c r="H379" s="1579"/>
      <c r="I379" s="1579"/>
      <c r="J379" s="1580"/>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3811</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574" t="s">
        <v>3983</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74"/>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4"/>
      <c r="Q385" s="232"/>
    </row>
    <row r="386" spans="1:32" ht="12" customHeight="1">
      <c r="A386" s="50"/>
      <c r="B386" s="55" t="s">
        <v>1145</v>
      </c>
      <c r="C386" s="1096" t="s">
        <v>3100</v>
      </c>
      <c r="D386" s="1096"/>
      <c r="E386" s="1096"/>
      <c r="F386" s="1096"/>
      <c r="G386" s="1096"/>
      <c r="H386" s="1096"/>
      <c r="I386" s="1096"/>
      <c r="J386" s="1096"/>
      <c r="K386" s="1096"/>
      <c r="L386" s="1096"/>
      <c r="M386" s="1096"/>
      <c r="N386" s="1096"/>
      <c r="O386" s="803" t="s">
        <v>1145</v>
      </c>
      <c r="P386" s="1574"/>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2"/>
      <c r="H388" s="662" t="s">
        <v>291</v>
      </c>
      <c r="J388" s="184" t="s">
        <v>3106</v>
      </c>
      <c r="K388" s="38"/>
      <c r="N388" s="1632"/>
      <c r="O388" s="662" t="s">
        <v>291</v>
      </c>
    </row>
    <row r="389" spans="1:32" ht="12" customHeight="1">
      <c r="A389" s="50"/>
      <c r="B389" s="55"/>
      <c r="C389" s="184" t="s">
        <v>3104</v>
      </c>
      <c r="D389" s="44"/>
      <c r="E389" s="50"/>
      <c r="F389" s="38"/>
      <c r="G389" s="1632"/>
      <c r="H389" s="662"/>
      <c r="J389" s="184" t="s">
        <v>3107</v>
      </c>
      <c r="K389" s="38"/>
      <c r="N389" s="1632"/>
      <c r="O389" s="662"/>
    </row>
    <row r="390" spans="1:32" ht="12" customHeight="1">
      <c r="A390" s="50"/>
      <c r="B390" s="55"/>
      <c r="C390" s="184" t="s">
        <v>3105</v>
      </c>
      <c r="D390" s="44"/>
      <c r="E390" s="50"/>
      <c r="F390" s="38"/>
      <c r="G390" s="1632"/>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4"/>
      <c r="H392" s="232"/>
      <c r="J392" s="697" t="s">
        <v>1705</v>
      </c>
      <c r="K392" s="38"/>
      <c r="N392" s="1574"/>
      <c r="O392" s="232"/>
    </row>
    <row r="393" spans="1:32" ht="12" customHeight="1">
      <c r="A393" s="50"/>
      <c r="B393" s="55"/>
      <c r="C393" s="697" t="s">
        <v>1704</v>
      </c>
      <c r="D393" s="38"/>
      <c r="E393" s="38"/>
      <c r="F393" s="38"/>
      <c r="G393" s="1574"/>
      <c r="H393" s="232"/>
      <c r="J393" s="697" t="s">
        <v>3166</v>
      </c>
      <c r="N393" s="1633"/>
      <c r="O393" s="1634"/>
      <c r="P393" s="1634"/>
      <c r="Q393" s="1635"/>
    </row>
    <row r="394" spans="1:32" ht="12" customHeight="1">
      <c r="B394" s="191" t="s">
        <v>2737</v>
      </c>
      <c r="D394" s="191"/>
      <c r="E394" s="191"/>
      <c r="F394" s="191"/>
      <c r="G394" s="191"/>
      <c r="H394" s="48"/>
      <c r="I394" s="180"/>
      <c r="J394" s="180"/>
      <c r="K394" s="180"/>
      <c r="P394" s="851"/>
      <c r="Q394" s="60"/>
    </row>
    <row r="395" spans="1:32" ht="12" customHeight="1">
      <c r="A395" s="1578" t="s">
        <v>4058</v>
      </c>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3812</v>
      </c>
      <c r="C399" s="5"/>
      <c r="D399" s="115"/>
      <c r="E399" s="855"/>
      <c r="F399" s="855"/>
      <c r="G399" s="855"/>
      <c r="H399" s="855"/>
      <c r="O399" s="181" t="s">
        <v>2739</v>
      </c>
      <c r="P399" s="1116"/>
      <c r="Q399" s="1117"/>
    </row>
    <row r="400" spans="1:32" s="182" customFormat="1" ht="21.75" customHeight="1">
      <c r="B400" s="192" t="s">
        <v>2862</v>
      </c>
      <c r="C400" s="1162" t="s">
        <v>3881</v>
      </c>
      <c r="D400" s="1162"/>
      <c r="E400" s="1162"/>
      <c r="F400" s="1162"/>
      <c r="G400" s="1162"/>
      <c r="H400" s="1162"/>
      <c r="I400" s="1162"/>
      <c r="J400" s="1162"/>
      <c r="K400" s="1162"/>
      <c r="L400" s="1162"/>
      <c r="M400" s="1162"/>
      <c r="N400" s="1162"/>
      <c r="O400" s="219" t="s">
        <v>2862</v>
      </c>
      <c r="P400" s="1595"/>
      <c r="Q400" s="354"/>
      <c r="AE400" s="806"/>
      <c r="AF400" s="806"/>
    </row>
    <row r="401" spans="1:32" s="182" customFormat="1" ht="12" customHeight="1">
      <c r="B401" s="192" t="s">
        <v>2865</v>
      </c>
      <c r="C401" s="1162" t="s">
        <v>3882</v>
      </c>
      <c r="D401" s="1162"/>
      <c r="E401" s="1162"/>
      <c r="F401" s="1162"/>
      <c r="G401" s="1162"/>
      <c r="H401" s="1162"/>
      <c r="I401" s="1162"/>
      <c r="J401" s="1162"/>
      <c r="K401" s="1162"/>
      <c r="L401" s="1162"/>
      <c r="M401" s="1162"/>
      <c r="N401" s="1162"/>
      <c r="O401" s="219" t="s">
        <v>2865</v>
      </c>
      <c r="P401" s="1595"/>
      <c r="Q401" s="354"/>
      <c r="AE401" s="806"/>
      <c r="AF401" s="806"/>
    </row>
    <row r="402" spans="1:32" s="182" customFormat="1" ht="21.75" customHeight="1">
      <c r="B402" s="192" t="s">
        <v>1145</v>
      </c>
      <c r="C402" s="1162" t="s">
        <v>3883</v>
      </c>
      <c r="D402" s="1162"/>
      <c r="E402" s="1162"/>
      <c r="F402" s="1162"/>
      <c r="G402" s="1162"/>
      <c r="H402" s="1162"/>
      <c r="I402" s="1162"/>
      <c r="J402" s="1162"/>
      <c r="K402" s="1162"/>
      <c r="L402" s="1162"/>
      <c r="M402" s="1162"/>
      <c r="N402" s="1162"/>
      <c r="O402" s="219" t="s">
        <v>1145</v>
      </c>
      <c r="P402" s="1595"/>
      <c r="Q402" s="354"/>
      <c r="AE402" s="806"/>
      <c r="AF402" s="806"/>
    </row>
    <row r="403" spans="1:32" s="182" customFormat="1" ht="33.75" customHeight="1">
      <c r="B403" s="192" t="s">
        <v>3004</v>
      </c>
      <c r="C403" s="1162" t="s">
        <v>3884</v>
      </c>
      <c r="D403" s="1162"/>
      <c r="E403" s="1162"/>
      <c r="F403" s="1162"/>
      <c r="G403" s="1162"/>
      <c r="H403" s="1162"/>
      <c r="I403" s="1162"/>
      <c r="J403" s="1162"/>
      <c r="K403" s="1162"/>
      <c r="L403" s="1162"/>
      <c r="M403" s="1162"/>
      <c r="N403" s="1162"/>
      <c r="O403" s="219" t="s">
        <v>3004</v>
      </c>
      <c r="P403" s="1595"/>
      <c r="Q403" s="354"/>
      <c r="AE403" s="806"/>
      <c r="AF403" s="806"/>
    </row>
    <row r="404" spans="1:32" s="182" customFormat="1" ht="23.45" customHeight="1">
      <c r="B404" s="192" t="s">
        <v>2588</v>
      </c>
      <c r="C404" s="1162" t="s">
        <v>3885</v>
      </c>
      <c r="D404" s="1162"/>
      <c r="E404" s="1162"/>
      <c r="F404" s="1162"/>
      <c r="G404" s="1162"/>
      <c r="H404" s="1162"/>
      <c r="I404" s="1162"/>
      <c r="J404" s="1162"/>
      <c r="K404" s="1162"/>
      <c r="L404" s="1162"/>
      <c r="M404" s="1162"/>
      <c r="N404" s="1162"/>
      <c r="O404" s="219" t="s">
        <v>2588</v>
      </c>
      <c r="P404" s="1595"/>
      <c r="Q404" s="354"/>
      <c r="AE404" s="806"/>
      <c r="AF404" s="806"/>
    </row>
    <row r="405" spans="1:32" s="182" customFormat="1" ht="21.75" customHeight="1">
      <c r="B405" s="192" t="s">
        <v>2589</v>
      </c>
      <c r="C405" s="1162" t="s">
        <v>3886</v>
      </c>
      <c r="D405" s="1162"/>
      <c r="E405" s="1162"/>
      <c r="F405" s="1162"/>
      <c r="G405" s="1162"/>
      <c r="H405" s="1162"/>
      <c r="I405" s="1162"/>
      <c r="J405" s="1162"/>
      <c r="K405" s="1162"/>
      <c r="L405" s="1162"/>
      <c r="M405" s="1162"/>
      <c r="N405" s="1162"/>
      <c r="O405" s="219" t="s">
        <v>2589</v>
      </c>
      <c r="P405" s="1595"/>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578" t="s">
        <v>4058</v>
      </c>
      <c r="B407" s="1579"/>
      <c r="C407" s="1579"/>
      <c r="D407" s="1579"/>
      <c r="E407" s="1579"/>
      <c r="F407" s="1579"/>
      <c r="G407" s="1579"/>
      <c r="H407" s="1579"/>
      <c r="I407" s="1579"/>
      <c r="J407" s="1579"/>
      <c r="K407" s="1579"/>
      <c r="L407" s="1579"/>
      <c r="M407" s="1579"/>
      <c r="N407" s="1579"/>
      <c r="O407" s="1579"/>
      <c r="P407" s="1579"/>
      <c r="Q407" s="1580"/>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3813</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75" customHeight="1">
      <c r="A413" s="1609" t="s">
        <v>4092</v>
      </c>
      <c r="B413" s="1610"/>
      <c r="C413" s="1610"/>
      <c r="D413" s="1610"/>
      <c r="E413" s="1610"/>
      <c r="F413" s="1610"/>
      <c r="G413" s="1610"/>
      <c r="H413" s="1610"/>
      <c r="I413" s="1610"/>
      <c r="J413" s="1610"/>
      <c r="K413" s="1610"/>
      <c r="L413" s="1610"/>
      <c r="M413" s="1610"/>
      <c r="N413" s="1610"/>
      <c r="O413" s="1610"/>
      <c r="P413" s="1610"/>
      <c r="Q413" s="1611"/>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6"/>
      <c r="B419" s="1636"/>
      <c r="C419" s="1636"/>
      <c r="D419" s="1636"/>
      <c r="E419" s="1636"/>
      <c r="F419" s="1636"/>
      <c r="G419" s="1636"/>
      <c r="H419" s="1636"/>
      <c r="I419" s="1636"/>
      <c r="J419" s="1636"/>
      <c r="K419" s="1636"/>
      <c r="L419" s="1636"/>
      <c r="M419" s="1636"/>
      <c r="N419" s="1636"/>
      <c r="O419" s="1636"/>
      <c r="P419" s="1636"/>
      <c r="Q419" s="1636"/>
      <c r="AE419" s="807"/>
      <c r="AF419" s="807"/>
    </row>
    <row r="420" spans="1:32" s="199" customFormat="1" ht="12" customHeight="1">
      <c r="A420" s="1636"/>
      <c r="B420" s="1636"/>
      <c r="C420" s="1636"/>
      <c r="D420" s="1636"/>
      <c r="E420" s="1636"/>
      <c r="F420" s="1636"/>
      <c r="G420" s="1636"/>
      <c r="H420" s="1636"/>
      <c r="I420" s="1636"/>
      <c r="J420" s="1636"/>
      <c r="K420" s="1636"/>
      <c r="L420" s="1636"/>
      <c r="M420" s="1636"/>
      <c r="N420" s="1636"/>
      <c r="O420" s="1636"/>
      <c r="P420" s="1636"/>
      <c r="Q420" s="1636"/>
      <c r="AE420" s="807"/>
      <c r="AF420" s="807"/>
    </row>
    <row r="421" spans="1:32" s="199" customFormat="1" ht="12" customHeight="1">
      <c r="A421" s="1636"/>
      <c r="B421" s="1636"/>
      <c r="C421" s="1636"/>
      <c r="D421" s="1636"/>
      <c r="E421" s="1636"/>
      <c r="F421" s="1636"/>
      <c r="G421" s="1636"/>
      <c r="H421" s="1636"/>
      <c r="I421" s="1636"/>
      <c r="J421" s="1636"/>
      <c r="K421" s="1636"/>
      <c r="L421" s="1636"/>
      <c r="M421" s="1636"/>
      <c r="N421" s="1636"/>
      <c r="O421" s="1636"/>
      <c r="P421" s="1636"/>
      <c r="Q421" s="1636"/>
      <c r="AE421" s="807"/>
      <c r="AF421" s="807"/>
    </row>
    <row r="422" spans="1:32" s="199" customFormat="1" ht="12" customHeight="1">
      <c r="A422" s="1636"/>
      <c r="B422" s="1636"/>
      <c r="C422" s="1636"/>
      <c r="D422" s="1636"/>
      <c r="E422" s="1636"/>
      <c r="F422" s="1636"/>
      <c r="G422" s="1636"/>
      <c r="H422" s="1636"/>
      <c r="I422" s="1636"/>
      <c r="J422" s="1636"/>
      <c r="K422" s="1636"/>
      <c r="L422" s="1636"/>
      <c r="M422" s="1636"/>
      <c r="N422" s="1636"/>
      <c r="O422" s="1636"/>
      <c r="P422" s="1636"/>
      <c r="Q422" s="1636"/>
      <c r="AE422" s="807"/>
      <c r="AF422" s="807"/>
    </row>
    <row r="423" spans="1:32" s="199" customFormat="1" ht="12" customHeight="1">
      <c r="A423" s="1636"/>
      <c r="B423" s="1636"/>
      <c r="C423" s="1636"/>
      <c r="D423" s="1636"/>
      <c r="E423" s="1636"/>
      <c r="F423" s="1636"/>
      <c r="G423" s="1636"/>
      <c r="H423" s="1636"/>
      <c r="I423" s="1636"/>
      <c r="J423" s="1636"/>
      <c r="K423" s="1636"/>
      <c r="L423" s="1636"/>
      <c r="M423" s="1636"/>
      <c r="N423" s="1636"/>
      <c r="O423" s="1636"/>
      <c r="P423" s="1636"/>
      <c r="Q423" s="1636"/>
      <c r="AE423" s="807"/>
      <c r="AF423" s="807"/>
    </row>
    <row r="424" spans="1:32" s="199" customFormat="1" ht="12" customHeight="1">
      <c r="A424" s="1636"/>
      <c r="B424" s="1636"/>
      <c r="C424" s="1636"/>
      <c r="D424" s="1636"/>
      <c r="E424" s="1636"/>
      <c r="F424" s="1636"/>
      <c r="G424" s="1636"/>
      <c r="H424" s="1636"/>
      <c r="I424" s="1636"/>
      <c r="J424" s="1636"/>
      <c r="K424" s="1636"/>
      <c r="L424" s="1636"/>
      <c r="M424" s="1636"/>
      <c r="N424" s="1636"/>
      <c r="O424" s="1636"/>
      <c r="P424" s="1636"/>
      <c r="Q424" s="1636"/>
      <c r="AE424" s="807"/>
      <c r="AF424" s="807"/>
    </row>
    <row r="425" spans="1:32" s="199" customFormat="1" ht="12" customHeight="1">
      <c r="A425" s="1636"/>
      <c r="B425" s="1636"/>
      <c r="C425" s="1636"/>
      <c r="D425" s="1636"/>
      <c r="E425" s="1636"/>
      <c r="F425" s="1636"/>
      <c r="G425" s="1636"/>
      <c r="H425" s="1636"/>
      <c r="I425" s="1636"/>
      <c r="J425" s="1636"/>
      <c r="K425" s="1636"/>
      <c r="L425" s="1636"/>
      <c r="M425" s="1636"/>
      <c r="N425" s="1636"/>
      <c r="O425" s="1636"/>
      <c r="P425" s="1636"/>
      <c r="Q425" s="1636"/>
      <c r="AE425" s="807"/>
      <c r="AF425" s="807"/>
    </row>
    <row r="426" spans="1:32" s="199" customFormat="1" ht="12" customHeight="1">
      <c r="A426" s="1636"/>
      <c r="B426" s="1636"/>
      <c r="C426" s="1636"/>
      <c r="D426" s="1636"/>
      <c r="E426" s="1636"/>
      <c r="F426" s="1636"/>
      <c r="G426" s="1636"/>
      <c r="H426" s="1636"/>
      <c r="I426" s="1636"/>
      <c r="J426" s="1636"/>
      <c r="K426" s="1636"/>
      <c r="L426" s="1636"/>
      <c r="M426" s="1636"/>
      <c r="N426" s="1636"/>
      <c r="O426" s="1636"/>
      <c r="P426" s="1636"/>
      <c r="Q426" s="1636"/>
      <c r="AE426" s="807"/>
      <c r="AF426" s="807"/>
    </row>
    <row r="427" spans="1:32" s="199" customFormat="1" ht="12" customHeight="1">
      <c r="A427" s="1636"/>
      <c r="B427" s="1636"/>
      <c r="C427" s="1636"/>
      <c r="D427" s="1636"/>
      <c r="E427" s="1636"/>
      <c r="F427" s="1636"/>
      <c r="G427" s="1636"/>
      <c r="H427" s="1636"/>
      <c r="I427" s="1636"/>
      <c r="J427" s="1636"/>
      <c r="K427" s="1636"/>
      <c r="L427" s="1636"/>
      <c r="M427" s="1636"/>
      <c r="N427" s="1636"/>
      <c r="O427" s="1636"/>
      <c r="P427" s="1636"/>
      <c r="Q427" s="1636"/>
      <c r="AE427" s="807"/>
      <c r="AF427" s="807"/>
    </row>
    <row r="428" spans="1:32" s="199" customFormat="1" ht="12" customHeight="1">
      <c r="A428" s="1636"/>
      <c r="B428" s="1636"/>
      <c r="C428" s="1636"/>
      <c r="D428" s="1636"/>
      <c r="E428" s="1636"/>
      <c r="F428" s="1636"/>
      <c r="G428" s="1636"/>
      <c r="H428" s="1636"/>
      <c r="I428" s="1636"/>
      <c r="J428" s="1636"/>
      <c r="K428" s="1636"/>
      <c r="L428" s="1636"/>
      <c r="M428" s="1636"/>
      <c r="N428" s="1636"/>
      <c r="O428" s="1636"/>
      <c r="P428" s="1636"/>
      <c r="Q428" s="1636"/>
      <c r="AE428" s="807"/>
      <c r="AF428" s="807"/>
    </row>
    <row r="429" spans="1:32" s="199" customFormat="1" ht="12" customHeight="1">
      <c r="A429" s="1636"/>
      <c r="B429" s="1636"/>
      <c r="C429" s="1636"/>
      <c r="D429" s="1636"/>
      <c r="E429" s="1636"/>
      <c r="F429" s="1636"/>
      <c r="G429" s="1636"/>
      <c r="H429" s="1636"/>
      <c r="I429" s="1636"/>
      <c r="J429" s="1636"/>
      <c r="K429" s="1636"/>
      <c r="L429" s="1636"/>
      <c r="M429" s="1636"/>
      <c r="N429" s="1636"/>
      <c r="O429" s="1636"/>
      <c r="P429" s="1636"/>
      <c r="Q429" s="1636"/>
      <c r="AE429" s="807"/>
      <c r="AF429" s="807"/>
    </row>
    <row r="430" spans="1:32" s="199" customFormat="1" ht="12" customHeight="1">
      <c r="A430" s="1636"/>
      <c r="B430" s="1636"/>
      <c r="C430" s="1636"/>
      <c r="D430" s="1636"/>
      <c r="E430" s="1636"/>
      <c r="F430" s="1636"/>
      <c r="G430" s="1636"/>
      <c r="H430" s="1636"/>
      <c r="I430" s="1636"/>
      <c r="J430" s="1636"/>
      <c r="K430" s="1636"/>
      <c r="L430" s="1636"/>
      <c r="M430" s="1636"/>
      <c r="N430" s="1636"/>
      <c r="O430" s="1636"/>
      <c r="P430" s="1636"/>
      <c r="Q430" s="1636"/>
      <c r="AE430" s="807"/>
      <c r="AF430" s="807"/>
    </row>
    <row r="431" spans="1:32" s="199" customFormat="1" ht="12" customHeight="1">
      <c r="A431" s="1636"/>
      <c r="B431" s="1636"/>
      <c r="C431" s="1636"/>
      <c r="D431" s="1636"/>
      <c r="E431" s="1636"/>
      <c r="F431" s="1636"/>
      <c r="G431" s="1636"/>
      <c r="H431" s="1636"/>
      <c r="I431" s="1636"/>
      <c r="J431" s="1636"/>
      <c r="K431" s="1636"/>
      <c r="L431" s="1636"/>
      <c r="M431" s="1636"/>
      <c r="N431" s="1636"/>
      <c r="O431" s="1636"/>
      <c r="P431" s="1636"/>
      <c r="Q431" s="1636"/>
      <c r="AE431" s="807"/>
      <c r="AF431" s="807"/>
    </row>
    <row r="432" spans="1:32" s="199" customFormat="1" ht="12" customHeight="1">
      <c r="A432" s="1636"/>
      <c r="B432" s="1636"/>
      <c r="C432" s="1636"/>
      <c r="D432" s="1636"/>
      <c r="E432" s="1636"/>
      <c r="F432" s="1636"/>
      <c r="G432" s="1636"/>
      <c r="H432" s="1636"/>
      <c r="I432" s="1636"/>
      <c r="J432" s="1636"/>
      <c r="K432" s="1636"/>
      <c r="L432" s="1636"/>
      <c r="M432" s="1636"/>
      <c r="N432" s="1636"/>
      <c r="O432" s="1636"/>
      <c r="P432" s="1636"/>
      <c r="Q432" s="1636"/>
      <c r="AE432" s="807"/>
      <c r="AF432" s="807"/>
    </row>
    <row r="433" spans="1:32" s="199" customFormat="1" ht="12" customHeight="1">
      <c r="A433" s="1636"/>
      <c r="B433" s="1636"/>
      <c r="C433" s="1636"/>
      <c r="D433" s="1636"/>
      <c r="E433" s="1636"/>
      <c r="F433" s="1636"/>
      <c r="G433" s="1636"/>
      <c r="H433" s="1636"/>
      <c r="I433" s="1636"/>
      <c r="J433" s="1636"/>
      <c r="K433" s="1636"/>
      <c r="L433" s="1636"/>
      <c r="M433" s="1636"/>
      <c r="N433" s="1636"/>
      <c r="O433" s="1636"/>
      <c r="P433" s="1636"/>
      <c r="Q433" s="1636"/>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2012-035 Goshen Crossing II, Rincon, Effingham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54</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3620</v>
      </c>
      <c r="G10" s="38">
        <f>F16</f>
        <v>0</v>
      </c>
      <c r="H10" s="244" t="s">
        <v>301</v>
      </c>
      <c r="M10" s="7">
        <v>7</v>
      </c>
      <c r="N10" s="78" t="s">
        <v>2862</v>
      </c>
      <c r="O10" s="1637"/>
      <c r="P10" s="66"/>
    </row>
    <row r="11" spans="1:19" s="50" customFormat="1" ht="11.25" customHeight="1">
      <c r="A11" s="255" t="s">
        <v>2865</v>
      </c>
      <c r="B11" s="236" t="s">
        <v>1122</v>
      </c>
      <c r="D11" s="56"/>
      <c r="E11" s="56"/>
      <c r="F11" s="823" t="s">
        <v>3620</v>
      </c>
      <c r="G11" s="38">
        <f>K16</f>
        <v>0</v>
      </c>
      <c r="H11" s="244" t="s">
        <v>302</v>
      </c>
      <c r="J11" s="57"/>
      <c r="M11" s="7">
        <v>0</v>
      </c>
      <c r="N11" s="78" t="s">
        <v>2865</v>
      </c>
      <c r="O11" s="1637"/>
      <c r="P11" s="66"/>
      <c r="Q11" s="148"/>
    </row>
    <row r="12" spans="1:19" s="51" customFormat="1" ht="11.25" customHeight="1">
      <c r="A12" s="255" t="s">
        <v>1145</v>
      </c>
      <c r="B12" s="236" t="s">
        <v>3002</v>
      </c>
      <c r="D12" s="56"/>
      <c r="E12" s="56"/>
      <c r="F12" s="823" t="s">
        <v>3620</v>
      </c>
      <c r="G12" s="38">
        <f>P16</f>
        <v>0</v>
      </c>
      <c r="H12" s="244" t="s">
        <v>303</v>
      </c>
      <c r="J12" s="57"/>
      <c r="M12" s="7">
        <v>1</v>
      </c>
      <c r="N12" s="78" t="s">
        <v>1145</v>
      </c>
      <c r="O12" s="1637"/>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t="s">
        <v>4032</v>
      </c>
      <c r="B14" s="1579"/>
      <c r="C14" s="1579"/>
      <c r="D14" s="1579"/>
      <c r="E14" s="1579"/>
      <c r="F14" s="1579"/>
      <c r="G14" s="1579"/>
      <c r="H14" s="1579"/>
      <c r="I14" s="1579"/>
      <c r="J14" s="1579"/>
      <c r="K14" s="1579"/>
      <c r="L14" s="1579"/>
      <c r="M14" s="1579"/>
      <c r="N14" s="1579"/>
      <c r="O14" s="1579"/>
      <c r="P14" s="1580"/>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3381</v>
      </c>
      <c r="B16" s="1197"/>
      <c r="C16" s="1197"/>
      <c r="D16" s="1197"/>
      <c r="E16" s="79" t="s">
        <v>739</v>
      </c>
      <c r="F16" s="93">
        <f>SUM(F17:F28)</f>
        <v>0</v>
      </c>
      <c r="G16" s="1198" t="s">
        <v>3382</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38">
        <v>10</v>
      </c>
      <c r="K31" s="660" t="s">
        <v>3859</v>
      </c>
      <c r="L31" s="691">
        <f>IF(OR('Part VI-Revenues &amp; Expenses'!$M$60="", 'Part VI-Revenues &amp; Expenses'!$M$60=0),0,I31/'Part VI-Revenues &amp; Expenses'!$M$60)</f>
        <v>0.16666666666666666</v>
      </c>
      <c r="M31" s="1">
        <v>3</v>
      </c>
      <c r="N31" s="690"/>
      <c r="O31" s="1205" t="s">
        <v>3928</v>
      </c>
      <c r="P31" s="735">
        <v>0.15</v>
      </c>
    </row>
    <row r="32" spans="1:19" s="688" customFormat="1" ht="11.25" customHeight="1">
      <c r="A32" s="687" t="s">
        <v>2865</v>
      </c>
      <c r="B32" s="155" t="s">
        <v>3703</v>
      </c>
      <c r="E32" s="689"/>
      <c r="H32" s="660" t="s">
        <v>3704</v>
      </c>
      <c r="I32" s="1638">
        <v>0</v>
      </c>
      <c r="K32" s="660" t="s">
        <v>3859</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8"/>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39">
        <v>12</v>
      </c>
      <c r="P40" s="85"/>
      <c r="R40" s="558"/>
    </row>
    <row r="41" spans="1:18" s="51" customFormat="1" ht="12.6" customHeight="1">
      <c r="A41" s="189" t="s">
        <v>2865</v>
      </c>
      <c r="B41" s="236" t="s">
        <v>2748</v>
      </c>
      <c r="D41" s="49"/>
      <c r="E41" s="244" t="s">
        <v>588</v>
      </c>
      <c r="F41" s="585"/>
      <c r="G41" s="585"/>
      <c r="H41" s="585"/>
      <c r="M41" s="180" t="s">
        <v>1777</v>
      </c>
      <c r="N41" s="803" t="s">
        <v>2865</v>
      </c>
      <c r="O41" s="1637">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t="s">
        <v>4059</v>
      </c>
      <c r="B44" s="1579"/>
      <c r="C44" s="1579"/>
      <c r="D44" s="1579"/>
      <c r="E44" s="1579"/>
      <c r="F44" s="1579"/>
      <c r="G44" s="1579"/>
      <c r="H44" s="1579"/>
      <c r="I44" s="1579"/>
      <c r="J44" s="1579"/>
      <c r="K44" s="1579"/>
      <c r="L44" s="1579"/>
      <c r="M44" s="1579"/>
      <c r="N44" s="1579"/>
      <c r="O44" s="1579"/>
      <c r="P44" s="1580"/>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39">
        <v>0</v>
      </c>
      <c r="P50" s="85"/>
      <c r="R50" s="558"/>
    </row>
    <row r="51" spans="1:18" s="51" customFormat="1" ht="12.6" customHeight="1">
      <c r="A51" s="189" t="s">
        <v>2865</v>
      </c>
      <c r="B51" s="236" t="s">
        <v>3718</v>
      </c>
      <c r="E51" s="49"/>
      <c r="K51" s="56"/>
      <c r="L51" s="558" t="str">
        <f>IF(OR($O51=$M51,$O51=0,$O51=""),"","* * Check Score! * *")</f>
        <v/>
      </c>
      <c r="M51" s="3">
        <v>2</v>
      </c>
      <c r="N51" s="803" t="s">
        <v>2865</v>
      </c>
      <c r="O51" s="1639">
        <v>0</v>
      </c>
      <c r="P51" s="85"/>
      <c r="R51" s="558"/>
    </row>
    <row r="52" spans="1:18" s="51" customFormat="1" ht="12.6" customHeight="1">
      <c r="A52" s="189" t="s">
        <v>1145</v>
      </c>
      <c r="B52" s="236" t="s">
        <v>3760</v>
      </c>
      <c r="E52" s="49"/>
      <c r="K52" s="56"/>
      <c r="L52" s="558" t="str">
        <f>IF(OR($O52=$M52,$O52=0,$O52=""),"","* * Check Score! * *")</f>
        <v/>
      </c>
      <c r="M52" s="3">
        <v>1</v>
      </c>
      <c r="N52" s="250" t="s">
        <v>1145</v>
      </c>
      <c r="O52" s="1639">
        <v>0</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t="s">
        <v>4058</v>
      </c>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39">
        <v>0</v>
      </c>
      <c r="P58" s="85"/>
      <c r="Q58" s="148" t="s">
        <v>612</v>
      </c>
    </row>
    <row r="59" spans="1:18" s="51" customFormat="1" ht="12.6" customHeight="1">
      <c r="A59" s="209"/>
      <c r="B59" s="586" t="s">
        <v>1120</v>
      </c>
      <c r="D59" s="49"/>
      <c r="H59" s="57"/>
      <c r="I59" s="57"/>
      <c r="J59" s="57"/>
      <c r="K59" s="57"/>
      <c r="L59" s="57"/>
      <c r="M59" s="3"/>
      <c r="N59" s="601"/>
      <c r="O59" s="1574"/>
      <c r="P59" s="232"/>
      <c r="Q59" s="148"/>
    </row>
    <row r="60" spans="1:18" s="51" customFormat="1" ht="12.6" customHeight="1">
      <c r="A60" s="209"/>
      <c r="B60" s="586" t="s">
        <v>1119</v>
      </c>
      <c r="D60" s="49"/>
      <c r="H60" s="57"/>
      <c r="I60" s="1640"/>
      <c r="J60" s="1641"/>
      <c r="K60" s="1641"/>
      <c r="L60" s="1642"/>
      <c r="M60" s="3"/>
      <c r="N60" s="601"/>
      <c r="O60" s="601"/>
      <c r="P60" s="601"/>
      <c r="Q60" s="148"/>
    </row>
    <row r="61" spans="1:18" s="51" customFormat="1" ht="12.6" customHeight="1">
      <c r="A61" s="209"/>
      <c r="B61" s="586" t="s">
        <v>1121</v>
      </c>
      <c r="D61" s="49"/>
      <c r="H61" s="57"/>
      <c r="I61" s="57"/>
      <c r="J61" s="57"/>
      <c r="K61" s="57"/>
      <c r="L61" s="57"/>
      <c r="M61" s="3"/>
      <c r="N61" s="601"/>
      <c r="O61" s="1574"/>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8" t="s">
        <v>4058</v>
      </c>
      <c r="B63" s="1579"/>
      <c r="C63" s="1579"/>
      <c r="D63" s="1579"/>
      <c r="E63" s="1579"/>
      <c r="F63" s="1579"/>
      <c r="G63" s="1579"/>
      <c r="H63" s="1579"/>
      <c r="I63" s="1579"/>
      <c r="J63" s="1579"/>
      <c r="K63" s="1579"/>
      <c r="L63" s="1579"/>
      <c r="M63" s="1579"/>
      <c r="N63" s="1579"/>
      <c r="O63" s="1579"/>
      <c r="P63" s="1580"/>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39">
        <v>0</v>
      </c>
      <c r="P67" s="85"/>
      <c r="Q67" s="148" t="s">
        <v>612</v>
      </c>
    </row>
    <row r="68" spans="1:18" s="51" customFormat="1" ht="12.6" customHeight="1">
      <c r="A68" s="209"/>
      <c r="B68" s="586" t="s">
        <v>3705</v>
      </c>
      <c r="D68" s="49"/>
      <c r="E68" s="44"/>
      <c r="I68" s="1640"/>
      <c r="J68" s="1641"/>
      <c r="K68" s="1641"/>
      <c r="L68" s="1642"/>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t="s">
        <v>4058</v>
      </c>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3844</v>
      </c>
      <c r="J74" s="1643" t="s">
        <v>4033</v>
      </c>
      <c r="K74" s="1644"/>
      <c r="L74" s="1645"/>
      <c r="M74" s="3">
        <v>3</v>
      </c>
      <c r="N74" s="601"/>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74" t="s">
        <v>3985</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207" t="s">
        <v>3708</v>
      </c>
      <c r="D78" s="1207"/>
      <c r="E78" s="1207"/>
      <c r="F78" s="1207"/>
      <c r="G78" s="1207"/>
      <c r="H78" s="1207"/>
      <c r="I78" s="1207"/>
      <c r="J78" s="1207"/>
      <c r="K78" s="1207"/>
      <c r="L78" s="1207"/>
      <c r="M78" s="572" t="str">
        <f>IF(AND($I$90="Stable Communities &lt; 10%",O78=""), "X","")</f>
        <v/>
      </c>
      <c r="N78" s="574" t="s">
        <v>3712</v>
      </c>
      <c r="O78" s="1646" t="s">
        <v>3985</v>
      </c>
      <c r="P78" s="355"/>
    </row>
    <row r="79" spans="1:18" ht="23.25" customHeight="1">
      <c r="B79" s="575" t="s">
        <v>3420</v>
      </c>
      <c r="C79" s="1125" t="s">
        <v>3710</v>
      </c>
      <c r="D79" s="1125"/>
      <c r="E79" s="1125"/>
      <c r="F79" s="1125"/>
      <c r="G79" s="1125"/>
      <c r="H79" s="1125"/>
      <c r="I79" s="1125"/>
      <c r="J79" s="1125"/>
      <c r="K79" s="1125"/>
      <c r="L79" s="1125"/>
      <c r="M79" s="572" t="str">
        <f>IF(AND($I$90="Stable Communities &lt; 10%",O79=""), "X","")</f>
        <v/>
      </c>
      <c r="N79" s="574" t="s">
        <v>3713</v>
      </c>
      <c r="O79" s="1647" t="s">
        <v>3983</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207" t="s">
        <v>3709</v>
      </c>
      <c r="D81" s="1207"/>
      <c r="E81" s="1207"/>
      <c r="F81" s="1207"/>
      <c r="G81" s="1207"/>
      <c r="H81" s="1207"/>
      <c r="I81" s="1207"/>
      <c r="J81" s="1207"/>
      <c r="K81" s="1207"/>
      <c r="L81" s="1207"/>
      <c r="M81" s="572" t="str">
        <f>IF(AND($I$90="Stable Communities &lt; 10%",O81=""), "X","")</f>
        <v/>
      </c>
      <c r="N81" s="692" t="s">
        <v>3714</v>
      </c>
      <c r="O81" s="1646" t="s">
        <v>3983</v>
      </c>
      <c r="P81" s="355"/>
    </row>
    <row r="82" spans="1:18">
      <c r="B82" s="575" t="s">
        <v>3420</v>
      </c>
      <c r="C82" s="1125" t="s">
        <v>3711</v>
      </c>
      <c r="D82" s="1125"/>
      <c r="E82" s="1125"/>
      <c r="F82" s="1125"/>
      <c r="G82" s="1125"/>
      <c r="H82" s="1125"/>
      <c r="I82" s="1125"/>
      <c r="J82" s="1125"/>
      <c r="K82" s="1125"/>
      <c r="L82" s="1125"/>
      <c r="M82" s="572" t="str">
        <f>IF(AND($I$90="Stable Communities &lt; 10%",O82=""), "X","")</f>
        <v/>
      </c>
      <c r="N82" s="692" t="s">
        <v>3715</v>
      </c>
      <c r="O82" s="1647" t="s">
        <v>3983</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74" t="s">
        <v>3985</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48"/>
      <c r="B86" s="1649"/>
      <c r="C86" s="1649"/>
      <c r="D86" s="1649"/>
      <c r="E86" s="1649"/>
      <c r="F86" s="1649"/>
      <c r="G86" s="1649"/>
      <c r="H86" s="1649"/>
      <c r="I86" s="1649"/>
      <c r="J86" s="1649"/>
      <c r="K86" s="1649"/>
      <c r="L86" s="1649"/>
      <c r="M86" s="1649"/>
      <c r="N86" s="1649"/>
      <c r="O86" s="1649"/>
      <c r="P86" s="1650"/>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4036</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46" t="s">
        <v>3985</v>
      </c>
      <c r="P94" s="355"/>
    </row>
    <row r="95" spans="1:18" ht="11.45" customHeight="1">
      <c r="B95" s="231" t="s">
        <v>3420</v>
      </c>
      <c r="C95" s="665" t="s">
        <v>3367</v>
      </c>
      <c r="E95" s="160"/>
      <c r="G95" s="132" t="s">
        <v>3368</v>
      </c>
      <c r="M95" s="694" t="str">
        <f>IF(AND($I$90="Stable Communities &lt; 10%",O95=""), "X","")</f>
        <v/>
      </c>
      <c r="N95" s="231" t="s">
        <v>3420</v>
      </c>
      <c r="O95" s="1651" t="s">
        <v>3985</v>
      </c>
      <c r="P95" s="541"/>
    </row>
    <row r="96" spans="1:18" ht="11.45" customHeight="1">
      <c r="B96" s="231" t="s">
        <v>3421</v>
      </c>
      <c r="C96" s="665" t="s">
        <v>3753</v>
      </c>
      <c r="E96" s="160"/>
      <c r="M96" s="694" t="str">
        <f>IF(AND($I$90="Stable Communities &lt; 10%",O96=""), "X","")</f>
        <v/>
      </c>
      <c r="N96" s="231" t="s">
        <v>3421</v>
      </c>
      <c r="O96" s="1647" t="s">
        <v>3985</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46"/>
      <c r="P99" s="355"/>
    </row>
    <row r="100" spans="1:18" ht="11.45" customHeight="1">
      <c r="B100" s="231" t="s">
        <v>3420</v>
      </c>
      <c r="C100" s="665" t="s">
        <v>3367</v>
      </c>
      <c r="E100" s="160"/>
      <c r="G100" s="132" t="s">
        <v>3368</v>
      </c>
      <c r="M100" s="572" t="str">
        <f>IF(AND($I$90="Stable Communities &lt; 20%",O100=""), "X","")</f>
        <v/>
      </c>
      <c r="N100" s="231" t="s">
        <v>3420</v>
      </c>
      <c r="O100" s="1651"/>
      <c r="P100" s="541"/>
    </row>
    <row r="101" spans="1:18" ht="11.45" customHeight="1">
      <c r="B101" s="231" t="s">
        <v>3421</v>
      </c>
      <c r="C101" s="665" t="s">
        <v>3753</v>
      </c>
      <c r="E101" s="160"/>
      <c r="M101" s="572" t="str">
        <f>IF(AND($I$90="Stable Communities &lt; 20%",O101=""), "X","")</f>
        <v/>
      </c>
      <c r="N101" s="231" t="s">
        <v>3421</v>
      </c>
      <c r="O101" s="1647"/>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59" t="str">
        <f>IF(AND($I$90="HOPE VI Initiative",O105=""), "X","")</f>
        <v/>
      </c>
      <c r="N105" s="231" t="s">
        <v>3419</v>
      </c>
      <c r="O105" s="1646"/>
      <c r="P105" s="355"/>
    </row>
    <row r="106" spans="1:18" ht="10.9" customHeight="1">
      <c r="B106" s="552" t="s">
        <v>3420</v>
      </c>
      <c r="C106" s="553" t="s">
        <v>843</v>
      </c>
      <c r="M106" s="859" t="str">
        <f>IF(AND($I$90="HOPE VI Initiative",O106=""), "X","")</f>
        <v/>
      </c>
      <c r="N106" s="231" t="s">
        <v>3420</v>
      </c>
      <c r="O106" s="1651"/>
      <c r="P106" s="541"/>
    </row>
    <row r="107" spans="1:18" ht="10.9" customHeight="1">
      <c r="B107" s="552" t="s">
        <v>3421</v>
      </c>
      <c r="C107" s="553" t="s">
        <v>844</v>
      </c>
      <c r="M107" s="859" t="str">
        <f>IF(AND($I$90="HOPE VI Initiative",O107=""), "X","")</f>
        <v/>
      </c>
      <c r="N107" s="231" t="s">
        <v>3421</v>
      </c>
      <c r="O107" s="1651"/>
      <c r="P107" s="541"/>
    </row>
    <row r="108" spans="1:18" ht="10.9" customHeight="1">
      <c r="B108" s="552" t="s">
        <v>3422</v>
      </c>
      <c r="C108" s="69" t="s">
        <v>845</v>
      </c>
      <c r="M108" s="859" t="str">
        <f>IF(AND($I$90="HOPE VI Initiative",O108=""), "X","")</f>
        <v/>
      </c>
      <c r="N108" s="231" t="s">
        <v>3422</v>
      </c>
      <c r="O108" s="1647"/>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74"/>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2" t="s">
        <v>2626</v>
      </c>
      <c r="I112" s="162" t="s">
        <v>1458</v>
      </c>
      <c r="J112" s="1653"/>
      <c r="K112" s="1654"/>
      <c r="L112" s="1655"/>
      <c r="M112" s="696">
        <v>1</v>
      </c>
      <c r="N112" s="551" t="s">
        <v>3549</v>
      </c>
      <c r="O112" s="1574"/>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6"/>
      <c r="I114" s="1341"/>
      <c r="J114" s="1341"/>
      <c r="K114" s="1341"/>
      <c r="L114" s="1342"/>
      <c r="M114" s="696">
        <v>1</v>
      </c>
      <c r="N114" s="551" t="s">
        <v>1762</v>
      </c>
      <c r="O114" s="1574"/>
      <c r="P114" s="232"/>
    </row>
    <row r="115" spans="1:18" ht="11.45" customHeight="1">
      <c r="B115" s="552" t="s">
        <v>3419</v>
      </c>
      <c r="C115" s="48" t="s">
        <v>3752</v>
      </c>
      <c r="D115" s="132"/>
      <c r="G115" s="132" t="s">
        <v>848</v>
      </c>
      <c r="H115" s="1657"/>
      <c r="M115" s="571" t="str">
        <f>IF(AND($I$90="Local Redevelopment Plan",O115=""), "X","")</f>
        <v/>
      </c>
      <c r="N115" s="552" t="s">
        <v>3419</v>
      </c>
      <c r="O115" s="1646"/>
      <c r="P115" s="355"/>
    </row>
    <row r="116" spans="1:18" ht="10.9" customHeight="1">
      <c r="B116" s="552" t="s">
        <v>3420</v>
      </c>
      <c r="C116" s="553" t="s">
        <v>3445</v>
      </c>
      <c r="D116" s="132"/>
      <c r="M116" s="571"/>
      <c r="N116" s="552" t="s">
        <v>3420</v>
      </c>
      <c r="O116" s="1658"/>
      <c r="P116" s="602"/>
    </row>
    <row r="117" spans="1:18" ht="10.9" customHeight="1">
      <c r="B117" s="552" t="s">
        <v>3421</v>
      </c>
      <c r="C117" s="553" t="s">
        <v>3446</v>
      </c>
      <c r="M117" s="571" t="str">
        <f t="shared" ref="M117:M121" si="0">IF(AND($I$90="Local Redevelopment Plan",O117=""), "X","")</f>
        <v/>
      </c>
      <c r="N117" s="552" t="s">
        <v>3421</v>
      </c>
      <c r="O117" s="1651"/>
      <c r="P117" s="541"/>
    </row>
    <row r="118" spans="1:18" ht="10.9" customHeight="1">
      <c r="B118" s="552" t="s">
        <v>3422</v>
      </c>
      <c r="C118" s="553" t="s">
        <v>3447</v>
      </c>
      <c r="M118" s="571" t="str">
        <f t="shared" si="0"/>
        <v/>
      </c>
      <c r="N118" s="552" t="s">
        <v>3422</v>
      </c>
      <c r="O118" s="1651"/>
      <c r="P118" s="541"/>
    </row>
    <row r="119" spans="1:18" ht="10.9" customHeight="1">
      <c r="B119" s="552" t="s">
        <v>3423</v>
      </c>
      <c r="C119" s="69" t="s">
        <v>3448</v>
      </c>
      <c r="M119" s="571" t="str">
        <f t="shared" si="0"/>
        <v/>
      </c>
      <c r="N119" s="552" t="s">
        <v>3423</v>
      </c>
      <c r="O119" s="1651"/>
      <c r="P119" s="541"/>
    </row>
    <row r="120" spans="1:18" ht="10.9" customHeight="1">
      <c r="B120" s="552" t="s">
        <v>3443</v>
      </c>
      <c r="C120" s="553" t="s">
        <v>3449</v>
      </c>
      <c r="D120" s="132"/>
      <c r="M120" s="571" t="str">
        <f t="shared" si="0"/>
        <v/>
      </c>
      <c r="N120" s="552" t="s">
        <v>3443</v>
      </c>
      <c r="O120" s="1651"/>
      <c r="P120" s="541"/>
    </row>
    <row r="121" spans="1:18" ht="10.9" customHeight="1">
      <c r="B121" s="552" t="s">
        <v>3444</v>
      </c>
      <c r="C121" s="553" t="s">
        <v>3450</v>
      </c>
      <c r="M121" s="571" t="str">
        <f t="shared" si="0"/>
        <v/>
      </c>
      <c r="N121" s="552" t="s">
        <v>3444</v>
      </c>
      <c r="O121" s="1647"/>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48"/>
      <c r="B128" s="1649"/>
      <c r="C128" s="1649"/>
      <c r="D128" s="1649"/>
      <c r="E128" s="1649"/>
      <c r="F128" s="1649"/>
      <c r="G128" s="1649"/>
      <c r="H128" s="1649"/>
      <c r="I128" s="1649"/>
      <c r="J128" s="1649"/>
      <c r="K128" s="1649"/>
      <c r="L128" s="1649"/>
      <c r="M128" s="1649"/>
      <c r="N128" s="1649"/>
      <c r="O128" s="1649"/>
      <c r="P128" s="1650"/>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51"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59">
        <v>3</v>
      </c>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574" t="s">
        <v>3985</v>
      </c>
      <c r="P134" s="232"/>
    </row>
    <row r="135" spans="1:17" s="132" customFormat="1" ht="11.45" customHeight="1">
      <c r="B135" s="250"/>
      <c r="C135" s="161" t="s">
        <v>1460</v>
      </c>
      <c r="H135" s="704" t="s">
        <v>3620</v>
      </c>
      <c r="I135" s="1652" t="s">
        <v>4044</v>
      </c>
      <c r="J135" s="704" t="s">
        <v>3219</v>
      </c>
      <c r="K135" s="1660" t="s">
        <v>4034</v>
      </c>
      <c r="L135" s="1661"/>
      <c r="M135" s="1662"/>
    </row>
    <row r="136" spans="1:17" s="132" customFormat="1" ht="11.45" customHeight="1">
      <c r="B136" s="250" t="s">
        <v>2868</v>
      </c>
      <c r="C136" s="161" t="s">
        <v>1461</v>
      </c>
      <c r="M136" s="8"/>
      <c r="N136" s="250" t="s">
        <v>2868</v>
      </c>
      <c r="O136" s="1646" t="s">
        <v>3985</v>
      </c>
      <c r="P136" s="355"/>
    </row>
    <row r="137" spans="1:17" s="132" customFormat="1" ht="11.45" customHeight="1">
      <c r="B137" s="250" t="s">
        <v>3549</v>
      </c>
      <c r="C137" s="161" t="s">
        <v>1462</v>
      </c>
      <c r="M137" s="8"/>
      <c r="N137" s="250" t="s">
        <v>3549</v>
      </c>
      <c r="O137" s="1651" t="s">
        <v>3983</v>
      </c>
      <c r="P137" s="541"/>
    </row>
    <row r="138" spans="1:17" s="132" customFormat="1" ht="11.45" customHeight="1">
      <c r="B138" s="250" t="s">
        <v>1762</v>
      </c>
      <c r="C138" s="161" t="s">
        <v>1463</v>
      </c>
      <c r="M138" s="8"/>
      <c r="N138" s="250" t="s">
        <v>1762</v>
      </c>
      <c r="O138" s="1647" t="s">
        <v>3985</v>
      </c>
      <c r="P138" s="356"/>
    </row>
    <row r="139" spans="1:17" ht="12" customHeight="1">
      <c r="A139" s="254" t="s">
        <v>1921</v>
      </c>
      <c r="B139" s="851" t="s">
        <v>2865</v>
      </c>
      <c r="C139" s="254" t="s">
        <v>3143</v>
      </c>
      <c r="D139" s="160"/>
      <c r="E139" s="666" t="s">
        <v>3649</v>
      </c>
      <c r="M139" s="3">
        <v>3</v>
      </c>
      <c r="N139" s="803" t="s">
        <v>2865</v>
      </c>
      <c r="O139" s="659">
        <f>IF($M140=5,3,IF($M140=4,2,0))</f>
        <v>0</v>
      </c>
      <c r="P139" s="85"/>
    </row>
    <row r="140" spans="1:17" ht="12" customHeight="1">
      <c r="B140" s="122"/>
      <c r="D140" s="40"/>
      <c r="E140" s="40"/>
      <c r="F140" s="40"/>
      <c r="G140" s="48"/>
      <c r="H140" s="48"/>
      <c r="I140" s="48"/>
      <c r="J140" s="48"/>
      <c r="L140" s="574" t="s">
        <v>688</v>
      </c>
      <c r="M140" s="1574"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8" t="s">
        <v>4099</v>
      </c>
      <c r="B142" s="1579"/>
      <c r="C142" s="1579"/>
      <c r="D142" s="1579"/>
      <c r="E142" s="1579"/>
      <c r="F142" s="1579"/>
      <c r="G142" s="1579"/>
      <c r="H142" s="1579"/>
      <c r="I142" s="1579"/>
      <c r="J142" s="1579"/>
      <c r="K142" s="1579"/>
      <c r="L142" s="1579"/>
      <c r="M142" s="1579"/>
      <c r="N142" s="1579"/>
      <c r="O142" s="1579"/>
      <c r="P142" s="1580"/>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39">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208"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208"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21" t="s">
        <v>3756</v>
      </c>
      <c r="C151" s="1212"/>
      <c r="D151" s="1212"/>
      <c r="E151" s="1212"/>
      <c r="F151" s="1212"/>
      <c r="G151" s="1212"/>
      <c r="H151" s="1212"/>
      <c r="I151" s="1212"/>
      <c r="J151" s="1212"/>
      <c r="K151" s="1212"/>
      <c r="L151" s="1212"/>
      <c r="M151" s="1212"/>
      <c r="N151" s="1212"/>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8"/>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1574" t="s">
        <v>3985</v>
      </c>
      <c r="M162" s="8">
        <v>1</v>
      </c>
      <c r="N162" s="803" t="s">
        <v>2862</v>
      </c>
      <c r="O162" s="1639">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39"/>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621" t="s">
        <v>4061</v>
      </c>
      <c r="B165" s="1622"/>
      <c r="C165" s="1622"/>
      <c r="D165" s="1622"/>
      <c r="E165" s="1622"/>
      <c r="F165" s="1622"/>
      <c r="G165" s="1622"/>
      <c r="H165" s="1622"/>
      <c r="I165" s="1622"/>
      <c r="J165" s="1622"/>
      <c r="K165" s="1622"/>
      <c r="L165" s="1622"/>
      <c r="M165" s="1622"/>
      <c r="N165" s="1622"/>
      <c r="O165" s="1622"/>
      <c r="P165" s="1623"/>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3879</v>
      </c>
      <c r="C169" s="116"/>
      <c r="D169" s="70"/>
      <c r="E169" s="62"/>
      <c r="J169" s="73"/>
      <c r="K169" s="733" t="s">
        <v>3932</v>
      </c>
      <c r="L169" s="800" t="str">
        <f>'Part I-Project Information'!E81</f>
        <v>Yes</v>
      </c>
      <c r="M169" s="3">
        <v>3</v>
      </c>
      <c r="N169" s="7"/>
      <c r="O169" s="7"/>
      <c r="P169" s="85"/>
      <c r="Q169" s="148" t="s">
        <v>612</v>
      </c>
    </row>
    <row r="170" spans="1:18" s="51" customFormat="1" ht="12" customHeight="1">
      <c r="A170" s="189"/>
      <c r="B170" s="65" t="s">
        <v>3287</v>
      </c>
      <c r="D170" s="40"/>
      <c r="N170" s="803"/>
      <c r="O170" s="1574" t="s">
        <v>3985</v>
      </c>
      <c r="P170" s="232"/>
      <c r="R170" s="558"/>
    </row>
    <row r="171" spans="1:18" s="51" customFormat="1" ht="12" customHeight="1">
      <c r="A171" s="189"/>
      <c r="B171" s="65" t="s">
        <v>3946</v>
      </c>
      <c r="D171" s="40"/>
      <c r="N171" s="803"/>
      <c r="O171" s="1574" t="s">
        <v>3985</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8" t="s">
        <v>4079</v>
      </c>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3948</v>
      </c>
      <c r="G177" s="159"/>
      <c r="H177" s="665"/>
      <c r="I177" s="159"/>
      <c r="J177" s="801">
        <f>'Part VI-Revenues &amp; Expenses'!$M$74</f>
        <v>60</v>
      </c>
      <c r="K177" s="159"/>
      <c r="L177" s="802" t="str">
        <f>IF(AND(J177=0,O177&gt;0),"&lt;&lt;&lt; Check NC units!","")</f>
        <v/>
      </c>
      <c r="M177" s="3">
        <v>3</v>
      </c>
      <c r="N177" s="601" t="str">
        <f>IF(OR($O177=$M177,$O177=0,$O177=""),"","***")</f>
        <v/>
      </c>
      <c r="O177" s="1639">
        <v>3</v>
      </c>
      <c r="P177" s="85"/>
      <c r="Q177" s="148" t="s">
        <v>612</v>
      </c>
      <c r="R177" s="31"/>
    </row>
    <row r="178" spans="1:18" s="75" customFormat="1" ht="25.15" customHeight="1">
      <c r="A178" s="209"/>
      <c r="B178" s="1096" t="s">
        <v>3947</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78" t="s">
        <v>4060</v>
      </c>
      <c r="B180" s="1579"/>
      <c r="C180" s="1579"/>
      <c r="D180" s="1579"/>
      <c r="E180" s="1579"/>
      <c r="F180" s="1579"/>
      <c r="G180" s="1579"/>
      <c r="H180" s="1579"/>
      <c r="I180" s="1580"/>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39"/>
      <c r="P182" s="85"/>
      <c r="Q182" s="148" t="s">
        <v>612</v>
      </c>
    </row>
    <row r="183" spans="1:18" s="51" customFormat="1" ht="12.6" customHeight="1">
      <c r="A183" s="50"/>
      <c r="B183" s="154" t="s">
        <v>2713</v>
      </c>
      <c r="D183" s="134"/>
      <c r="E183" s="1663" t="s">
        <v>2639</v>
      </c>
      <c r="F183" s="1664"/>
      <c r="G183" s="1665"/>
      <c r="H183" s="1666"/>
      <c r="I183" s="61" t="s">
        <v>2712</v>
      </c>
      <c r="O183" s="162" t="s">
        <v>3522</v>
      </c>
      <c r="P183" s="162" t="s">
        <v>3522</v>
      </c>
    </row>
    <row r="184" spans="1:18" s="132" customFormat="1" ht="11.45" customHeight="1">
      <c r="A184" s="189" t="s">
        <v>2862</v>
      </c>
      <c r="B184" s="161" t="s">
        <v>2512</v>
      </c>
      <c r="D184" s="161"/>
      <c r="E184" s="161"/>
      <c r="F184" s="161"/>
      <c r="G184" s="1667" t="s">
        <v>3535</v>
      </c>
      <c r="H184" s="1668"/>
      <c r="I184" s="1669"/>
      <c r="J184" s="1667" t="s">
        <v>1715</v>
      </c>
      <c r="K184" s="1668"/>
      <c r="L184" s="1669"/>
      <c r="N184" s="803" t="s">
        <v>2862</v>
      </c>
      <c r="O184" s="1574"/>
      <c r="P184" s="232"/>
    </row>
    <row r="185" spans="1:18" s="132" customFormat="1" ht="11.45" customHeight="1">
      <c r="A185" s="189" t="s">
        <v>2865</v>
      </c>
      <c r="B185" s="161" t="s">
        <v>475</v>
      </c>
      <c r="D185" s="161"/>
      <c r="E185" s="161"/>
      <c r="F185" s="161"/>
      <c r="G185" s="161"/>
      <c r="L185" s="161"/>
      <c r="M185" s="161"/>
      <c r="N185" s="803" t="s">
        <v>2865</v>
      </c>
      <c r="O185" s="1574"/>
      <c r="P185" s="232"/>
    </row>
    <row r="186" spans="1:18" s="132" customFormat="1" ht="11.45" customHeight="1">
      <c r="A186" s="189" t="s">
        <v>1145</v>
      </c>
      <c r="B186" s="161" t="s">
        <v>2467</v>
      </c>
      <c r="D186" s="161"/>
      <c r="E186" s="161"/>
      <c r="F186" s="161"/>
      <c r="G186" s="161"/>
      <c r="H186" s="161"/>
      <c r="L186" s="161"/>
      <c r="M186" s="161"/>
      <c r="N186" s="803" t="s">
        <v>1145</v>
      </c>
      <c r="O186" s="1574"/>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74"/>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t="s">
        <v>4058</v>
      </c>
      <c r="B189" s="1579"/>
      <c r="C189" s="1579"/>
      <c r="D189" s="1579"/>
      <c r="E189" s="1579"/>
      <c r="F189" s="1579"/>
      <c r="G189" s="1579"/>
      <c r="H189" s="1579"/>
      <c r="I189" s="1579"/>
      <c r="J189" s="1579"/>
      <c r="K189" s="1579"/>
      <c r="L189" s="1579"/>
      <c r="M189" s="1579"/>
      <c r="N189" s="1579"/>
      <c r="O189" s="1579"/>
      <c r="P189" s="1580"/>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46"/>
      <c r="P195" s="355"/>
    </row>
    <row r="196" spans="1:18" s="132" customFormat="1" ht="11.25" customHeight="1">
      <c r="B196" s="715" t="s">
        <v>2868</v>
      </c>
      <c r="C196" s="132" t="s">
        <v>809</v>
      </c>
      <c r="N196" s="250" t="s">
        <v>2868</v>
      </c>
      <c r="O196" s="1651"/>
      <c r="P196" s="541"/>
    </row>
    <row r="197" spans="1:18" s="132" customFormat="1" ht="11.25" customHeight="1">
      <c r="B197" s="715" t="s">
        <v>3549</v>
      </c>
      <c r="C197" s="132" t="s">
        <v>810</v>
      </c>
      <c r="N197" s="250" t="s">
        <v>3549</v>
      </c>
      <c r="O197" s="1651"/>
      <c r="P197" s="541"/>
    </row>
    <row r="198" spans="1:18" s="132" customFormat="1" ht="11.25" customHeight="1">
      <c r="B198" s="715" t="s">
        <v>1762</v>
      </c>
      <c r="C198" s="132" t="s">
        <v>811</v>
      </c>
      <c r="N198" s="250" t="s">
        <v>1762</v>
      </c>
      <c r="O198" s="1651"/>
      <c r="P198" s="541"/>
    </row>
    <row r="199" spans="1:18" s="132" customFormat="1" ht="11.25" customHeight="1">
      <c r="B199" s="715" t="s">
        <v>1763</v>
      </c>
      <c r="C199" s="132" t="s">
        <v>819</v>
      </c>
      <c r="N199" s="250" t="s">
        <v>1763</v>
      </c>
      <c r="O199" s="1647"/>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180" t="s">
        <v>2870</v>
      </c>
      <c r="J202" s="1180"/>
      <c r="L202" s="862" t="s">
        <v>2870</v>
      </c>
      <c r="M202" s="216"/>
      <c r="N202" s="250" t="s">
        <v>2866</v>
      </c>
    </row>
    <row r="203" spans="1:18" s="51" customFormat="1" ht="11.25" customHeight="1">
      <c r="A203" s="251"/>
      <c r="B203" s="150"/>
      <c r="C203" s="552" t="s">
        <v>3419</v>
      </c>
      <c r="D203" s="44" t="s">
        <v>2073</v>
      </c>
      <c r="H203" s="65"/>
      <c r="I203" s="1670"/>
      <c r="J203" s="1671"/>
      <c r="K203" s="253"/>
      <c r="L203" s="705"/>
      <c r="M203" s="89"/>
      <c r="N203" s="552" t="s">
        <v>3419</v>
      </c>
      <c r="O203" s="1646"/>
      <c r="P203" s="355"/>
      <c r="R203" s="558"/>
    </row>
    <row r="204" spans="1:18" ht="11.25" customHeight="1">
      <c r="A204" s="252"/>
      <c r="B204" s="108"/>
      <c r="C204" s="575" t="s">
        <v>3420</v>
      </c>
      <c r="D204" s="44" t="s">
        <v>2074</v>
      </c>
      <c r="H204" s="65"/>
      <c r="I204" s="1670"/>
      <c r="J204" s="1671"/>
      <c r="L204" s="705"/>
      <c r="M204" s="89"/>
      <c r="N204" s="575" t="s">
        <v>3420</v>
      </c>
      <c r="O204" s="1651"/>
      <c r="P204" s="541"/>
      <c r="R204" s="558"/>
    </row>
    <row r="205" spans="1:18" ht="11.25" customHeight="1">
      <c r="B205" s="715"/>
      <c r="C205" s="552" t="s">
        <v>3421</v>
      </c>
      <c r="D205" s="44" t="s">
        <v>3719</v>
      </c>
      <c r="H205" s="65"/>
      <c r="I205" s="1670"/>
      <c r="J205" s="1671"/>
      <c r="L205" s="705"/>
      <c r="M205" s="89"/>
      <c r="N205" s="552" t="s">
        <v>3421</v>
      </c>
      <c r="O205" s="1651"/>
      <c r="P205" s="541"/>
      <c r="R205" s="558"/>
    </row>
    <row r="206" spans="1:18" ht="11.25" customHeight="1">
      <c r="A206" s="252"/>
      <c r="B206" s="715"/>
      <c r="C206" s="552" t="s">
        <v>3422</v>
      </c>
      <c r="D206" s="44" t="s">
        <v>3720</v>
      </c>
      <c r="I206" s="1670"/>
      <c r="J206" s="1671"/>
      <c r="L206" s="705"/>
      <c r="M206" s="89"/>
      <c r="N206" s="552" t="s">
        <v>3422</v>
      </c>
      <c r="O206" s="1651"/>
      <c r="P206" s="541"/>
      <c r="R206" s="558"/>
    </row>
    <row r="207" spans="1:18" s="51" customFormat="1" ht="11.25" customHeight="1">
      <c r="A207" s="251"/>
      <c r="B207" s="715"/>
      <c r="C207" s="575" t="s">
        <v>3423</v>
      </c>
      <c r="D207" s="44" t="s">
        <v>2075</v>
      </c>
      <c r="H207" s="65"/>
      <c r="I207" s="1670"/>
      <c r="J207" s="1671"/>
      <c r="K207" s="253"/>
      <c r="L207" s="705"/>
      <c r="M207" s="89"/>
      <c r="N207" s="575" t="s">
        <v>3423</v>
      </c>
      <c r="O207" s="1651"/>
      <c r="P207" s="541"/>
      <c r="R207" s="558"/>
    </row>
    <row r="208" spans="1:18" ht="11.25" customHeight="1">
      <c r="A208" s="252"/>
      <c r="B208" s="715"/>
      <c r="C208" s="552" t="s">
        <v>3443</v>
      </c>
      <c r="D208" s="44" t="s">
        <v>2076</v>
      </c>
      <c r="H208" s="65"/>
      <c r="I208" s="1670"/>
      <c r="J208" s="1671"/>
      <c r="L208" s="705"/>
      <c r="M208" s="89"/>
      <c r="N208" s="552" t="s">
        <v>3443</v>
      </c>
      <c r="O208" s="1651"/>
      <c r="P208" s="541"/>
      <c r="R208" s="558"/>
    </row>
    <row r="209" spans="1:18" ht="11.25" customHeight="1">
      <c r="A209" s="252"/>
      <c r="B209" s="715"/>
      <c r="C209" s="552" t="s">
        <v>3444</v>
      </c>
      <c r="D209" s="44" t="s">
        <v>2077</v>
      </c>
      <c r="H209" s="65"/>
      <c r="I209" s="1670"/>
      <c r="J209" s="1671"/>
      <c r="L209" s="705"/>
      <c r="M209" s="89"/>
      <c r="N209" s="552" t="s">
        <v>3444</v>
      </c>
      <c r="O209" s="1651"/>
      <c r="P209" s="541"/>
      <c r="R209" s="558"/>
    </row>
    <row r="210" spans="1:18" ht="11.25" customHeight="1" thickBot="1">
      <c r="A210" s="252"/>
      <c r="B210" s="715"/>
      <c r="C210" s="552" t="s">
        <v>3451</v>
      </c>
      <c r="D210" s="701" t="s">
        <v>3721</v>
      </c>
      <c r="E210" s="702"/>
      <c r="F210" s="702"/>
      <c r="G210" s="702"/>
      <c r="H210" s="703"/>
      <c r="I210" s="1672"/>
      <c r="J210" s="1673"/>
      <c r="L210" s="709"/>
      <c r="M210" s="89"/>
      <c r="N210" s="552" t="s">
        <v>3451</v>
      </c>
      <c r="O210" s="1647"/>
      <c r="P210" s="356"/>
      <c r="R210" s="558"/>
    </row>
    <row r="211" spans="1:18" ht="12" customHeight="1" thickBot="1">
      <c r="A211" s="252"/>
      <c r="B211" s="715"/>
      <c r="D211" s="699" t="s">
        <v>3724</v>
      </c>
      <c r="H211" s="65"/>
      <c r="I211" s="1674">
        <f>SUM(I203:J210)</f>
        <v>0</v>
      </c>
      <c r="J211" s="1675"/>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3723</v>
      </c>
      <c r="D213" s="699" t="s">
        <v>3725</v>
      </c>
      <c r="I213" s="1181">
        <f>'Part IV-Uses of Funds'!$G$123</f>
        <v>8586036</v>
      </c>
      <c r="J213" s="1182"/>
      <c r="M213" s="216"/>
      <c r="N213" s="31"/>
      <c r="O213" s="31"/>
      <c r="P213" s="31"/>
    </row>
    <row r="214" spans="1:18" ht="12" customHeight="1">
      <c r="B214" s="250"/>
      <c r="C214" s="698"/>
      <c r="D214" s="720" t="s">
        <v>3726</v>
      </c>
      <c r="G214" s="708"/>
      <c r="H214" s="708"/>
      <c r="I214" s="1183">
        <f>IF($I$213=0,0,$I$211/$I$213)</f>
        <v>0</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74"/>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6"/>
      <c r="F219" s="1677"/>
      <c r="G219" s="1677"/>
      <c r="H219" s="1678"/>
      <c r="K219" s="253"/>
      <c r="M219" s="7"/>
      <c r="N219" s="7"/>
      <c r="O219" s="7"/>
      <c r="P219" s="7"/>
    </row>
    <row r="220" spans="1:18" ht="12" customHeight="1">
      <c r="A220" s="252"/>
      <c r="B220" s="582" t="s">
        <v>3321</v>
      </c>
      <c r="D220" s="583"/>
      <c r="E220" s="1679"/>
      <c r="F220" s="1680"/>
      <c r="G220" s="1680"/>
      <c r="H220" s="1680"/>
      <c r="I220" s="1680"/>
      <c r="J220" s="1680"/>
      <c r="K220" s="1680"/>
      <c r="L220" s="1680"/>
      <c r="M220" s="1680"/>
      <c r="N220" s="1680"/>
      <c r="O220" s="1680"/>
      <c r="P220" s="1313"/>
    </row>
    <row r="221" spans="1:18" ht="12.6" customHeight="1">
      <c r="B221" s="44" t="s">
        <v>3863</v>
      </c>
      <c r="E221" s="704"/>
      <c r="I221" s="1681"/>
      <c r="J221" s="1682"/>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t="s">
        <v>4058</v>
      </c>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46"/>
      <c r="P229" s="355"/>
      <c r="R229" s="558"/>
    </row>
    <row r="230" spans="1:18" s="51" customFormat="1" ht="24.6" customHeight="1">
      <c r="A230" s="50"/>
      <c r="B230" s="1185" t="s">
        <v>3642</v>
      </c>
      <c r="C230" s="1186"/>
      <c r="D230" s="1186"/>
      <c r="E230" s="1186"/>
      <c r="F230" s="1186"/>
      <c r="G230" s="1186"/>
      <c r="H230" s="1186"/>
      <c r="I230" s="1186"/>
      <c r="J230" s="1186"/>
      <c r="K230" s="1186"/>
      <c r="L230" s="1186"/>
      <c r="M230" s="54"/>
      <c r="N230" s="74"/>
      <c r="O230" s="1647"/>
      <c r="P230" s="356"/>
    </row>
    <row r="231" spans="1:18" s="51" customFormat="1" ht="12" customHeight="1">
      <c r="A231" s="189" t="s">
        <v>2865</v>
      </c>
      <c r="B231" s="236" t="s">
        <v>3727</v>
      </c>
      <c r="D231" s="40"/>
      <c r="E231" s="40"/>
      <c r="F231" s="40"/>
      <c r="H231" s="65" t="s">
        <v>3287</v>
      </c>
      <c r="N231" s="803" t="s">
        <v>2865</v>
      </c>
      <c r="O231" s="1574"/>
      <c r="P231" s="232"/>
      <c r="R231" s="558"/>
    </row>
    <row r="232" spans="1:18" s="51" customFormat="1" ht="12" customHeight="1">
      <c r="A232" s="50"/>
      <c r="B232" s="65" t="s">
        <v>3730</v>
      </c>
      <c r="D232" s="47"/>
      <c r="E232" s="44"/>
      <c r="F232" s="1"/>
      <c r="G232" s="1"/>
      <c r="H232" s="1"/>
      <c r="I232" s="1"/>
      <c r="J232" s="38"/>
      <c r="K232" s="38"/>
      <c r="L232" s="38"/>
      <c r="M232" s="823"/>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46"/>
      <c r="P233" s="355"/>
    </row>
    <row r="234" spans="1:18" s="132" customFormat="1" ht="11.25" customHeight="1">
      <c r="B234" s="551" t="s">
        <v>2868</v>
      </c>
      <c r="C234" s="697" t="s">
        <v>3729</v>
      </c>
      <c r="N234" s="250" t="s">
        <v>2868</v>
      </c>
      <c r="O234" s="1651"/>
      <c r="P234" s="541"/>
    </row>
    <row r="235" spans="1:18" s="132" customFormat="1" ht="11.25" customHeight="1">
      <c r="B235" s="551" t="s">
        <v>3549</v>
      </c>
      <c r="C235" s="697" t="s">
        <v>3731</v>
      </c>
      <c r="N235" s="250" t="s">
        <v>3549</v>
      </c>
      <c r="O235" s="1651"/>
      <c r="P235" s="541"/>
    </row>
    <row r="236" spans="1:18" s="132" customFormat="1" ht="11.25" customHeight="1">
      <c r="B236" s="551" t="s">
        <v>1762</v>
      </c>
      <c r="C236" s="697" t="s">
        <v>3732</v>
      </c>
      <c r="N236" s="250" t="s">
        <v>1762</v>
      </c>
      <c r="O236" s="1647"/>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t="s">
        <v>4058</v>
      </c>
      <c r="B238" s="1579"/>
      <c r="C238" s="1579"/>
      <c r="D238" s="1579"/>
      <c r="E238" s="1579"/>
      <c r="F238" s="1579"/>
      <c r="G238" s="1579"/>
      <c r="H238" s="1579"/>
      <c r="I238" s="1579"/>
      <c r="J238" s="1579"/>
      <c r="K238" s="1579"/>
      <c r="L238" s="1579"/>
      <c r="M238" s="1579"/>
      <c r="N238" s="1579"/>
      <c r="O238" s="1579"/>
      <c r="P238" s="1580"/>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83">
        <v>3</v>
      </c>
      <c r="P243" s="743"/>
      <c r="Q243" s="148"/>
      <c r="R243" s="558" t="str">
        <f>IF(OR($O243=$M243,$O243=0,$O243=""),"","* * Check Score! * *")</f>
        <v/>
      </c>
    </row>
    <row r="244" spans="1:18" s="51" customFormat="1" ht="36" customHeight="1">
      <c r="A244" s="189"/>
      <c r="B244" s="1213" t="s">
        <v>3735</v>
      </c>
      <c r="C244" s="1213"/>
      <c r="D244" s="1213"/>
      <c r="E244" s="1213"/>
      <c r="F244" s="1213"/>
      <c r="G244" s="1213"/>
      <c r="H244" s="1213"/>
      <c r="I244" s="1213"/>
      <c r="J244" s="1213"/>
      <c r="K244" s="1213"/>
      <c r="L244" s="1213"/>
      <c r="M244" s="558"/>
      <c r="N244" s="558"/>
      <c r="O244" s="1684" t="s">
        <v>4019</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683"/>
      <c r="P247" s="743"/>
    </row>
    <row r="248" spans="1:18" s="655" customFormat="1" ht="24" customHeight="1">
      <c r="A248" s="711" t="s">
        <v>1921</v>
      </c>
      <c r="B248" s="723" t="s">
        <v>2868</v>
      </c>
      <c r="C248" s="1162" t="s">
        <v>3761</v>
      </c>
      <c r="D248" s="1162"/>
      <c r="E248" s="1162"/>
      <c r="F248" s="1162"/>
      <c r="G248" s="1162"/>
      <c r="H248" s="1162"/>
      <c r="I248" s="1162"/>
      <c r="J248" s="1162"/>
      <c r="K248" s="1162"/>
      <c r="L248" s="1162"/>
      <c r="M248" s="656">
        <v>1</v>
      </c>
      <c r="O248" s="1684"/>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4" t="s">
        <v>3985</v>
      </c>
      <c r="P255" s="232"/>
    </row>
    <row r="256" spans="1:18" ht="12.6" customHeight="1">
      <c r="A256" s="189" t="s">
        <v>2862</v>
      </c>
      <c r="B256" s="254" t="s">
        <v>2020</v>
      </c>
      <c r="D256" s="40"/>
      <c r="E256" s="40"/>
      <c r="F256" s="40"/>
      <c r="G256" s="40"/>
      <c r="H256" s="40"/>
      <c r="I256" s="40"/>
      <c r="J256" s="40"/>
      <c r="K256" s="40"/>
      <c r="L256" s="40"/>
      <c r="M256" s="157"/>
      <c r="N256" s="803" t="s">
        <v>2862</v>
      </c>
      <c r="O256" s="1685">
        <v>10</v>
      </c>
      <c r="P256" s="580"/>
    </row>
    <row r="257" spans="1:18" ht="12.6" customHeight="1">
      <c r="A257" s="189" t="s">
        <v>2865</v>
      </c>
      <c r="B257" s="254" t="s">
        <v>325</v>
      </c>
      <c r="D257" s="40"/>
      <c r="E257" s="40"/>
      <c r="F257" s="40"/>
      <c r="G257" s="48"/>
      <c r="H257" s="48"/>
      <c r="I257" s="48"/>
      <c r="J257" s="48"/>
      <c r="K257" s="48"/>
      <c r="M257" s="134"/>
      <c r="N257" s="803" t="s">
        <v>2865</v>
      </c>
      <c r="O257" s="1574" t="s">
        <v>4035</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8"/>
      <c r="B259" s="1579"/>
      <c r="C259" s="1579"/>
      <c r="D259" s="1579"/>
      <c r="E259" s="1579"/>
      <c r="F259" s="1579"/>
      <c r="G259" s="1579"/>
      <c r="H259" s="1579"/>
      <c r="I259" s="1579"/>
      <c r="J259" s="1579"/>
      <c r="K259" s="1579"/>
      <c r="L259" s="1579"/>
      <c r="M259" s="1579"/>
      <c r="N259" s="1579"/>
      <c r="O259" s="1579"/>
      <c r="P259" s="1580"/>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58"/>
      <c r="K266" s="858"/>
      <c r="L266" s="858"/>
      <c r="M266" s="714"/>
      <c r="O266" s="1639"/>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3950</v>
      </c>
      <c r="D268" s="1162"/>
      <c r="E268" s="1162"/>
      <c r="F268" s="1162"/>
      <c r="G268" s="1162"/>
      <c r="H268" s="1162"/>
      <c r="I268" s="1162"/>
      <c r="J268" s="1162"/>
      <c r="K268" s="1162"/>
      <c r="L268" s="1162"/>
      <c r="M268" s="714"/>
      <c r="N268" s="656"/>
      <c r="O268" s="1686"/>
      <c r="P268" s="712"/>
    </row>
    <row r="269" spans="1:18" s="655" customFormat="1" ht="12" customHeight="1">
      <c r="A269" s="713" t="s">
        <v>1921</v>
      </c>
      <c r="B269" s="723" t="s">
        <v>3549</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71" t="s">
        <v>3951</v>
      </c>
      <c r="D270" s="1171"/>
      <c r="E270" s="1171"/>
      <c r="F270" s="1171"/>
      <c r="G270" s="1171"/>
      <c r="H270" s="1171"/>
      <c r="I270" s="1171"/>
      <c r="J270" s="1171"/>
      <c r="K270" s="1171"/>
      <c r="L270" s="1171"/>
      <c r="M270" s="656"/>
      <c r="N270" s="575" t="s">
        <v>3419</v>
      </c>
      <c r="O270" s="1687"/>
      <c r="P270" s="740"/>
    </row>
    <row r="271" spans="1:18" s="655" customFormat="1" ht="22.5" customHeight="1">
      <c r="A271" s="654"/>
      <c r="B271" s="575" t="s">
        <v>3420</v>
      </c>
      <c r="C271" s="1162" t="s">
        <v>3762</v>
      </c>
      <c r="D271" s="1162"/>
      <c r="E271" s="1162"/>
      <c r="F271" s="1162"/>
      <c r="G271" s="1162"/>
      <c r="H271" s="1162"/>
      <c r="I271" s="1162"/>
      <c r="J271" s="1162"/>
      <c r="K271" s="1162"/>
      <c r="L271" s="1162"/>
      <c r="M271" s="656"/>
      <c r="N271" s="575" t="s">
        <v>3420</v>
      </c>
      <c r="O271" s="1688"/>
      <c r="P271" s="741"/>
    </row>
    <row r="272" spans="1:18" s="655" customFormat="1" ht="22.5" customHeight="1">
      <c r="A272" s="654"/>
      <c r="B272" s="575" t="s">
        <v>3421</v>
      </c>
      <c r="C272" s="1162" t="s">
        <v>3739</v>
      </c>
      <c r="D272" s="1162"/>
      <c r="E272" s="1162"/>
      <c r="F272" s="1162"/>
      <c r="G272" s="1162"/>
      <c r="H272" s="1162"/>
      <c r="I272" s="1162"/>
      <c r="J272" s="1162"/>
      <c r="K272" s="1162"/>
      <c r="L272" s="1162"/>
      <c r="M272" s="656"/>
      <c r="N272" s="575" t="s">
        <v>3421</v>
      </c>
      <c r="O272" s="1689"/>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62" t="s">
        <v>3743</v>
      </c>
      <c r="D275" s="1162"/>
      <c r="E275" s="1162"/>
      <c r="F275" s="1162"/>
      <c r="G275" s="1162"/>
      <c r="H275" s="1162"/>
      <c r="I275" s="1162"/>
      <c r="J275" s="1162"/>
      <c r="K275" s="1162"/>
      <c r="L275" s="1162"/>
      <c r="M275" s="656">
        <v>4</v>
      </c>
      <c r="N275" s="575" t="s">
        <v>3419</v>
      </c>
      <c r="O275" s="1687"/>
      <c r="P275" s="740"/>
    </row>
    <row r="276" spans="1:18" s="655" customFormat="1" ht="22.5" customHeight="1">
      <c r="A276" s="219" t="s">
        <v>3763</v>
      </c>
      <c r="B276" s="575" t="s">
        <v>3420</v>
      </c>
      <c r="C276" s="1162" t="s">
        <v>3744</v>
      </c>
      <c r="D276" s="1162"/>
      <c r="E276" s="1162"/>
      <c r="F276" s="1162"/>
      <c r="G276" s="1162"/>
      <c r="H276" s="1162"/>
      <c r="I276" s="1162"/>
      <c r="J276" s="1162"/>
      <c r="K276" s="1162"/>
      <c r="L276" s="1162"/>
      <c r="M276" s="656">
        <v>2</v>
      </c>
      <c r="N276" s="575" t="s">
        <v>3420</v>
      </c>
      <c r="O276" s="1689"/>
      <c r="P276" s="742"/>
    </row>
    <row r="277" spans="1:18" s="132" customFormat="1" ht="12" customHeight="1">
      <c r="B277" s="551" t="s">
        <v>2868</v>
      </c>
      <c r="C277" s="724" t="s">
        <v>3742</v>
      </c>
      <c r="L277" s="558" t="str">
        <f>IF(OR($O277=$M277,$O277=0,$O277=""),"","* * Check Score! * *")</f>
        <v/>
      </c>
      <c r="M277" s="8">
        <v>1</v>
      </c>
      <c r="N277" s="250" t="s">
        <v>2868</v>
      </c>
      <c r="O277" s="1639"/>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62" t="s">
        <v>3747</v>
      </c>
      <c r="D279" s="1162"/>
      <c r="E279" s="1162"/>
      <c r="F279" s="1162"/>
      <c r="G279" s="1162"/>
      <c r="H279" s="1162"/>
      <c r="I279" s="1162"/>
      <c r="J279" s="1162"/>
      <c r="K279" s="1162"/>
      <c r="L279" s="1162"/>
      <c r="M279" s="656">
        <v>2</v>
      </c>
      <c r="N279" s="575" t="s">
        <v>3419</v>
      </c>
      <c r="O279" s="1683"/>
      <c r="P279" s="743"/>
    </row>
    <row r="280" spans="1:18" s="655" customFormat="1" ht="12" customHeight="1">
      <c r="A280" s="219" t="s">
        <v>3763</v>
      </c>
      <c r="B280" s="575" t="s">
        <v>3420</v>
      </c>
      <c r="C280" s="1162" t="s">
        <v>3746</v>
      </c>
      <c r="D280" s="1162"/>
      <c r="E280" s="1162"/>
      <c r="F280" s="1162"/>
      <c r="G280" s="1162"/>
      <c r="H280" s="1162"/>
      <c r="I280" s="1162"/>
      <c r="J280" s="1162"/>
      <c r="K280" s="1162"/>
      <c r="L280" s="1162"/>
      <c r="M280" s="656">
        <v>1</v>
      </c>
      <c r="N280" s="575" t="s">
        <v>3420</v>
      </c>
      <c r="O280" s="1684"/>
      <c r="P280" s="744"/>
    </row>
    <row r="281" spans="1:18" s="132" customFormat="1" ht="12" customHeight="1">
      <c r="B281" s="551" t="s">
        <v>1762</v>
      </c>
      <c r="C281" s="724" t="s">
        <v>3748</v>
      </c>
      <c r="F281" s="697" t="s">
        <v>3864</v>
      </c>
      <c r="L281" s="558"/>
      <c r="M281" s="8">
        <v>2</v>
      </c>
      <c r="N281" s="250" t="s">
        <v>1762</v>
      </c>
      <c r="O281" s="1639"/>
      <c r="P281" s="85"/>
    </row>
    <row r="282" spans="1:18" s="132" customFormat="1" ht="12" customHeight="1">
      <c r="B282" s="551" t="s">
        <v>1763</v>
      </c>
      <c r="C282" s="724" t="s">
        <v>3749</v>
      </c>
      <c r="F282" s="697" t="s">
        <v>3751</v>
      </c>
      <c r="J282" s="1209">
        <f>'Part IV-Uses of Funds'!$B$39/'Part IV-Uses of Funds'!$G$123</f>
        <v>0.60563454427631103</v>
      </c>
      <c r="K282" s="1210"/>
      <c r="L282" s="558"/>
      <c r="M282" s="8">
        <v>2</v>
      </c>
      <c r="N282" s="250" t="s">
        <v>1763</v>
      </c>
      <c r="O282" s="1639"/>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74"/>
      <c r="P284" s="232"/>
      <c r="R284" s="558"/>
    </row>
    <row r="285" spans="1:18" s="51" customFormat="1" ht="12" customHeight="1">
      <c r="A285" s="189"/>
      <c r="B285" s="575" t="s">
        <v>3420</v>
      </c>
      <c r="C285" s="65" t="s">
        <v>3946</v>
      </c>
      <c r="D285" s="40"/>
      <c r="N285" s="803"/>
      <c r="O285" s="157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54</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54</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Goshen Crossing II</v>
      </c>
    </row>
    <row r="3" spans="1:6" ht="16.5">
      <c r="A3" s="576" t="str">
        <f>CONCATENATE('Part I-Project Information'!F24,", ", 'Part I-Project Information'!J25," County")</f>
        <v>Rincon, Effingham County</v>
      </c>
    </row>
    <row r="4" spans="1:6" ht="12" customHeight="1"/>
    <row r="5" spans="1:6" ht="113.25" customHeight="1">
      <c r="A5" s="1216" t="s">
        <v>3960</v>
      </c>
      <c r="B5" s="1146" t="s">
        <v>3961</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Goshen Crossing II</v>
      </c>
    </row>
    <row r="3" spans="1:6" ht="16.5">
      <c r="A3" s="576" t="str">
        <f>CONCATENATE('Part I-Project Information'!F24,", ", 'Part I-Project Information'!J25," County")</f>
        <v>Rincon, Effingham County</v>
      </c>
    </row>
    <row r="4" spans="1:6" ht="12" customHeight="1"/>
    <row r="5" spans="1:6" ht="60" customHeight="1">
      <c r="A5" s="1216" t="s">
        <v>3959</v>
      </c>
      <c r="B5" s="1146" t="s">
        <v>3962</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3250</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9454620</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11345556</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10400076</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85" zoomScaleNormal="85"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Goshen Crossing II</v>
      </c>
    </row>
    <row r="3" spans="1:6" ht="16.5">
      <c r="A3" s="1281" t="str">
        <f>CONCATENATE('Part I-Project Information'!F24,", ", 'Part I-Project Information'!J25," County")</f>
        <v>Rincon, Effingham County</v>
      </c>
    </row>
    <row r="4" spans="1:6" ht="12" customHeight="1"/>
    <row r="5" spans="1:6" ht="111" customHeight="1">
      <c r="A5" s="1282" t="s">
        <v>4098</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- 2012-035 Goshen Crossing II, Rincon, Effingham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887" t="s">
        <v>3867</v>
      </c>
      <c r="P3" s="887"/>
    </row>
    <row r="4" spans="1:16" s="449" customFormat="1" ht="12" customHeight="1" thickBot="1">
      <c r="A4" s="846"/>
      <c r="B4" s="452"/>
      <c r="C4" s="452"/>
      <c r="D4" s="453"/>
      <c r="E4" s="400" t="s">
        <v>615</v>
      </c>
      <c r="H4" s="839"/>
      <c r="I4" s="839"/>
      <c r="J4" s="839"/>
      <c r="O4" s="1284" t="s">
        <v>4100</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3348</v>
      </c>
      <c r="D6" s="416"/>
      <c r="E6" s="454"/>
      <c r="F6" s="455" t="s">
        <v>2567</v>
      </c>
      <c r="J6" s="906">
        <f>'Part IV-Uses of Funds'!J165</f>
        <v>715065.93400000001</v>
      </c>
      <c r="K6" s="907"/>
      <c r="O6" s="888" t="s">
        <v>3866</v>
      </c>
      <c r="P6" s="888"/>
    </row>
    <row r="7" spans="1:16" s="2" customFormat="1" ht="13.15" customHeight="1">
      <c r="A7" s="5"/>
      <c r="C7" s="5"/>
      <c r="D7" s="31"/>
      <c r="E7" s="549"/>
      <c r="F7" s="449" t="s">
        <v>1850</v>
      </c>
      <c r="J7" s="908">
        <f>'Part III A-Sources of Funds'!J5</f>
        <v>0</v>
      </c>
      <c r="K7" s="909"/>
      <c r="M7" s="449"/>
      <c r="N7" s="449"/>
      <c r="O7" s="1286" t="s">
        <v>4095</v>
      </c>
      <c r="P7" s="1287"/>
    </row>
    <row r="8" spans="1:16" s="449" customFormat="1" ht="7.15" customHeight="1">
      <c r="A8" s="452"/>
      <c r="C8" s="452"/>
      <c r="D8" s="416"/>
      <c r="E8" s="454"/>
      <c r="F8" s="454"/>
      <c r="I8" s="456"/>
      <c r="N8" s="457"/>
    </row>
    <row r="9" spans="1:16" s="449" customFormat="1" ht="13.15" customHeight="1">
      <c r="A9" s="456" t="s">
        <v>1136</v>
      </c>
      <c r="C9" s="452" t="s">
        <v>2925</v>
      </c>
      <c r="F9" s="1288" t="s">
        <v>3976</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3977</v>
      </c>
      <c r="G13" s="1293"/>
      <c r="H13" s="1293"/>
      <c r="I13" s="1293"/>
      <c r="J13" s="1293"/>
      <c r="K13" s="1293"/>
      <c r="L13" s="1294"/>
      <c r="M13" s="826" t="s">
        <v>2859</v>
      </c>
      <c r="N13" s="1292" t="s">
        <v>3980</v>
      </c>
      <c r="O13" s="1293"/>
      <c r="P13" s="1294"/>
    </row>
    <row r="14" spans="1:16" s="449" customFormat="1" ht="13.15" customHeight="1">
      <c r="C14" s="455" t="s">
        <v>2860</v>
      </c>
      <c r="F14" s="1292" t="s">
        <v>3978</v>
      </c>
      <c r="G14" s="1293"/>
      <c r="H14" s="1293"/>
      <c r="I14" s="1293"/>
      <c r="J14" s="1293"/>
      <c r="K14" s="1293"/>
      <c r="L14" s="1294"/>
      <c r="M14" s="826" t="s">
        <v>2573</v>
      </c>
      <c r="O14" s="1295">
        <v>4048880168</v>
      </c>
      <c r="P14" s="1296"/>
    </row>
    <row r="15" spans="1:16" s="449" customFormat="1" ht="13.15" customHeight="1">
      <c r="C15" s="455" t="s">
        <v>876</v>
      </c>
      <c r="F15" s="1297" t="s">
        <v>3979</v>
      </c>
      <c r="G15" s="1298"/>
      <c r="H15" s="1299"/>
      <c r="M15" s="826" t="s">
        <v>2658</v>
      </c>
      <c r="O15" s="1300">
        <v>4048889577</v>
      </c>
      <c r="P15" s="1301"/>
    </row>
    <row r="16" spans="1:16" s="449" customFormat="1" ht="13.15" customHeight="1">
      <c r="C16" s="455" t="s">
        <v>2655</v>
      </c>
      <c r="F16" s="1302" t="s">
        <v>1337</v>
      </c>
      <c r="I16" s="839" t="s">
        <v>3138</v>
      </c>
      <c r="J16" s="1303">
        <v>303093470</v>
      </c>
      <c r="K16" s="1304"/>
      <c r="M16" s="826" t="s">
        <v>2858</v>
      </c>
      <c r="O16" s="1300">
        <v>4043866280</v>
      </c>
      <c r="P16" s="1301"/>
    </row>
    <row r="17" spans="1:16" s="449" customFormat="1" ht="13.15" customHeight="1">
      <c r="B17" s="833"/>
      <c r="C17" s="455" t="s">
        <v>2572</v>
      </c>
      <c r="F17" s="1300">
        <v>4048880168</v>
      </c>
      <c r="G17" s="1305"/>
      <c r="H17" s="1301"/>
      <c r="I17" s="830" t="s">
        <v>2571</v>
      </c>
      <c r="J17" s="1306"/>
      <c r="K17" s="839" t="s">
        <v>2863</v>
      </c>
      <c r="L17" s="1292" t="s">
        <v>4038</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3981</v>
      </c>
      <c r="G22" s="1308"/>
      <c r="H22" s="1308"/>
      <c r="I22" s="1308"/>
      <c r="J22" s="1308"/>
      <c r="K22" s="1308"/>
      <c r="L22" s="1309"/>
      <c r="M22" s="826" t="s">
        <v>3087</v>
      </c>
      <c r="O22" s="1292" t="s">
        <v>3982</v>
      </c>
      <c r="P22" s="1294"/>
    </row>
    <row r="23" spans="1:16" s="449" customFormat="1" ht="13.15" customHeight="1">
      <c r="A23" s="462"/>
      <c r="B23" s="452"/>
      <c r="C23" s="449" t="s">
        <v>875</v>
      </c>
      <c r="D23" s="463"/>
      <c r="F23" s="1292" t="s">
        <v>3984</v>
      </c>
      <c r="G23" s="1293"/>
      <c r="H23" s="1293"/>
      <c r="I23" s="1293"/>
      <c r="J23" s="1293"/>
      <c r="K23" s="1293"/>
      <c r="L23" s="1294"/>
      <c r="M23" s="826" t="s">
        <v>2938</v>
      </c>
      <c r="O23" s="1292" t="s">
        <v>3983</v>
      </c>
      <c r="P23" s="1294"/>
    </row>
    <row r="24" spans="1:16" s="449" customFormat="1" ht="13.15" customHeight="1">
      <c r="A24" s="846"/>
      <c r="B24" s="452"/>
      <c r="C24" s="449" t="s">
        <v>876</v>
      </c>
      <c r="F24" s="1292" t="s">
        <v>73</v>
      </c>
      <c r="G24" s="1293"/>
      <c r="H24" s="1294"/>
      <c r="I24" s="839" t="s">
        <v>418</v>
      </c>
      <c r="J24" s="1303">
        <v>313265578</v>
      </c>
      <c r="K24" s="1304"/>
      <c r="L24" s="540" t="str">
        <f>IF(AND(NOT(F22=""),NOT(F24="Select from list"),J24=""),"Enter Zip!","")</f>
        <v/>
      </c>
      <c r="M24" s="826" t="s">
        <v>3197</v>
      </c>
      <c r="O24" s="1292">
        <v>6.07</v>
      </c>
      <c r="P24" s="1294"/>
    </row>
    <row r="25" spans="1:16" s="449" customFormat="1" ht="13.15" customHeight="1">
      <c r="A25" s="846"/>
      <c r="B25" s="452"/>
      <c r="C25" s="889" t="s">
        <v>2937</v>
      </c>
      <c r="D25" s="889"/>
      <c r="F25" s="1310" t="s">
        <v>3983</v>
      </c>
      <c r="I25" s="494" t="s">
        <v>877</v>
      </c>
      <c r="J25" s="1311" t="str">
        <f>IF($F$24="","",VLOOKUP($F$24,$N$181:$O$784,2,FALSE))</f>
        <v>Effingham</v>
      </c>
      <c r="K25" s="1312"/>
      <c r="M25" s="465" t="s">
        <v>3212</v>
      </c>
      <c r="O25" s="1292">
        <v>303.05</v>
      </c>
      <c r="P25" s="1313"/>
    </row>
    <row r="26" spans="1:16" s="449" customFormat="1" ht="13.15" customHeight="1">
      <c r="A26" s="846"/>
      <c r="B26" s="452"/>
      <c r="C26" s="449" t="s">
        <v>2162</v>
      </c>
      <c r="F26" s="1314" t="s">
        <v>3985</v>
      </c>
      <c r="H26" s="457" t="s">
        <v>3656</v>
      </c>
      <c r="I26" s="682" t="str">
        <f>VLOOKUP($J$25,$C$181:$F$340,4)</f>
        <v>MSA</v>
      </c>
      <c r="J26" s="1315" t="str">
        <f>IF($F$24="","",VLOOKUP($J$25,$C$181:$H$340,3,FALSE))</f>
        <v>Savannah</v>
      </c>
      <c r="K26" s="1316"/>
      <c r="L26" s="1317"/>
      <c r="M26" s="826" t="s">
        <v>625</v>
      </c>
      <c r="N26" s="1318" t="s">
        <v>3983</v>
      </c>
      <c r="O26" s="457" t="s">
        <v>626</v>
      </c>
      <c r="P26" s="1318" t="s">
        <v>3983</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9">
        <v>12</v>
      </c>
      <c r="G29" s="1320"/>
      <c r="H29" s="1319">
        <v>4</v>
      </c>
      <c r="I29" s="1320"/>
      <c r="J29" s="1319">
        <v>159</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4039</v>
      </c>
      <c r="G32" s="1322"/>
      <c r="H32" s="1322"/>
      <c r="I32" s="1322"/>
      <c r="J32" s="1322"/>
      <c r="K32" s="1323"/>
      <c r="L32" s="466"/>
      <c r="M32" s="466"/>
      <c r="N32" s="466"/>
    </row>
    <row r="33" spans="1:19" s="449" customFormat="1" ht="13.15" customHeight="1">
      <c r="A33" s="846"/>
      <c r="B33" s="846"/>
      <c r="C33" s="449" t="s">
        <v>897</v>
      </c>
      <c r="F33" s="1324" t="s">
        <v>4040</v>
      </c>
      <c r="G33" s="1325"/>
      <c r="H33" s="1325"/>
      <c r="I33" s="1325"/>
      <c r="J33" s="1326"/>
      <c r="K33" s="467" t="s">
        <v>2859</v>
      </c>
      <c r="L33" s="1321" t="s">
        <v>4041</v>
      </c>
      <c r="M33" s="1322"/>
      <c r="N33" s="1323"/>
    </row>
    <row r="34" spans="1:19" s="449" customFormat="1" ht="13.15" customHeight="1">
      <c r="A34" s="846"/>
      <c r="B34" s="846"/>
      <c r="C34" s="449" t="s">
        <v>2860</v>
      </c>
      <c r="F34" s="1321" t="s">
        <v>4042</v>
      </c>
      <c r="G34" s="1322"/>
      <c r="H34" s="1322"/>
      <c r="I34" s="1322"/>
      <c r="J34" s="1323"/>
      <c r="K34" s="468" t="s">
        <v>876</v>
      </c>
      <c r="L34" s="1292" t="s">
        <v>3530</v>
      </c>
      <c r="M34" s="1293"/>
      <c r="N34" s="1294"/>
    </row>
    <row r="35" spans="1:19" s="449" customFormat="1" ht="13.15" customHeight="1">
      <c r="A35" s="846"/>
      <c r="B35" s="846"/>
      <c r="C35" s="826" t="s">
        <v>3138</v>
      </c>
      <c r="F35" s="1327">
        <v>313296816</v>
      </c>
      <c r="G35" s="1328"/>
      <c r="H35" s="830" t="s">
        <v>2861</v>
      </c>
      <c r="I35" s="1329">
        <v>9127542123</v>
      </c>
      <c r="J35" s="1330"/>
      <c r="K35" s="1331"/>
      <c r="L35" s="830" t="s">
        <v>2658</v>
      </c>
      <c r="M35" s="1329">
        <v>9127548407</v>
      </c>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3214</v>
      </c>
      <c r="F39" s="1306" t="s">
        <v>3983</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99" t="s">
        <v>1840</v>
      </c>
      <c r="M41" s="899"/>
      <c r="N41" s="899"/>
      <c r="O41" s="899"/>
      <c r="P41" s="900"/>
      <c r="Q41" s="839"/>
    </row>
    <row r="42" spans="1:19" ht="13.15" customHeight="1">
      <c r="B42" s="846"/>
      <c r="C42" s="449" t="s">
        <v>3213</v>
      </c>
      <c r="D42" s="449"/>
      <c r="E42" s="449"/>
      <c r="F42" s="473">
        <f>'Part VI-Revenues &amp; Expenses'!$M$74</f>
        <v>60</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3190</v>
      </c>
      <c r="D48" s="833"/>
      <c r="I48" s="896" t="s">
        <v>1993</v>
      </c>
      <c r="J48" s="462" t="s">
        <v>3004</v>
      </c>
      <c r="K48" s="475" t="s">
        <v>3220</v>
      </c>
      <c r="M48" s="833"/>
      <c r="N48" s="833"/>
      <c r="O48" s="833"/>
      <c r="P48" s="839"/>
      <c r="Q48" s="839"/>
      <c r="R48" s="839"/>
      <c r="S48" s="833"/>
    </row>
    <row r="49" spans="1:16" s="449" customFormat="1" ht="13.15" customHeight="1">
      <c r="A49" s="846"/>
      <c r="B49" s="829"/>
      <c r="C49" s="459" t="s">
        <v>3191</v>
      </c>
      <c r="D49" s="833"/>
      <c r="E49" s="833"/>
      <c r="H49" s="476">
        <f>SUM(H50:H51)</f>
        <v>60</v>
      </c>
      <c r="I49" s="897"/>
      <c r="J49" s="846"/>
      <c r="K49" s="459" t="s">
        <v>3221</v>
      </c>
      <c r="M49" s="833"/>
      <c r="N49" s="833"/>
      <c r="O49" s="833"/>
      <c r="P49" s="476">
        <f>'Part VI-Revenues &amp; Expenses'!$M$96</f>
        <v>65640</v>
      </c>
    </row>
    <row r="50" spans="1:16" s="449" customFormat="1" ht="13.15" customHeight="1">
      <c r="A50" s="846"/>
      <c r="B50" s="472"/>
      <c r="D50" s="477" t="s">
        <v>459</v>
      </c>
      <c r="E50" s="477"/>
      <c r="H50" s="476">
        <f>'Part VI-Revenues &amp; Expenses'!$M$57</f>
        <v>10</v>
      </c>
      <c r="I50" s="476">
        <f>'Part VI-Revenues &amp; Expenses'!$M$65</f>
        <v>0</v>
      </c>
      <c r="K50" s="459" t="s">
        <v>306</v>
      </c>
      <c r="M50" s="833"/>
      <c r="N50" s="833"/>
      <c r="O50" s="833"/>
      <c r="P50" s="476">
        <f>'Part VI-Revenues &amp; Expenses'!$M$97</f>
        <v>0</v>
      </c>
    </row>
    <row r="51" spans="1:16" s="449" customFormat="1" ht="13.15" customHeight="1">
      <c r="A51" s="846"/>
      <c r="D51" s="477" t="s">
        <v>2686</v>
      </c>
      <c r="E51" s="477"/>
      <c r="H51" s="476">
        <f>'Part VI-Revenues &amp; Expenses'!$M$56</f>
        <v>50</v>
      </c>
      <c r="I51" s="476">
        <f>'Part VI-Revenues &amp; Expenses'!$M$64</f>
        <v>0</v>
      </c>
      <c r="K51" s="459" t="s">
        <v>3222</v>
      </c>
      <c r="M51" s="833"/>
      <c r="N51" s="833"/>
      <c r="O51" s="833"/>
      <c r="P51" s="476">
        <f>+P49+P50</f>
        <v>65640</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0</v>
      </c>
    </row>
    <row r="53" spans="1:16" s="449" customFormat="1" ht="13.15" customHeight="1">
      <c r="A53" s="846"/>
      <c r="C53" s="459" t="s">
        <v>3389</v>
      </c>
      <c r="D53" s="833"/>
      <c r="E53" s="833"/>
      <c r="H53" s="476">
        <f>+H49+H52</f>
        <v>60</v>
      </c>
      <c r="J53" s="846"/>
      <c r="K53" s="459" t="s">
        <v>1995</v>
      </c>
      <c r="M53" s="833"/>
      <c r="N53" s="833"/>
      <c r="O53" s="833"/>
      <c r="P53" s="476">
        <f>+P51+P52</f>
        <v>65640</v>
      </c>
    </row>
    <row r="54" spans="1:16" s="449" customFormat="1" ht="13.15" customHeight="1">
      <c r="A54" s="846"/>
      <c r="C54" s="459" t="s">
        <v>3390</v>
      </c>
      <c r="D54" s="833"/>
      <c r="E54" s="833"/>
      <c r="H54" s="476">
        <f>'Part VI-Revenues &amp; Expenses'!$M$61</f>
        <v>0</v>
      </c>
      <c r="J54" s="846"/>
    </row>
    <row r="55" spans="1:16" s="449" customFormat="1" ht="13.15" customHeight="1">
      <c r="A55" s="846"/>
      <c r="C55" s="459" t="s">
        <v>2649</v>
      </c>
      <c r="D55" s="833"/>
      <c r="E55" s="833"/>
      <c r="H55" s="476">
        <f>+H53+H54</f>
        <v>60</v>
      </c>
      <c r="J55" s="833"/>
    </row>
    <row r="56" spans="1:16" s="449" customFormat="1" ht="3" customHeight="1">
      <c r="A56" s="846"/>
      <c r="I56" s="839"/>
      <c r="L56" s="839"/>
      <c r="M56" s="839"/>
      <c r="N56" s="833"/>
      <c r="P56" s="460"/>
    </row>
    <row r="57" spans="1:16" s="449" customFormat="1" ht="13.15" customHeight="1">
      <c r="A57" s="846"/>
      <c r="B57" s="846" t="s">
        <v>2588</v>
      </c>
      <c r="C57" s="461" t="s">
        <v>3215</v>
      </c>
      <c r="D57" s="477" t="s">
        <v>2876</v>
      </c>
      <c r="G57" s="833"/>
      <c r="H57" s="1333">
        <v>3</v>
      </c>
      <c r="K57" s="459" t="s">
        <v>1641</v>
      </c>
      <c r="O57" s="833"/>
      <c r="P57" s="1333">
        <v>3300</v>
      </c>
    </row>
    <row r="58" spans="1:16" s="449" customFormat="1" ht="13.15" customHeight="1">
      <c r="A58" s="846"/>
      <c r="B58" s="846"/>
      <c r="D58" s="829" t="s">
        <v>2877</v>
      </c>
      <c r="H58" s="1333">
        <v>1</v>
      </c>
      <c r="I58" s="833"/>
      <c r="K58" s="459" t="s">
        <v>305</v>
      </c>
      <c r="O58" s="833"/>
      <c r="P58" s="476">
        <f>+P53+P57</f>
        <v>68940</v>
      </c>
    </row>
    <row r="59" spans="1:16" s="449" customFormat="1" ht="13.15" customHeight="1">
      <c r="A59" s="846"/>
      <c r="B59" s="846"/>
      <c r="D59" s="829" t="s">
        <v>2878</v>
      </c>
      <c r="H59" s="476">
        <f>+H57+H58</f>
        <v>4</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v>90</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3965</v>
      </c>
      <c r="D65" s="827"/>
      <c r="E65" s="827"/>
      <c r="F65" s="833"/>
      <c r="G65" s="839"/>
      <c r="H65" s="1334" t="s">
        <v>3986</v>
      </c>
      <c r="I65" s="1335"/>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2865</v>
      </c>
      <c r="C67" s="461" t="s">
        <v>1985</v>
      </c>
      <c r="D67" s="833"/>
      <c r="E67" s="477"/>
      <c r="G67" s="479" t="s">
        <v>1282</v>
      </c>
      <c r="H67" s="1333">
        <v>3</v>
      </c>
      <c r="K67" s="889" t="s">
        <v>755</v>
      </c>
      <c r="L67" s="889"/>
      <c r="P67" s="480">
        <f>IF('Part VI-Revenues &amp; Expenses'!$M$62=0,0,$H67/'Part VI-Revenues &amp; Expenses'!$M$62)</f>
        <v>0.05</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2711</v>
      </c>
      <c r="D69" s="477"/>
      <c r="E69" s="477"/>
      <c r="G69" s="479" t="s">
        <v>1282</v>
      </c>
      <c r="H69" s="1333">
        <v>2</v>
      </c>
      <c r="K69" s="889" t="s">
        <v>755</v>
      </c>
      <c r="L69" s="889"/>
      <c r="P69" s="480">
        <f>IF('Part VI-Revenues &amp; Expenses'!$M$62=0,0,$H69/'Part VI-Revenues &amp; Expenses'!$M$62)</f>
        <v>3.3333333333333333E-2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3004</v>
      </c>
      <c r="C71" s="461" t="s">
        <v>1847</v>
      </c>
      <c r="D71" s="477"/>
      <c r="E71" s="477"/>
      <c r="G71" s="479" t="s">
        <v>1848</v>
      </c>
      <c r="H71" s="1333"/>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3350</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2862</v>
      </c>
      <c r="C75" s="394" t="s">
        <v>3349</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1306"/>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3985</v>
      </c>
      <c r="F81" s="477" t="s">
        <v>3639</v>
      </c>
      <c r="H81" s="1306" t="s">
        <v>3985</v>
      </c>
      <c r="I81" s="826" t="s">
        <v>3638</v>
      </c>
      <c r="K81" s="1306"/>
      <c r="L81" s="449" t="s">
        <v>339</v>
      </c>
    </row>
    <row r="82" spans="1:16" s="449" customFormat="1" ht="13.15" customHeight="1">
      <c r="A82" s="846"/>
      <c r="B82" s="846"/>
      <c r="D82" s="470"/>
      <c r="E82" s="1306"/>
      <c r="F82" s="826" t="s">
        <v>611</v>
      </c>
      <c r="H82" s="1306"/>
      <c r="I82" s="829"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9"/>
      <c r="P86" s="1340"/>
    </row>
    <row r="87" spans="1:16" s="449" customFormat="1" ht="13.15" customHeight="1">
      <c r="C87" s="455" t="s">
        <v>1527</v>
      </c>
      <c r="D87" s="463"/>
      <c r="E87" s="1292"/>
      <c r="F87" s="1293"/>
      <c r="G87" s="1293"/>
      <c r="H87" s="1293"/>
      <c r="I87" s="1293"/>
      <c r="J87" s="1293"/>
      <c r="K87" s="1293"/>
      <c r="L87" s="1294"/>
      <c r="M87" s="898" t="s">
        <v>1294</v>
      </c>
      <c r="N87" s="898"/>
      <c r="O87" s="1307"/>
      <c r="P87" s="1309"/>
    </row>
    <row r="88" spans="1:16" s="449" customFormat="1" ht="13.15" customHeight="1">
      <c r="C88" s="455" t="s">
        <v>876</v>
      </c>
      <c r="E88" s="1292"/>
      <c r="F88" s="1341"/>
      <c r="G88" s="1342"/>
      <c r="H88" s="830" t="s">
        <v>2655</v>
      </c>
      <c r="I88" s="1306"/>
      <c r="J88" s="483" t="s">
        <v>3138</v>
      </c>
      <c r="K88" s="1303"/>
      <c r="L88" s="1342"/>
      <c r="M88" s="416"/>
      <c r="N88" s="416"/>
      <c r="O88" s="416"/>
      <c r="P88" s="416"/>
    </row>
    <row r="89" spans="1:16" s="449" customFormat="1" ht="13.15" customHeight="1">
      <c r="C89" s="449" t="s">
        <v>3089</v>
      </c>
      <c r="E89" s="1292"/>
      <c r="F89" s="1341"/>
      <c r="G89" s="1342"/>
      <c r="H89" s="839" t="s">
        <v>2859</v>
      </c>
      <c r="I89" s="1292"/>
      <c r="J89" s="1341"/>
      <c r="K89" s="1342"/>
      <c r="L89" s="844" t="s">
        <v>2863</v>
      </c>
      <c r="M89" s="1292"/>
      <c r="N89" s="1341"/>
      <c r="O89" s="1341"/>
      <c r="P89" s="1342"/>
    </row>
    <row r="90" spans="1:16" s="449" customFormat="1" ht="13.15" customHeight="1">
      <c r="C90" s="455" t="s">
        <v>3088</v>
      </c>
      <c r="E90" s="1300"/>
      <c r="F90" s="1305"/>
      <c r="G90" s="1301"/>
      <c r="H90" s="839" t="s">
        <v>2658</v>
      </c>
      <c r="I90" s="1329"/>
      <c r="J90" s="1342"/>
      <c r="K90" s="483" t="s">
        <v>2659</v>
      </c>
      <c r="L90" s="1329"/>
      <c r="M90" s="1342"/>
      <c r="N90" s="483" t="s">
        <v>2858</v>
      </c>
      <c r="O90" s="1329"/>
      <c r="P90" s="1342"/>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29"/>
      <c r="E98" s="829"/>
      <c r="F98" s="839"/>
      <c r="G98" s="839"/>
      <c r="H98" s="1344">
        <f>715066+510748</f>
        <v>1225814</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3026</v>
      </c>
      <c r="D101" s="829"/>
      <c r="F101" s="829" t="s">
        <v>1652</v>
      </c>
      <c r="G101" s="839"/>
      <c r="H101" s="839"/>
      <c r="I101" s="839"/>
      <c r="J101" s="829" t="s">
        <v>3026</v>
      </c>
      <c r="K101" s="829"/>
      <c r="M101" s="829" t="s">
        <v>1652</v>
      </c>
      <c r="N101" s="839"/>
      <c r="O101" s="839"/>
      <c r="P101" s="839"/>
    </row>
    <row r="102" spans="1:16" s="449" customFormat="1" ht="13.15" customHeight="1">
      <c r="A102" s="846"/>
      <c r="B102" s="846"/>
      <c r="C102" s="1345" t="s">
        <v>3987</v>
      </c>
      <c r="D102" s="1346"/>
      <c r="E102" s="1346"/>
      <c r="F102" s="1346" t="s">
        <v>3981</v>
      </c>
      <c r="G102" s="1346"/>
      <c r="H102" s="1346"/>
      <c r="I102" s="1347"/>
      <c r="J102" s="1345">
        <v>8</v>
      </c>
      <c r="K102" s="1346"/>
      <c r="L102" s="1346"/>
      <c r="M102" s="1346"/>
      <c r="N102" s="1346"/>
      <c r="O102" s="1346"/>
      <c r="P102" s="1347"/>
    </row>
    <row r="103" spans="1:16" s="449" customFormat="1" ht="13.15" customHeight="1">
      <c r="A103" s="846"/>
      <c r="B103" s="846"/>
      <c r="C103" s="1348" t="s">
        <v>3988</v>
      </c>
      <c r="D103" s="1349"/>
      <c r="E103" s="1349"/>
      <c r="F103" s="1349" t="s">
        <v>3981</v>
      </c>
      <c r="G103" s="1349"/>
      <c r="H103" s="1349"/>
      <c r="I103" s="1350"/>
      <c r="J103" s="1348">
        <v>9</v>
      </c>
      <c r="K103" s="1349"/>
      <c r="L103" s="1349"/>
      <c r="M103" s="1349"/>
      <c r="N103" s="1349"/>
      <c r="O103" s="1349"/>
      <c r="P103" s="1350"/>
    </row>
    <row r="104" spans="1:16" s="449" customFormat="1" ht="13.15" customHeight="1">
      <c r="A104" s="846"/>
      <c r="B104" s="846"/>
      <c r="C104" s="1348" t="s">
        <v>4074</v>
      </c>
      <c r="D104" s="1349"/>
      <c r="E104" s="1349"/>
      <c r="F104" s="1349" t="s">
        <v>3981</v>
      </c>
      <c r="G104" s="1349"/>
      <c r="H104" s="1349"/>
      <c r="I104" s="1350"/>
      <c r="J104" s="1348">
        <v>10</v>
      </c>
      <c r="K104" s="1349"/>
      <c r="L104" s="1349"/>
      <c r="M104" s="1349"/>
      <c r="N104" s="1349"/>
      <c r="O104" s="1349"/>
      <c r="P104" s="1350"/>
    </row>
    <row r="105" spans="1:16" s="449" customFormat="1" ht="13.15" customHeight="1">
      <c r="A105" s="846"/>
      <c r="B105" s="846"/>
      <c r="C105" s="1348" t="s">
        <v>4085</v>
      </c>
      <c r="D105" s="1349"/>
      <c r="E105" s="1349"/>
      <c r="F105" s="1349" t="s">
        <v>3981</v>
      </c>
      <c r="G105" s="1349"/>
      <c r="H105" s="1349"/>
      <c r="I105" s="1350"/>
      <c r="J105" s="1348">
        <v>11</v>
      </c>
      <c r="K105" s="1349"/>
      <c r="L105" s="1349"/>
      <c r="M105" s="1349"/>
      <c r="N105" s="1349"/>
      <c r="O105" s="1349"/>
      <c r="P105" s="1350"/>
    </row>
    <row r="106" spans="1:16" s="449" customFormat="1" ht="13.15" customHeight="1">
      <c r="A106" s="846"/>
      <c r="B106" s="846"/>
      <c r="C106" s="1348" t="s">
        <v>4074</v>
      </c>
      <c r="D106" s="1349"/>
      <c r="E106" s="1349"/>
      <c r="F106" s="1349" t="s">
        <v>4084</v>
      </c>
      <c r="G106" s="1349"/>
      <c r="H106" s="1349"/>
      <c r="I106" s="1350"/>
      <c r="J106" s="1348">
        <v>12</v>
      </c>
      <c r="K106" s="1349"/>
      <c r="L106" s="1349"/>
      <c r="M106" s="1349"/>
      <c r="N106" s="1349"/>
      <c r="O106" s="1349"/>
      <c r="P106" s="1350"/>
    </row>
    <row r="107" spans="1:16" s="449" customFormat="1" ht="13.15" customHeight="1">
      <c r="A107" s="846"/>
      <c r="B107" s="846"/>
      <c r="C107" s="1348" t="s">
        <v>4085</v>
      </c>
      <c r="D107" s="1349"/>
      <c r="E107" s="1349"/>
      <c r="F107" s="1349" t="s">
        <v>4084</v>
      </c>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895" t="s">
        <v>2718</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3026</v>
      </c>
      <c r="D112" s="829"/>
      <c r="F112" s="829" t="s">
        <v>1652</v>
      </c>
      <c r="G112" s="839"/>
      <c r="H112" s="839"/>
      <c r="I112" s="839"/>
      <c r="J112" s="829" t="s">
        <v>3026</v>
      </c>
      <c r="K112" s="829"/>
      <c r="M112" s="829" t="s">
        <v>1652</v>
      </c>
      <c r="N112" s="839"/>
      <c r="O112" s="839"/>
      <c r="P112" s="839"/>
    </row>
    <row r="113" spans="1:16" s="449" customFormat="1" ht="13.15" customHeight="1">
      <c r="A113" s="846"/>
      <c r="B113" s="846"/>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6"/>
      <c r="B114" s="846"/>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3402</v>
      </c>
      <c r="D121" s="478"/>
      <c r="E121" s="478"/>
      <c r="F121" s="478"/>
      <c r="H121" s="1306"/>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1306"/>
      <c r="M123" s="839"/>
      <c r="N123" s="833"/>
      <c r="O123" s="833"/>
      <c r="P123" s="460"/>
    </row>
    <row r="124" spans="1:16" s="449" customFormat="1" ht="13.15" customHeight="1">
      <c r="A124" s="846"/>
      <c r="B124" s="846"/>
      <c r="C124" s="829" t="s">
        <v>3404</v>
      </c>
      <c r="D124" s="829"/>
      <c r="E124" s="829"/>
      <c r="F124" s="839"/>
      <c r="H124" s="1354"/>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3405</v>
      </c>
      <c r="D126" s="829"/>
      <c r="E126" s="829"/>
      <c r="F126" s="839"/>
      <c r="H126" s="1354"/>
      <c r="K126" s="416" t="s">
        <v>3157</v>
      </c>
      <c r="O126" s="1292" t="s">
        <v>671</v>
      </c>
      <c r="P126" s="1294"/>
    </row>
    <row r="127" spans="1:16" s="449" customFormat="1" ht="13.15" customHeight="1">
      <c r="A127" s="846"/>
      <c r="B127" s="846"/>
      <c r="C127" s="829" t="s">
        <v>3403</v>
      </c>
      <c r="F127" s="839"/>
      <c r="H127" s="1343"/>
      <c r="K127" s="416" t="s">
        <v>3158</v>
      </c>
      <c r="O127" s="1292" t="s">
        <v>671</v>
      </c>
      <c r="P127" s="1294"/>
    </row>
    <row r="128" spans="1:16" s="449" customFormat="1" ht="13.15" customHeight="1">
      <c r="A128" s="846"/>
      <c r="B128" s="846"/>
      <c r="C128" s="829" t="s">
        <v>3060</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7" t="s">
        <v>3497</v>
      </c>
      <c r="D130" s="829"/>
      <c r="E130" s="829"/>
      <c r="F130" s="839"/>
      <c r="H130" s="1343"/>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c r="K133" s="829" t="s">
        <v>2136</v>
      </c>
      <c r="L133" s="829"/>
      <c r="M133" s="839"/>
      <c r="N133" s="839"/>
      <c r="O133" s="1343"/>
      <c r="P133" s="460"/>
    </row>
    <row r="134" spans="1:16" s="449" customFormat="1" ht="13.15" customHeight="1">
      <c r="A134" s="846"/>
      <c r="B134" s="846"/>
      <c r="C134" s="829" t="s">
        <v>999</v>
      </c>
      <c r="D134" s="829"/>
      <c r="E134" s="829"/>
      <c r="F134" s="839"/>
      <c r="G134" s="839"/>
      <c r="H134" s="1343"/>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3983</v>
      </c>
      <c r="N139" s="833"/>
      <c r="O139" s="833"/>
      <c r="P139" s="460"/>
    </row>
    <row r="140" spans="1:16" s="449" customFormat="1" ht="12.6" customHeight="1">
      <c r="A140" s="846"/>
      <c r="B140" s="846"/>
      <c r="C140" s="449" t="s">
        <v>872</v>
      </c>
      <c r="K140" s="1333"/>
      <c r="L140" s="455" t="s">
        <v>2651</v>
      </c>
      <c r="P140" s="487">
        <f>IF('Part VI-Revenues &amp; Expenses'!$M$60=0,0,$K140/'Part VI-Revenues &amp; Expenses'!$M$60)</f>
        <v>0</v>
      </c>
    </row>
    <row r="141" spans="1:16" s="449" customFormat="1" ht="12.6" customHeight="1">
      <c r="A141" s="846"/>
      <c r="B141" s="846"/>
      <c r="C141" s="449" t="s">
        <v>3061</v>
      </c>
      <c r="K141" s="1333"/>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5"/>
      <c r="L143" s="826" t="s">
        <v>2656</v>
      </c>
      <c r="M143" s="1307"/>
      <c r="N143" s="1308"/>
      <c r="O143" s="1308"/>
      <c r="P143" s="1309"/>
    </row>
    <row r="144" spans="1:16" s="449" customFormat="1" ht="12.6" customHeight="1">
      <c r="A144" s="846"/>
      <c r="B144" s="846"/>
      <c r="C144" s="455" t="s">
        <v>876</v>
      </c>
      <c r="E144" s="1292"/>
      <c r="F144" s="1293"/>
      <c r="G144" s="1293"/>
      <c r="H144" s="1294"/>
      <c r="I144" s="483" t="s">
        <v>3138</v>
      </c>
      <c r="J144" s="1303"/>
      <c r="K144" s="1304"/>
      <c r="L144" s="488" t="s">
        <v>2659</v>
      </c>
      <c r="M144" s="1300"/>
      <c r="N144" s="1305"/>
      <c r="O144" s="1301"/>
    </row>
    <row r="145" spans="1:16" s="449" customFormat="1" ht="12.6" customHeight="1">
      <c r="A145" s="846"/>
      <c r="B145" s="846"/>
      <c r="C145" s="455" t="s">
        <v>2657</v>
      </c>
      <c r="E145" s="1300"/>
      <c r="F145" s="1305"/>
      <c r="G145" s="1301"/>
      <c r="H145" s="489" t="s">
        <v>2658</v>
      </c>
      <c r="I145" s="1300"/>
      <c r="J145" s="1305"/>
      <c r="K145" s="1301"/>
      <c r="L145" s="490" t="s">
        <v>2858</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1343" t="s">
        <v>3985</v>
      </c>
      <c r="J147" s="893" t="s">
        <v>1158</v>
      </c>
      <c r="K147" s="894"/>
      <c r="L147" s="1343">
        <v>2033</v>
      </c>
      <c r="M147" s="890" t="s">
        <v>3247</v>
      </c>
      <c r="N147" s="891"/>
      <c r="O147" s="892"/>
      <c r="P147" s="1354">
        <v>5</v>
      </c>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3" t="s">
        <v>3983</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7"/>
      <c r="H151" s="1343" t="s">
        <v>3983</v>
      </c>
    </row>
    <row r="152" spans="1:16" s="449" customFormat="1" ht="12.6" customHeight="1">
      <c r="B152" s="846"/>
      <c r="C152" s="913" t="s">
        <v>2067</v>
      </c>
      <c r="D152" s="913"/>
      <c r="E152" s="827"/>
      <c r="F152" s="827"/>
      <c r="G152" s="827"/>
      <c r="H152" s="1356"/>
    </row>
    <row r="153" spans="1:16" s="449" customFormat="1" ht="12.6" customHeight="1">
      <c r="A153" s="846"/>
      <c r="B153" s="846"/>
      <c r="C153" s="889" t="s">
        <v>1283</v>
      </c>
      <c r="D153" s="889"/>
      <c r="E153" s="452"/>
      <c r="F153" s="827"/>
      <c r="G153" s="827"/>
      <c r="H153" s="1356"/>
      <c r="K153" s="459"/>
      <c r="P153" s="460"/>
    </row>
    <row r="154" spans="1:16" s="449" customFormat="1" ht="12.6" customHeight="1">
      <c r="B154" s="846"/>
      <c r="C154" s="889" t="s">
        <v>2647</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3113</v>
      </c>
      <c r="D157" s="461"/>
      <c r="E157" s="833"/>
      <c r="F157" s="833"/>
      <c r="H157" s="1343" t="s">
        <v>3983</v>
      </c>
      <c r="L157" s="833" t="s">
        <v>3907</v>
      </c>
      <c r="P157" s="1343" t="s">
        <v>3983</v>
      </c>
    </row>
    <row r="158" spans="1:16" s="449" customFormat="1" ht="12.6" customHeight="1">
      <c r="A158" s="846"/>
      <c r="B158" s="846"/>
      <c r="C158" s="833" t="s">
        <v>3115</v>
      </c>
      <c r="H158" s="1343" t="s">
        <v>3983</v>
      </c>
      <c r="L158" s="833" t="s">
        <v>2222</v>
      </c>
      <c r="P158" s="1343" t="s">
        <v>3983</v>
      </c>
    </row>
    <row r="159" spans="1:16" s="449" customFormat="1" ht="12.6" customHeight="1">
      <c r="A159" s="846"/>
      <c r="C159" s="833" t="s">
        <v>1849</v>
      </c>
      <c r="D159" s="495"/>
      <c r="H159" s="1343" t="s">
        <v>3983</v>
      </c>
      <c r="L159" s="833" t="s">
        <v>2387</v>
      </c>
      <c r="P159" s="1343" t="s">
        <v>3983</v>
      </c>
    </row>
    <row r="160" spans="1:16" s="449" customFormat="1" ht="12.6" customHeight="1">
      <c r="A160" s="846"/>
      <c r="B160" s="846"/>
      <c r="C160" s="833" t="s">
        <v>2221</v>
      </c>
      <c r="D160" s="461"/>
      <c r="E160" s="833"/>
      <c r="F160" s="833"/>
      <c r="H160" s="1343" t="s">
        <v>3985</v>
      </c>
      <c r="K160" s="461"/>
      <c r="L160" s="449" t="s">
        <v>3908</v>
      </c>
      <c r="M160" s="833"/>
      <c r="P160" s="1343" t="s">
        <v>3983</v>
      </c>
    </row>
    <row r="161" spans="1:21" s="449" customFormat="1" ht="12.6" customHeight="1">
      <c r="A161" s="846"/>
      <c r="B161" s="452"/>
      <c r="C161" s="833" t="s">
        <v>2139</v>
      </c>
      <c r="D161" s="461"/>
      <c r="H161" s="1343" t="s">
        <v>3983</v>
      </c>
      <c r="L161" s="833" t="s">
        <v>3954</v>
      </c>
      <c r="M161" s="833"/>
      <c r="P161" s="1343" t="s">
        <v>3983</v>
      </c>
    </row>
    <row r="162" spans="1:21" s="449" customFormat="1" ht="12.6" customHeight="1">
      <c r="A162" s="846"/>
      <c r="B162" s="846"/>
      <c r="C162" s="833" t="s">
        <v>2668</v>
      </c>
      <c r="D162" s="461"/>
      <c r="E162" s="833"/>
      <c r="F162" s="833"/>
      <c r="H162" s="1343" t="s">
        <v>3983</v>
      </c>
      <c r="I162" s="494" t="s">
        <v>3701</v>
      </c>
      <c r="O162" s="1357"/>
      <c r="P162" s="1358"/>
    </row>
    <row r="163" spans="1:21" s="449" customFormat="1" ht="12.6" customHeight="1">
      <c r="A163" s="846"/>
      <c r="B163" s="846"/>
      <c r="C163" s="833" t="s">
        <v>3956</v>
      </c>
      <c r="E163" s="1334"/>
      <c r="F163" s="1359"/>
      <c r="G163" s="1335"/>
      <c r="H163" s="1343" t="s">
        <v>3983</v>
      </c>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c r="I166" s="1340"/>
      <c r="N166" s="833"/>
      <c r="O166" s="833"/>
      <c r="P166" s="460"/>
    </row>
    <row r="167" spans="1:21" s="449" customFormat="1" ht="12.6" customHeight="1">
      <c r="A167" s="846"/>
      <c r="B167" s="846"/>
      <c r="C167" s="455" t="s">
        <v>341</v>
      </c>
      <c r="D167" s="829"/>
      <c r="E167" s="829"/>
      <c r="F167" s="839"/>
      <c r="G167" s="839"/>
      <c r="H167" s="1339"/>
      <c r="I167" s="1340"/>
      <c r="N167" s="833"/>
      <c r="O167" s="833"/>
      <c r="P167" s="460"/>
    </row>
    <row r="168" spans="1:21" s="449" customFormat="1" ht="12.6" customHeight="1">
      <c r="A168" s="846"/>
      <c r="B168" s="846"/>
      <c r="C168" s="455" t="s">
        <v>3213</v>
      </c>
      <c r="D168" s="829"/>
      <c r="E168" s="829"/>
      <c r="F168" s="839"/>
      <c r="G168" s="839"/>
      <c r="H168" s="1339">
        <v>41791</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0" t="s">
        <v>4086</v>
      </c>
      <c r="B171" s="1361"/>
      <c r="C171" s="1361"/>
      <c r="D171" s="1361"/>
      <c r="E171" s="1361"/>
      <c r="F171" s="1361"/>
      <c r="G171" s="1361"/>
      <c r="H171" s="1361"/>
      <c r="I171" s="1361"/>
      <c r="J171" s="1362"/>
      <c r="K171" s="1363"/>
      <c r="L171" s="1364"/>
      <c r="M171" s="1364"/>
      <c r="N171" s="1364"/>
      <c r="O171" s="1364"/>
      <c r="P171" s="1365"/>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3605</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2012-035 Goshen Crossing II, Rincon, Effingham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3989</v>
      </c>
      <c r="I5" s="1341"/>
      <c r="J5" s="1341"/>
      <c r="K5" s="1341"/>
      <c r="L5" s="1341"/>
      <c r="M5" s="1341"/>
      <c r="N5" s="1342"/>
      <c r="O5" s="826" t="s">
        <v>2869</v>
      </c>
      <c r="P5" s="826"/>
      <c r="Q5" s="1292" t="s">
        <v>3990</v>
      </c>
      <c r="R5" s="1341"/>
      <c r="S5" s="1342"/>
    </row>
    <row r="6" spans="1:19" s="449" customFormat="1" ht="12.6" customHeight="1">
      <c r="D6" s="498"/>
      <c r="E6" s="455" t="s">
        <v>1527</v>
      </c>
      <c r="F6" s="463"/>
      <c r="H6" s="1292" t="s">
        <v>3978</v>
      </c>
      <c r="I6" s="1341"/>
      <c r="J6" s="1341"/>
      <c r="K6" s="1341"/>
      <c r="L6" s="1341"/>
      <c r="M6" s="1341"/>
      <c r="N6" s="1342"/>
      <c r="O6" s="826" t="s">
        <v>2601</v>
      </c>
      <c r="Q6" s="1292" t="s">
        <v>3980</v>
      </c>
      <c r="R6" s="1341"/>
      <c r="S6" s="1342"/>
    </row>
    <row r="7" spans="1:19" s="449" customFormat="1" ht="12.6" customHeight="1">
      <c r="D7" s="498"/>
      <c r="E7" s="455" t="s">
        <v>876</v>
      </c>
      <c r="H7" s="1292" t="s">
        <v>1743</v>
      </c>
      <c r="I7" s="1341"/>
      <c r="J7" s="1342"/>
      <c r="K7" s="1370" t="s">
        <v>1159</v>
      </c>
      <c r="L7" s="1292"/>
      <c r="M7" s="1341"/>
      <c r="N7" s="1342"/>
      <c r="O7" s="826" t="s">
        <v>2659</v>
      </c>
      <c r="Q7" s="1300">
        <v>4048880168</v>
      </c>
      <c r="R7" s="1305"/>
      <c r="S7" s="1301"/>
    </row>
    <row r="8" spans="1:19" s="449" customFormat="1" ht="12.6" customHeight="1">
      <c r="D8" s="498"/>
      <c r="E8" s="455" t="s">
        <v>2655</v>
      </c>
      <c r="H8" s="1306" t="s">
        <v>1337</v>
      </c>
      <c r="I8" s="839" t="s">
        <v>1843</v>
      </c>
      <c r="J8" s="1303">
        <v>303093470</v>
      </c>
      <c r="K8" s="1342"/>
      <c r="L8" s="397" t="s">
        <v>1846</v>
      </c>
      <c r="N8" s="1343" t="s">
        <v>4037</v>
      </c>
      <c r="O8" s="826" t="s">
        <v>2858</v>
      </c>
      <c r="Q8" s="1300">
        <v>4043866280</v>
      </c>
      <c r="R8" s="1305"/>
      <c r="S8" s="1301"/>
    </row>
    <row r="9" spans="1:19" s="449" customFormat="1" ht="12.6" customHeight="1">
      <c r="D9" s="498"/>
      <c r="E9" s="455" t="s">
        <v>2864</v>
      </c>
      <c r="H9" s="1300">
        <v>4048880168</v>
      </c>
      <c r="I9" s="1301"/>
      <c r="J9" s="1371"/>
      <c r="K9" s="839" t="s">
        <v>2658</v>
      </c>
      <c r="L9" s="1329">
        <v>4048889577</v>
      </c>
      <c r="M9" s="1342"/>
      <c r="N9" s="457" t="s">
        <v>2863</v>
      </c>
      <c r="O9" s="1307" t="s">
        <v>4038</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3005</v>
      </c>
      <c r="E16" s="449" t="s">
        <v>2727</v>
      </c>
      <c r="H16" s="1292" t="s">
        <v>3991</v>
      </c>
      <c r="I16" s="1341"/>
      <c r="J16" s="1341"/>
      <c r="K16" s="1341"/>
      <c r="L16" s="1341"/>
      <c r="M16" s="1341"/>
      <c r="N16" s="1342"/>
      <c r="O16" s="826" t="s">
        <v>2869</v>
      </c>
      <c r="P16" s="826"/>
      <c r="Q16" s="1292" t="s">
        <v>3977</v>
      </c>
      <c r="R16" s="1341"/>
      <c r="S16" s="1342"/>
    </row>
    <row r="17" spans="4:19" s="449" customFormat="1" ht="12.6" customHeight="1">
      <c r="D17" s="498"/>
      <c r="E17" s="455" t="s">
        <v>1527</v>
      </c>
      <c r="F17" s="463"/>
      <c r="H17" s="1292" t="s">
        <v>3978</v>
      </c>
      <c r="I17" s="1341"/>
      <c r="J17" s="1341"/>
      <c r="K17" s="1341"/>
      <c r="L17" s="1341"/>
      <c r="M17" s="1341"/>
      <c r="N17" s="1342"/>
      <c r="O17" s="826" t="s">
        <v>2601</v>
      </c>
      <c r="Q17" s="1292" t="s">
        <v>3980</v>
      </c>
      <c r="R17" s="1341"/>
      <c r="S17" s="1342"/>
    </row>
    <row r="18" spans="4:19" s="449" customFormat="1" ht="12.6" customHeight="1">
      <c r="D18" s="498"/>
      <c r="E18" s="455" t="s">
        <v>876</v>
      </c>
      <c r="H18" s="1292" t="s">
        <v>1743</v>
      </c>
      <c r="I18" s="1341"/>
      <c r="J18" s="1342"/>
      <c r="O18" s="826" t="s">
        <v>2659</v>
      </c>
      <c r="Q18" s="1300">
        <v>4048880168</v>
      </c>
      <c r="R18" s="1305"/>
      <c r="S18" s="1301"/>
    </row>
    <row r="19" spans="4:19" s="449" customFormat="1" ht="12.6" customHeight="1">
      <c r="D19" s="452"/>
      <c r="E19" s="455" t="s">
        <v>2655</v>
      </c>
      <c r="H19" s="1306" t="s">
        <v>1337</v>
      </c>
      <c r="I19" s="839" t="s">
        <v>1843</v>
      </c>
      <c r="J19" s="1303">
        <v>303093470</v>
      </c>
      <c r="K19" s="1342"/>
      <c r="L19" s="397" t="s">
        <v>1846</v>
      </c>
      <c r="N19" s="1343" t="s">
        <v>4037</v>
      </c>
      <c r="O19" s="826" t="s">
        <v>2858</v>
      </c>
      <c r="Q19" s="1300">
        <v>4043866280</v>
      </c>
      <c r="R19" s="1305"/>
      <c r="S19" s="1301"/>
    </row>
    <row r="20" spans="4:19" s="449" customFormat="1" ht="12.6" customHeight="1">
      <c r="D20" s="498"/>
      <c r="E20" s="455" t="s">
        <v>2864</v>
      </c>
      <c r="H20" s="1300">
        <v>4048880168</v>
      </c>
      <c r="I20" s="1301"/>
      <c r="J20" s="1371"/>
      <c r="K20" s="839" t="s">
        <v>2658</v>
      </c>
      <c r="L20" s="1329">
        <v>4048889577</v>
      </c>
      <c r="M20" s="1342"/>
      <c r="N20" s="457" t="s">
        <v>2863</v>
      </c>
      <c r="O20" s="1307" t="s">
        <v>4038</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3006</v>
      </c>
      <c r="E22" s="449" t="s">
        <v>2728</v>
      </c>
      <c r="F22" s="833"/>
      <c r="H22" s="1292" t="s">
        <v>4069</v>
      </c>
      <c r="I22" s="1341"/>
      <c r="J22" s="1341"/>
      <c r="K22" s="1341"/>
      <c r="L22" s="1341"/>
      <c r="M22" s="1341"/>
      <c r="N22" s="1342"/>
      <c r="O22" s="826" t="s">
        <v>2869</v>
      </c>
      <c r="P22" s="826"/>
      <c r="Q22" s="1292" t="s">
        <v>4071</v>
      </c>
      <c r="R22" s="1341"/>
      <c r="S22" s="1342"/>
    </row>
    <row r="23" spans="4:19" s="449" customFormat="1" ht="12.6" customHeight="1">
      <c r="D23" s="498"/>
      <c r="E23" s="455" t="s">
        <v>1527</v>
      </c>
      <c r="F23" s="463"/>
      <c r="H23" s="1292" t="s">
        <v>4070</v>
      </c>
      <c r="I23" s="1341"/>
      <c r="J23" s="1341"/>
      <c r="K23" s="1341"/>
      <c r="L23" s="1341"/>
      <c r="M23" s="1341"/>
      <c r="N23" s="1342"/>
      <c r="O23" s="826" t="s">
        <v>2601</v>
      </c>
      <c r="Q23" s="1292" t="s">
        <v>4072</v>
      </c>
      <c r="R23" s="1341"/>
      <c r="S23" s="1342"/>
    </row>
    <row r="24" spans="4:19" s="449" customFormat="1" ht="12.6" customHeight="1">
      <c r="D24" s="498"/>
      <c r="E24" s="455" t="s">
        <v>876</v>
      </c>
      <c r="H24" s="1292" t="s">
        <v>1743</v>
      </c>
      <c r="I24" s="1341"/>
      <c r="J24" s="1342"/>
      <c r="O24" s="826" t="s">
        <v>2659</v>
      </c>
      <c r="Q24" s="1300">
        <v>4042731892</v>
      </c>
      <c r="R24" s="1305"/>
      <c r="S24" s="1301"/>
    </row>
    <row r="25" spans="4:19" s="449" customFormat="1" ht="12.6" customHeight="1">
      <c r="E25" s="455" t="s">
        <v>2655</v>
      </c>
      <c r="H25" s="1306" t="s">
        <v>1337</v>
      </c>
      <c r="I25" s="483" t="s">
        <v>3138</v>
      </c>
      <c r="J25" s="1303">
        <v>303052153</v>
      </c>
      <c r="K25" s="1342"/>
      <c r="O25" s="826" t="s">
        <v>2858</v>
      </c>
      <c r="Q25" s="1300">
        <v>4042731892</v>
      </c>
      <c r="R25" s="1305"/>
      <c r="S25" s="1301"/>
    </row>
    <row r="26" spans="4:19" s="449" customFormat="1" ht="12.6" customHeight="1">
      <c r="D26" s="498"/>
      <c r="E26" s="455" t="s">
        <v>2864</v>
      </c>
      <c r="H26" s="1300">
        <v>4042504093</v>
      </c>
      <c r="I26" s="1301"/>
      <c r="J26" s="1371"/>
      <c r="K26" s="839" t="s">
        <v>2658</v>
      </c>
      <c r="L26" s="1329">
        <v>4047450530</v>
      </c>
      <c r="M26" s="1342"/>
      <c r="N26" s="457" t="s">
        <v>2863</v>
      </c>
      <c r="O26" s="1307" t="s">
        <v>4073</v>
      </c>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2587</v>
      </c>
      <c r="E28" s="449" t="s">
        <v>2728</v>
      </c>
      <c r="F28" s="833"/>
      <c r="H28" s="1292"/>
      <c r="I28" s="1341"/>
      <c r="J28" s="1341"/>
      <c r="K28" s="1341"/>
      <c r="L28" s="1341"/>
      <c r="M28" s="1341"/>
      <c r="N28" s="1342"/>
      <c r="O28" s="826" t="s">
        <v>2869</v>
      </c>
      <c r="P28" s="826"/>
      <c r="Q28" s="1292"/>
      <c r="R28" s="1341"/>
      <c r="S28" s="1342"/>
    </row>
    <row r="29" spans="4:19" s="449" customFormat="1" ht="12.6" customHeight="1">
      <c r="D29" s="498"/>
      <c r="E29" s="455" t="s">
        <v>1527</v>
      </c>
      <c r="F29" s="463"/>
      <c r="H29" s="1292"/>
      <c r="I29" s="1341"/>
      <c r="J29" s="1341"/>
      <c r="K29" s="1341"/>
      <c r="L29" s="1341"/>
      <c r="M29" s="1341"/>
      <c r="N29" s="1342"/>
      <c r="O29" s="826" t="s">
        <v>2601</v>
      </c>
      <c r="Q29" s="1292"/>
      <c r="R29" s="1341"/>
      <c r="S29" s="1342"/>
    </row>
    <row r="30" spans="4:19" s="449" customFormat="1" ht="12.6" customHeight="1">
      <c r="D30" s="498"/>
      <c r="E30" s="455" t="s">
        <v>876</v>
      </c>
      <c r="H30" s="1292"/>
      <c r="I30" s="1341"/>
      <c r="J30" s="1342"/>
      <c r="O30" s="826" t="s">
        <v>2659</v>
      </c>
      <c r="Q30" s="1300"/>
      <c r="R30" s="1305"/>
      <c r="S30" s="1301"/>
    </row>
    <row r="31" spans="4:19" s="449" customFormat="1" ht="12.6" customHeight="1">
      <c r="E31" s="455" t="s">
        <v>2655</v>
      </c>
      <c r="H31" s="1306"/>
      <c r="I31" s="483" t="s">
        <v>3138</v>
      </c>
      <c r="J31" s="1303"/>
      <c r="K31" s="1342"/>
      <c r="O31" s="826" t="s">
        <v>2858</v>
      </c>
      <c r="Q31" s="1300"/>
      <c r="R31" s="1305"/>
      <c r="S31" s="1301"/>
    </row>
    <row r="32" spans="4:19" s="449" customFormat="1" ht="12.6" customHeight="1">
      <c r="D32" s="498"/>
      <c r="E32" s="455" t="s">
        <v>2864</v>
      </c>
      <c r="H32" s="1300"/>
      <c r="I32" s="1301"/>
      <c r="J32" s="1371"/>
      <c r="K32" s="839"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3005</v>
      </c>
      <c r="E36" s="449" t="s">
        <v>1146</v>
      </c>
      <c r="H36" s="1292" t="s">
        <v>3992</v>
      </c>
      <c r="I36" s="1341"/>
      <c r="J36" s="1341"/>
      <c r="K36" s="1341"/>
      <c r="L36" s="1341"/>
      <c r="M36" s="1341"/>
      <c r="N36" s="1342"/>
      <c r="O36" s="826" t="s">
        <v>2869</v>
      </c>
      <c r="P36" s="826"/>
      <c r="Q36" s="1292" t="s">
        <v>3994</v>
      </c>
      <c r="R36" s="1341"/>
      <c r="S36" s="1342"/>
    </row>
    <row r="37" spans="3:19" s="449" customFormat="1" ht="12.6" customHeight="1">
      <c r="D37" s="498"/>
      <c r="E37" s="455" t="s">
        <v>1527</v>
      </c>
      <c r="F37" s="463"/>
      <c r="H37" s="1292" t="s">
        <v>3993</v>
      </c>
      <c r="I37" s="1341"/>
      <c r="J37" s="1341"/>
      <c r="K37" s="1341"/>
      <c r="L37" s="1341"/>
      <c r="M37" s="1341"/>
      <c r="N37" s="1342"/>
      <c r="O37" s="826" t="s">
        <v>2601</v>
      </c>
      <c r="Q37" s="1292" t="s">
        <v>3995</v>
      </c>
      <c r="R37" s="1341"/>
      <c r="S37" s="1342"/>
    </row>
    <row r="38" spans="3:19" s="449" customFormat="1" ht="12.6" customHeight="1">
      <c r="D38" s="498"/>
      <c r="E38" s="455" t="s">
        <v>876</v>
      </c>
      <c r="H38" s="1292" t="s">
        <v>3543</v>
      </c>
      <c r="I38" s="1341"/>
      <c r="J38" s="1342"/>
      <c r="O38" s="826" t="s">
        <v>2659</v>
      </c>
      <c r="Q38" s="1300">
        <v>5734432021</v>
      </c>
      <c r="R38" s="1305"/>
      <c r="S38" s="1301"/>
    </row>
    <row r="39" spans="3:19" s="449" customFormat="1" ht="12.6" customHeight="1">
      <c r="E39" s="455" t="s">
        <v>2655</v>
      </c>
      <c r="H39" s="1306" t="s">
        <v>1909</v>
      </c>
      <c r="I39" s="483" t="s">
        <v>3138</v>
      </c>
      <c r="J39" s="1303">
        <v>65203000</v>
      </c>
      <c r="K39" s="1342"/>
      <c r="O39" s="826" t="s">
        <v>2858</v>
      </c>
      <c r="Q39" s="1300">
        <v>5734248811</v>
      </c>
      <c r="R39" s="1305"/>
      <c r="S39" s="1301"/>
    </row>
    <row r="40" spans="3:19" s="449" customFormat="1" ht="12.6" customHeight="1">
      <c r="D40" s="498"/>
      <c r="E40" s="455" t="s">
        <v>2864</v>
      </c>
      <c r="H40" s="1300">
        <v>5734432021</v>
      </c>
      <c r="I40" s="1301"/>
      <c r="J40" s="1371"/>
      <c r="K40" s="839" t="s">
        <v>2658</v>
      </c>
      <c r="L40" s="1329"/>
      <c r="M40" s="1342"/>
      <c r="N40" s="457" t="s">
        <v>2863</v>
      </c>
      <c r="O40" s="1307" t="s">
        <v>3996</v>
      </c>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3006</v>
      </c>
      <c r="E42" s="449" t="s">
        <v>1147</v>
      </c>
      <c r="F42" s="452"/>
      <c r="H42" s="1292" t="s">
        <v>3992</v>
      </c>
      <c r="I42" s="1341"/>
      <c r="J42" s="1341"/>
      <c r="K42" s="1341"/>
      <c r="L42" s="1341"/>
      <c r="M42" s="1341"/>
      <c r="N42" s="1342"/>
      <c r="O42" s="826" t="s">
        <v>2869</v>
      </c>
      <c r="P42" s="826"/>
      <c r="Q42" s="1292" t="s">
        <v>3994</v>
      </c>
      <c r="R42" s="1341"/>
      <c r="S42" s="1342"/>
    </row>
    <row r="43" spans="3:19" s="449" customFormat="1" ht="12.6" customHeight="1">
      <c r="D43" s="498"/>
      <c r="E43" s="455" t="s">
        <v>1527</v>
      </c>
      <c r="F43" s="463"/>
      <c r="H43" s="1292" t="s">
        <v>3993</v>
      </c>
      <c r="I43" s="1341"/>
      <c r="J43" s="1341"/>
      <c r="K43" s="1341"/>
      <c r="L43" s="1341"/>
      <c r="M43" s="1341"/>
      <c r="N43" s="1342"/>
      <c r="O43" s="826" t="s">
        <v>2601</v>
      </c>
      <c r="Q43" s="1292" t="s">
        <v>3995</v>
      </c>
      <c r="R43" s="1341"/>
      <c r="S43" s="1342"/>
    </row>
    <row r="44" spans="3:19" s="449" customFormat="1" ht="12.6" customHeight="1">
      <c r="D44" s="498"/>
      <c r="E44" s="455" t="s">
        <v>876</v>
      </c>
      <c r="H44" s="1292" t="s">
        <v>3543</v>
      </c>
      <c r="I44" s="1341"/>
      <c r="J44" s="1342"/>
      <c r="O44" s="826" t="s">
        <v>2659</v>
      </c>
      <c r="Q44" s="1300">
        <v>5734432021</v>
      </c>
      <c r="R44" s="1305"/>
      <c r="S44" s="1301"/>
    </row>
    <row r="45" spans="3:19" s="449" customFormat="1" ht="12.6" customHeight="1">
      <c r="D45" s="452"/>
      <c r="E45" s="455" t="s">
        <v>2655</v>
      </c>
      <c r="H45" s="1306" t="s">
        <v>1909</v>
      </c>
      <c r="I45" s="483" t="s">
        <v>3138</v>
      </c>
      <c r="J45" s="1303">
        <v>65203000</v>
      </c>
      <c r="K45" s="1342"/>
      <c r="O45" s="826" t="s">
        <v>2858</v>
      </c>
      <c r="Q45" s="1300">
        <v>5734248811</v>
      </c>
      <c r="R45" s="1305"/>
      <c r="S45" s="1301"/>
    </row>
    <row r="46" spans="3:19" s="449" customFormat="1" ht="12.6" customHeight="1">
      <c r="D46" s="498"/>
      <c r="E46" s="455" t="s">
        <v>2864</v>
      </c>
      <c r="H46" s="1300">
        <v>5734432021</v>
      </c>
      <c r="I46" s="1301"/>
      <c r="J46" s="1371"/>
      <c r="K46" s="839" t="s">
        <v>2658</v>
      </c>
      <c r="L46" s="1329"/>
      <c r="M46" s="1342"/>
      <c r="N46" s="457" t="s">
        <v>2863</v>
      </c>
      <c r="O46" s="1307" t="s">
        <v>3996</v>
      </c>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t="s">
        <v>4018</v>
      </c>
      <c r="I50" s="1341"/>
      <c r="J50" s="1341"/>
      <c r="K50" s="1341"/>
      <c r="L50" s="1341"/>
      <c r="M50" s="1341"/>
      <c r="N50" s="1342"/>
      <c r="O50" s="826" t="s">
        <v>2869</v>
      </c>
      <c r="P50" s="826"/>
      <c r="Q50" s="1292" t="s">
        <v>3977</v>
      </c>
      <c r="R50" s="1341"/>
      <c r="S50" s="1342"/>
    </row>
    <row r="51" spans="1:19" s="449" customFormat="1" ht="12.6" customHeight="1">
      <c r="D51" s="498"/>
      <c r="E51" s="455" t="s">
        <v>1527</v>
      </c>
      <c r="F51" s="463"/>
      <c r="H51" s="1292" t="s">
        <v>3978</v>
      </c>
      <c r="I51" s="1341"/>
      <c r="J51" s="1341"/>
      <c r="K51" s="1341"/>
      <c r="L51" s="1341"/>
      <c r="M51" s="1341"/>
      <c r="N51" s="1342"/>
      <c r="O51" s="826" t="s">
        <v>2601</v>
      </c>
      <c r="Q51" s="1292" t="s">
        <v>3980</v>
      </c>
      <c r="R51" s="1341"/>
      <c r="S51" s="1342"/>
    </row>
    <row r="52" spans="1:19" s="449" customFormat="1" ht="12.6" customHeight="1">
      <c r="D52" s="498"/>
      <c r="E52" s="455" t="s">
        <v>876</v>
      </c>
      <c r="H52" s="1292" t="s">
        <v>1743</v>
      </c>
      <c r="I52" s="1341"/>
      <c r="J52" s="1342"/>
      <c r="O52" s="826" t="s">
        <v>2659</v>
      </c>
      <c r="Q52" s="1300">
        <v>4048880168</v>
      </c>
      <c r="R52" s="1305"/>
      <c r="S52" s="1301"/>
    </row>
    <row r="53" spans="1:19" s="449" customFormat="1" ht="12.6" customHeight="1">
      <c r="E53" s="455" t="s">
        <v>2655</v>
      </c>
      <c r="H53" s="1306" t="s">
        <v>1337</v>
      </c>
      <c r="I53" s="483" t="s">
        <v>3138</v>
      </c>
      <c r="J53" s="1303">
        <v>303093470</v>
      </c>
      <c r="K53" s="1342"/>
      <c r="O53" s="826" t="s">
        <v>2858</v>
      </c>
      <c r="Q53" s="1300">
        <v>4043866280</v>
      </c>
      <c r="R53" s="1305"/>
      <c r="S53" s="1301"/>
    </row>
    <row r="54" spans="1:19" s="449" customFormat="1" ht="12.6" customHeight="1">
      <c r="D54" s="498"/>
      <c r="E54" s="455" t="s">
        <v>2864</v>
      </c>
      <c r="H54" s="1300">
        <v>4048880168</v>
      </c>
      <c r="I54" s="1301"/>
      <c r="J54" s="1371"/>
      <c r="K54" s="839" t="s">
        <v>2658</v>
      </c>
      <c r="L54" s="1329">
        <v>4048889577</v>
      </c>
      <c r="M54" s="1342"/>
      <c r="N54" s="457" t="s">
        <v>2863</v>
      </c>
      <c r="O54" s="1307" t="s">
        <v>4038</v>
      </c>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2862</v>
      </c>
      <c r="C58" s="452" t="s">
        <v>349</v>
      </c>
      <c r="H58" s="1292" t="s">
        <v>3988</v>
      </c>
      <c r="I58" s="1341"/>
      <c r="J58" s="1341"/>
      <c r="K58" s="1341"/>
      <c r="L58" s="1341"/>
      <c r="M58" s="1341"/>
      <c r="N58" s="1342"/>
      <c r="O58" s="826" t="s">
        <v>2869</v>
      </c>
      <c r="P58" s="826"/>
      <c r="Q58" s="1292" t="s">
        <v>3977</v>
      </c>
      <c r="R58" s="1341"/>
      <c r="S58" s="1342"/>
    </row>
    <row r="59" spans="1:19" s="449" customFormat="1" ht="13.15" customHeight="1">
      <c r="D59" s="498"/>
      <c r="E59" s="455" t="s">
        <v>1527</v>
      </c>
      <c r="F59" s="463"/>
      <c r="H59" s="1292" t="s">
        <v>3978</v>
      </c>
      <c r="I59" s="1341"/>
      <c r="J59" s="1341"/>
      <c r="K59" s="1341"/>
      <c r="L59" s="1341"/>
      <c r="M59" s="1341"/>
      <c r="N59" s="1342"/>
      <c r="O59" s="826" t="s">
        <v>2601</v>
      </c>
      <c r="Q59" s="1292" t="s">
        <v>3980</v>
      </c>
      <c r="R59" s="1341"/>
      <c r="S59" s="1342"/>
    </row>
    <row r="60" spans="1:19" s="449" customFormat="1" ht="13.15" customHeight="1">
      <c r="D60" s="498"/>
      <c r="E60" s="455" t="s">
        <v>876</v>
      </c>
      <c r="H60" s="1292" t="s">
        <v>1743</v>
      </c>
      <c r="I60" s="1341"/>
      <c r="J60" s="1342"/>
      <c r="O60" s="826" t="s">
        <v>2659</v>
      </c>
      <c r="Q60" s="1300">
        <v>4048880168</v>
      </c>
      <c r="R60" s="1305"/>
      <c r="S60" s="1301"/>
    </row>
    <row r="61" spans="1:19" s="449" customFormat="1" ht="13.15" customHeight="1">
      <c r="E61" s="455" t="s">
        <v>2655</v>
      </c>
      <c r="H61" s="1306" t="s">
        <v>1337</v>
      </c>
      <c r="I61" s="483" t="s">
        <v>3138</v>
      </c>
      <c r="J61" s="1303">
        <v>303093470</v>
      </c>
      <c r="K61" s="1342"/>
      <c r="O61" s="826" t="s">
        <v>2858</v>
      </c>
      <c r="Q61" s="1300">
        <v>4043866280</v>
      </c>
      <c r="R61" s="1305"/>
      <c r="S61" s="1301"/>
    </row>
    <row r="62" spans="1:19" s="449" customFormat="1" ht="13.15" customHeight="1">
      <c r="D62" s="498"/>
      <c r="E62" s="455" t="s">
        <v>2864</v>
      </c>
      <c r="H62" s="1300">
        <v>4048880168</v>
      </c>
      <c r="I62" s="1301"/>
      <c r="J62" s="1371"/>
      <c r="K62" s="839" t="s">
        <v>2658</v>
      </c>
      <c r="L62" s="1329">
        <v>4048889577</v>
      </c>
      <c r="M62" s="1342"/>
      <c r="N62" s="457" t="s">
        <v>2863</v>
      </c>
      <c r="O62" s="1307" t="s">
        <v>4038</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2865</v>
      </c>
      <c r="C64" s="452" t="s">
        <v>350</v>
      </c>
      <c r="H64" s="1292" t="s">
        <v>4074</v>
      </c>
      <c r="I64" s="1341"/>
      <c r="J64" s="1341"/>
      <c r="K64" s="1341"/>
      <c r="L64" s="1341"/>
      <c r="M64" s="1341"/>
      <c r="N64" s="1342"/>
      <c r="O64" s="826" t="s">
        <v>2869</v>
      </c>
      <c r="P64" s="826"/>
      <c r="Q64" s="1292" t="s">
        <v>4071</v>
      </c>
      <c r="R64" s="1341"/>
      <c r="S64" s="1342"/>
    </row>
    <row r="65" spans="2:19" s="449" customFormat="1" ht="13.15" customHeight="1">
      <c r="D65" s="498"/>
      <c r="E65" s="455" t="s">
        <v>1527</v>
      </c>
      <c r="F65" s="463"/>
      <c r="H65" s="1292" t="s">
        <v>4070</v>
      </c>
      <c r="I65" s="1341"/>
      <c r="J65" s="1341"/>
      <c r="K65" s="1341"/>
      <c r="L65" s="1341"/>
      <c r="M65" s="1341"/>
      <c r="N65" s="1342"/>
      <c r="O65" s="826" t="s">
        <v>2601</v>
      </c>
      <c r="Q65" s="1292" t="s">
        <v>4072</v>
      </c>
      <c r="R65" s="1341"/>
      <c r="S65" s="1342"/>
    </row>
    <row r="66" spans="2:19" s="449" customFormat="1" ht="13.15" customHeight="1">
      <c r="D66" s="498"/>
      <c r="E66" s="455" t="s">
        <v>876</v>
      </c>
      <c r="H66" s="1292" t="s">
        <v>1743</v>
      </c>
      <c r="I66" s="1341"/>
      <c r="J66" s="1342"/>
      <c r="O66" s="826" t="s">
        <v>2659</v>
      </c>
      <c r="Q66" s="1300">
        <v>4042731892</v>
      </c>
      <c r="R66" s="1305"/>
      <c r="S66" s="1301"/>
    </row>
    <row r="67" spans="2:19" s="449" customFormat="1" ht="13.15" customHeight="1">
      <c r="E67" s="455" t="s">
        <v>2655</v>
      </c>
      <c r="H67" s="1306" t="s">
        <v>1337</v>
      </c>
      <c r="I67" s="483" t="s">
        <v>3138</v>
      </c>
      <c r="J67" s="1303">
        <v>303052153</v>
      </c>
      <c r="K67" s="1342"/>
      <c r="O67" s="826" t="s">
        <v>2858</v>
      </c>
      <c r="Q67" s="1300">
        <v>4042731892</v>
      </c>
      <c r="R67" s="1305"/>
      <c r="S67" s="1301"/>
    </row>
    <row r="68" spans="2:19" s="449" customFormat="1" ht="13.15" customHeight="1">
      <c r="D68" s="498"/>
      <c r="E68" s="455" t="s">
        <v>2864</v>
      </c>
      <c r="H68" s="1300">
        <v>4042504093</v>
      </c>
      <c r="I68" s="1301"/>
      <c r="J68" s="1371"/>
      <c r="K68" s="839" t="s">
        <v>2658</v>
      </c>
      <c r="L68" s="1329">
        <v>4047450530</v>
      </c>
      <c r="M68" s="1342"/>
      <c r="N68" s="457" t="s">
        <v>2863</v>
      </c>
      <c r="O68" s="1307" t="s">
        <v>4073</v>
      </c>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1145</v>
      </c>
      <c r="C70" s="452" t="s">
        <v>2129</v>
      </c>
      <c r="H70" s="1292"/>
      <c r="I70" s="1341"/>
      <c r="J70" s="1341"/>
      <c r="K70" s="1341"/>
      <c r="L70" s="1341"/>
      <c r="M70" s="1341"/>
      <c r="N70" s="1342"/>
      <c r="O70" s="826" t="s">
        <v>2869</v>
      </c>
      <c r="P70" s="826"/>
      <c r="Q70" s="1292"/>
      <c r="R70" s="1341"/>
      <c r="S70" s="1342"/>
    </row>
    <row r="71" spans="2:19" s="449" customFormat="1" ht="13.15" customHeight="1">
      <c r="D71" s="498"/>
      <c r="E71" s="455" t="s">
        <v>1527</v>
      </c>
      <c r="F71" s="463"/>
      <c r="H71" s="1292"/>
      <c r="I71" s="1341"/>
      <c r="J71" s="1341"/>
      <c r="K71" s="1341"/>
      <c r="L71" s="1341"/>
      <c r="M71" s="1341"/>
      <c r="N71" s="1342"/>
      <c r="O71" s="826" t="s">
        <v>2601</v>
      </c>
      <c r="Q71" s="1292"/>
      <c r="R71" s="1341"/>
      <c r="S71" s="1342"/>
    </row>
    <row r="72" spans="2:19" s="449" customFormat="1" ht="13.15" customHeight="1">
      <c r="D72" s="498"/>
      <c r="E72" s="455" t="s">
        <v>876</v>
      </c>
      <c r="H72" s="1292"/>
      <c r="I72" s="1341"/>
      <c r="J72" s="1342"/>
      <c r="O72" s="826" t="s">
        <v>2659</v>
      </c>
      <c r="Q72" s="1300"/>
      <c r="R72" s="1305"/>
      <c r="S72" s="1301"/>
    </row>
    <row r="73" spans="2:19" s="449" customFormat="1" ht="13.15" customHeight="1">
      <c r="E73" s="455" t="s">
        <v>2655</v>
      </c>
      <c r="H73" s="1306"/>
      <c r="I73" s="483" t="s">
        <v>3138</v>
      </c>
      <c r="J73" s="1303"/>
      <c r="K73" s="1342"/>
      <c r="O73" s="826" t="s">
        <v>2858</v>
      </c>
      <c r="Q73" s="1300"/>
      <c r="R73" s="1305"/>
      <c r="S73" s="1301"/>
    </row>
    <row r="74" spans="2:19" s="449" customFormat="1" ht="13.15" customHeight="1">
      <c r="D74" s="498"/>
      <c r="E74" s="455" t="s">
        <v>2864</v>
      </c>
      <c r="H74" s="1300"/>
      <c r="I74" s="1301"/>
      <c r="J74" s="1371"/>
      <c r="K74" s="839" t="s">
        <v>2658</v>
      </c>
      <c r="L74" s="1329"/>
      <c r="M74" s="1342"/>
      <c r="N74" s="457" t="s">
        <v>2863</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3004</v>
      </c>
      <c r="C76" s="452" t="s">
        <v>351</v>
      </c>
      <c r="H76" s="1292"/>
      <c r="I76" s="1341"/>
      <c r="J76" s="1341"/>
      <c r="K76" s="1341"/>
      <c r="L76" s="1341"/>
      <c r="M76" s="1341"/>
      <c r="N76" s="1342"/>
      <c r="O76" s="826" t="s">
        <v>2869</v>
      </c>
      <c r="P76" s="826"/>
      <c r="Q76" s="1292"/>
      <c r="R76" s="1341"/>
      <c r="S76" s="1342"/>
    </row>
    <row r="77" spans="2:19" s="449" customFormat="1" ht="13.15" customHeight="1">
      <c r="D77" s="498"/>
      <c r="E77" s="455" t="s">
        <v>1527</v>
      </c>
      <c r="F77" s="463"/>
      <c r="H77" s="1292"/>
      <c r="I77" s="1341"/>
      <c r="J77" s="1341"/>
      <c r="K77" s="1341"/>
      <c r="L77" s="1341"/>
      <c r="M77" s="1341"/>
      <c r="N77" s="1342"/>
      <c r="O77" s="826" t="s">
        <v>2601</v>
      </c>
      <c r="Q77" s="1292"/>
      <c r="R77" s="1341"/>
      <c r="S77" s="1342"/>
    </row>
    <row r="78" spans="2:19" s="449" customFormat="1" ht="13.15" customHeight="1">
      <c r="D78" s="498"/>
      <c r="E78" s="455" t="s">
        <v>876</v>
      </c>
      <c r="H78" s="1292"/>
      <c r="I78" s="1341"/>
      <c r="J78" s="1342"/>
      <c r="O78" s="826" t="s">
        <v>2659</v>
      </c>
      <c r="Q78" s="1300"/>
      <c r="R78" s="1305"/>
      <c r="S78" s="1301"/>
    </row>
    <row r="79" spans="2:19" s="449" customFormat="1" ht="13.15" customHeight="1">
      <c r="E79" s="455" t="s">
        <v>2655</v>
      </c>
      <c r="H79" s="1306"/>
      <c r="I79" s="483" t="s">
        <v>3138</v>
      </c>
      <c r="J79" s="1303"/>
      <c r="K79" s="1342"/>
      <c r="O79" s="826" t="s">
        <v>2858</v>
      </c>
      <c r="Q79" s="1300"/>
      <c r="R79" s="1305"/>
      <c r="S79" s="1301"/>
    </row>
    <row r="80" spans="2:19" s="449" customFormat="1" ht="13.15" customHeight="1">
      <c r="D80" s="498"/>
      <c r="E80" s="455" t="s">
        <v>2864</v>
      </c>
      <c r="H80" s="1300"/>
      <c r="I80" s="1301"/>
      <c r="J80" s="1371"/>
      <c r="K80" s="839"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2862</v>
      </c>
      <c r="C84" s="452" t="s">
        <v>353</v>
      </c>
      <c r="H84" s="1292"/>
      <c r="I84" s="1341"/>
      <c r="J84" s="1341"/>
      <c r="K84" s="1341"/>
      <c r="L84" s="1341"/>
      <c r="M84" s="1341"/>
      <c r="N84" s="1342"/>
      <c r="O84" s="826" t="s">
        <v>2869</v>
      </c>
      <c r="P84" s="826"/>
      <c r="Q84" s="1292"/>
      <c r="R84" s="1341"/>
      <c r="S84" s="1342"/>
    </row>
    <row r="85" spans="1:19" s="449" customFormat="1" ht="13.15" customHeight="1">
      <c r="D85" s="498"/>
      <c r="E85" s="455" t="s">
        <v>1527</v>
      </c>
      <c r="F85" s="463"/>
      <c r="H85" s="1292"/>
      <c r="I85" s="1341"/>
      <c r="J85" s="1341"/>
      <c r="K85" s="1341"/>
      <c r="L85" s="1341"/>
      <c r="M85" s="1341"/>
      <c r="N85" s="1342"/>
      <c r="O85" s="826" t="s">
        <v>2601</v>
      </c>
      <c r="Q85" s="1292"/>
      <c r="R85" s="1341"/>
      <c r="S85" s="1342"/>
    </row>
    <row r="86" spans="1:19" s="449" customFormat="1" ht="13.15" customHeight="1">
      <c r="D86" s="498"/>
      <c r="E86" s="455" t="s">
        <v>876</v>
      </c>
      <c r="H86" s="1292"/>
      <c r="I86" s="1341"/>
      <c r="J86" s="1342"/>
      <c r="O86" s="826" t="s">
        <v>2659</v>
      </c>
      <c r="Q86" s="1300"/>
      <c r="R86" s="1305"/>
      <c r="S86" s="1301"/>
    </row>
    <row r="87" spans="1:19" s="449" customFormat="1" ht="13.15" customHeight="1">
      <c r="E87" s="455" t="s">
        <v>2655</v>
      </c>
      <c r="H87" s="1306"/>
      <c r="I87" s="483" t="s">
        <v>3138</v>
      </c>
      <c r="J87" s="1303"/>
      <c r="K87" s="1342"/>
      <c r="O87" s="826" t="s">
        <v>2858</v>
      </c>
      <c r="Q87" s="1300"/>
      <c r="R87" s="1305"/>
      <c r="S87" s="1301"/>
    </row>
    <row r="88" spans="1:19" s="449" customFormat="1" ht="13.15" customHeight="1">
      <c r="D88" s="498"/>
      <c r="E88" s="455" t="s">
        <v>2864</v>
      </c>
      <c r="H88" s="1300"/>
      <c r="I88" s="1301"/>
      <c r="J88" s="1371"/>
      <c r="K88" s="839" t="s">
        <v>2658</v>
      </c>
      <c r="L88" s="1329"/>
      <c r="M88" s="1342"/>
      <c r="N88" s="457" t="s">
        <v>2863</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2865</v>
      </c>
      <c r="C90" s="452" t="s">
        <v>354</v>
      </c>
      <c r="H90" s="1292" t="s">
        <v>3997</v>
      </c>
      <c r="I90" s="1341"/>
      <c r="J90" s="1341"/>
      <c r="K90" s="1341"/>
      <c r="L90" s="1341"/>
      <c r="M90" s="1341"/>
      <c r="N90" s="1342"/>
      <c r="O90" s="826" t="s">
        <v>2869</v>
      </c>
      <c r="P90" s="826"/>
      <c r="Q90" s="1292" t="s">
        <v>4077</v>
      </c>
      <c r="R90" s="1341"/>
      <c r="S90" s="1342"/>
    </row>
    <row r="91" spans="1:19" s="449" customFormat="1" ht="13.15" customHeight="1">
      <c r="D91" s="498"/>
      <c r="E91" s="455" t="s">
        <v>1527</v>
      </c>
      <c r="F91" s="463"/>
      <c r="H91" s="1292" t="s">
        <v>4076</v>
      </c>
      <c r="I91" s="1341"/>
      <c r="J91" s="1341"/>
      <c r="K91" s="1341"/>
      <c r="L91" s="1341"/>
      <c r="M91" s="1341"/>
      <c r="N91" s="1342"/>
      <c r="O91" s="826" t="s">
        <v>2601</v>
      </c>
      <c r="Q91" s="1292" t="s">
        <v>3980</v>
      </c>
      <c r="R91" s="1341"/>
      <c r="S91" s="1342"/>
    </row>
    <row r="92" spans="1:19" s="449" customFormat="1" ht="13.15" customHeight="1">
      <c r="D92" s="498"/>
      <c r="E92" s="455" t="s">
        <v>876</v>
      </c>
      <c r="H92" s="1292" t="s">
        <v>2543</v>
      </c>
      <c r="I92" s="1341"/>
      <c r="J92" s="1342"/>
      <c r="O92" s="826" t="s">
        <v>2659</v>
      </c>
      <c r="Q92" s="1300">
        <v>2295619997</v>
      </c>
      <c r="R92" s="1305"/>
      <c r="S92" s="1301"/>
    </row>
    <row r="93" spans="1:19" s="449" customFormat="1" ht="13.15" customHeight="1">
      <c r="E93" s="455" t="s">
        <v>2655</v>
      </c>
      <c r="H93" s="1306" t="s">
        <v>1337</v>
      </c>
      <c r="I93" s="483" t="s">
        <v>3138</v>
      </c>
      <c r="J93" s="1303">
        <v>316022135</v>
      </c>
      <c r="K93" s="1342"/>
      <c r="O93" s="826" t="s">
        <v>2858</v>
      </c>
      <c r="Q93" s="1300">
        <v>2295619997</v>
      </c>
      <c r="R93" s="1305"/>
      <c r="S93" s="1301"/>
    </row>
    <row r="94" spans="1:19" s="449" customFormat="1" ht="13.15" customHeight="1">
      <c r="D94" s="498"/>
      <c r="E94" s="455" t="s">
        <v>2864</v>
      </c>
      <c r="H94" s="1300">
        <v>2295066876</v>
      </c>
      <c r="I94" s="1301"/>
      <c r="J94" s="1371"/>
      <c r="K94" s="839" t="s">
        <v>2658</v>
      </c>
      <c r="L94" s="1329">
        <v>2295066879</v>
      </c>
      <c r="M94" s="1342"/>
      <c r="N94" s="457" t="s">
        <v>2863</v>
      </c>
      <c r="O94" s="1307" t="s">
        <v>3998</v>
      </c>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1145</v>
      </c>
      <c r="C96" s="452" t="s">
        <v>355</v>
      </c>
      <c r="F96" s="472"/>
      <c r="H96" s="1292" t="s">
        <v>3999</v>
      </c>
      <c r="I96" s="1341"/>
      <c r="J96" s="1341"/>
      <c r="K96" s="1341"/>
      <c r="L96" s="1341"/>
      <c r="M96" s="1341"/>
      <c r="N96" s="1342"/>
      <c r="O96" s="826" t="s">
        <v>2869</v>
      </c>
      <c r="P96" s="826"/>
      <c r="Q96" s="1292" t="s">
        <v>4002</v>
      </c>
      <c r="R96" s="1341"/>
      <c r="S96" s="1342"/>
    </row>
    <row r="97" spans="2:19" s="449" customFormat="1" ht="13.15" customHeight="1">
      <c r="D97" s="498"/>
      <c r="E97" s="455" t="s">
        <v>1527</v>
      </c>
      <c r="F97" s="463"/>
      <c r="H97" s="1292" t="s">
        <v>4000</v>
      </c>
      <c r="I97" s="1341"/>
      <c r="J97" s="1341"/>
      <c r="K97" s="1341"/>
      <c r="L97" s="1341"/>
      <c r="M97" s="1341"/>
      <c r="N97" s="1342"/>
      <c r="O97" s="826" t="s">
        <v>2601</v>
      </c>
      <c r="Q97" s="1292" t="s">
        <v>4001</v>
      </c>
      <c r="R97" s="1341"/>
      <c r="S97" s="1342"/>
    </row>
    <row r="98" spans="2:19" s="449" customFormat="1" ht="13.15" customHeight="1">
      <c r="D98" s="498"/>
      <c r="E98" s="455" t="s">
        <v>876</v>
      </c>
      <c r="H98" s="1292" t="s">
        <v>3543</v>
      </c>
      <c r="I98" s="1341"/>
      <c r="J98" s="1342"/>
      <c r="O98" s="826" t="s">
        <v>2659</v>
      </c>
      <c r="Q98" s="1300">
        <v>8034196556</v>
      </c>
      <c r="R98" s="1305"/>
      <c r="S98" s="1301"/>
    </row>
    <row r="99" spans="2:19" s="449" customFormat="1" ht="13.15" customHeight="1">
      <c r="D99" s="498"/>
      <c r="E99" s="455" t="s">
        <v>2655</v>
      </c>
      <c r="H99" s="1306" t="s">
        <v>1924</v>
      </c>
      <c r="I99" s="483" t="s">
        <v>3138</v>
      </c>
      <c r="J99" s="1303">
        <v>292231724</v>
      </c>
      <c r="K99" s="1342"/>
      <c r="O99" s="826" t="s">
        <v>2858</v>
      </c>
      <c r="Q99" s="1300">
        <v>8034229886</v>
      </c>
      <c r="R99" s="1305"/>
      <c r="S99" s="1301"/>
    </row>
    <row r="100" spans="2:19" s="449" customFormat="1" ht="13.15" customHeight="1">
      <c r="D100" s="498"/>
      <c r="E100" s="455" t="s">
        <v>2864</v>
      </c>
      <c r="H100" s="1300">
        <v>8037883800</v>
      </c>
      <c r="I100" s="1301"/>
      <c r="J100" s="1371"/>
      <c r="K100" s="839" t="s">
        <v>2658</v>
      </c>
      <c r="L100" s="1329">
        <v>8034190885</v>
      </c>
      <c r="M100" s="1342"/>
      <c r="N100" s="457" t="s">
        <v>2863</v>
      </c>
      <c r="O100" s="1307" t="s">
        <v>4003</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3004</v>
      </c>
      <c r="C102" s="452" t="s">
        <v>356</v>
      </c>
      <c r="H102" s="1292" t="s">
        <v>4004</v>
      </c>
      <c r="I102" s="1341"/>
      <c r="J102" s="1341"/>
      <c r="K102" s="1341"/>
      <c r="L102" s="1341"/>
      <c r="M102" s="1341"/>
      <c r="N102" s="1342"/>
      <c r="O102" s="826" t="s">
        <v>2869</v>
      </c>
      <c r="P102" s="826"/>
      <c r="Q102" s="1292" t="s">
        <v>4006</v>
      </c>
      <c r="R102" s="1341"/>
      <c r="S102" s="1342"/>
    </row>
    <row r="103" spans="2:19" s="449" customFormat="1" ht="13.15" customHeight="1">
      <c r="D103" s="498"/>
      <c r="E103" s="455" t="s">
        <v>1527</v>
      </c>
      <c r="F103" s="463"/>
      <c r="H103" s="1292" t="s">
        <v>4005</v>
      </c>
      <c r="I103" s="1341"/>
      <c r="J103" s="1341"/>
      <c r="K103" s="1341"/>
      <c r="L103" s="1341"/>
      <c r="M103" s="1341"/>
      <c r="N103" s="1342"/>
      <c r="O103" s="826" t="s">
        <v>2601</v>
      </c>
      <c r="Q103" s="1292" t="s">
        <v>4007</v>
      </c>
      <c r="R103" s="1341"/>
      <c r="S103" s="1342"/>
    </row>
    <row r="104" spans="2:19" s="449" customFormat="1" ht="13.15" customHeight="1">
      <c r="D104" s="498"/>
      <c r="E104" s="455" t="s">
        <v>876</v>
      </c>
      <c r="H104" s="1292" t="s">
        <v>2543</v>
      </c>
      <c r="I104" s="1341"/>
      <c r="J104" s="1342"/>
      <c r="O104" s="826" t="s">
        <v>2659</v>
      </c>
      <c r="Q104" s="1300">
        <v>2292427562</v>
      </c>
      <c r="R104" s="1305"/>
      <c r="S104" s="1301"/>
    </row>
    <row r="105" spans="2:19" s="449" customFormat="1" ht="13.15" customHeight="1">
      <c r="D105" s="498"/>
      <c r="E105" s="455" t="s">
        <v>2655</v>
      </c>
      <c r="H105" s="1306" t="s">
        <v>1337</v>
      </c>
      <c r="I105" s="483" t="s">
        <v>3138</v>
      </c>
      <c r="J105" s="1303">
        <v>316014531</v>
      </c>
      <c r="K105" s="1342"/>
      <c r="O105" s="826" t="s">
        <v>2858</v>
      </c>
      <c r="Q105" s="1300">
        <v>2293001404</v>
      </c>
      <c r="R105" s="1305"/>
      <c r="S105" s="1301"/>
    </row>
    <row r="106" spans="2:19" ht="13.15" customHeight="1">
      <c r="E106" s="455" t="s">
        <v>2864</v>
      </c>
      <c r="F106" s="449"/>
      <c r="G106" s="449"/>
      <c r="H106" s="1300">
        <v>2292427562</v>
      </c>
      <c r="I106" s="1301"/>
      <c r="J106" s="1371"/>
      <c r="K106" s="839" t="s">
        <v>2658</v>
      </c>
      <c r="L106" s="1329">
        <v>2293330885</v>
      </c>
      <c r="M106" s="1342"/>
      <c r="N106" s="457" t="s">
        <v>2863</v>
      </c>
      <c r="O106" s="1307" t="s">
        <v>4008</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2588</v>
      </c>
      <c r="C109" s="452" t="s">
        <v>357</v>
      </c>
      <c r="H109" s="1292" t="s">
        <v>4009</v>
      </c>
      <c r="I109" s="1341"/>
      <c r="J109" s="1341"/>
      <c r="K109" s="1341"/>
      <c r="L109" s="1341"/>
      <c r="M109" s="1341"/>
      <c r="N109" s="1342"/>
      <c r="O109" s="826" t="s">
        <v>2869</v>
      </c>
      <c r="P109" s="826"/>
      <c r="Q109" s="1292" t="s">
        <v>4011</v>
      </c>
      <c r="R109" s="1341"/>
      <c r="S109" s="1342"/>
    </row>
    <row r="110" spans="2:19" s="449" customFormat="1" ht="13.15" customHeight="1">
      <c r="D110" s="498"/>
      <c r="E110" s="455" t="s">
        <v>1527</v>
      </c>
      <c r="F110" s="463"/>
      <c r="H110" s="1292" t="s">
        <v>4010</v>
      </c>
      <c r="I110" s="1341"/>
      <c r="J110" s="1341"/>
      <c r="K110" s="1341"/>
      <c r="L110" s="1341"/>
      <c r="M110" s="1341"/>
      <c r="N110" s="1342"/>
      <c r="O110" s="826" t="s">
        <v>2601</v>
      </c>
      <c r="Q110" s="1292" t="s">
        <v>3479</v>
      </c>
      <c r="R110" s="1341"/>
      <c r="S110" s="1342"/>
    </row>
    <row r="111" spans="2:19" s="449" customFormat="1" ht="13.15" customHeight="1">
      <c r="D111" s="498"/>
      <c r="E111" s="455" t="s">
        <v>876</v>
      </c>
      <c r="H111" s="1292" t="s">
        <v>1743</v>
      </c>
      <c r="I111" s="1341"/>
      <c r="J111" s="1342"/>
      <c r="O111" s="826" t="s">
        <v>2659</v>
      </c>
      <c r="Q111" s="1300">
        <v>4048477664</v>
      </c>
      <c r="R111" s="1305"/>
      <c r="S111" s="1301"/>
    </row>
    <row r="112" spans="2:19" s="449" customFormat="1" ht="13.15" customHeight="1">
      <c r="D112" s="498"/>
      <c r="E112" s="455" t="s">
        <v>2655</v>
      </c>
      <c r="H112" s="1306" t="s">
        <v>1337</v>
      </c>
      <c r="I112" s="483" t="s">
        <v>3138</v>
      </c>
      <c r="J112" s="1303">
        <v>303264276</v>
      </c>
      <c r="K112" s="1342"/>
      <c r="O112" s="826" t="s">
        <v>2858</v>
      </c>
      <c r="Q112" s="1300">
        <v>4044085671</v>
      </c>
      <c r="R112" s="1305"/>
      <c r="S112" s="1301"/>
    </row>
    <row r="113" spans="1:19" ht="13.15" customHeight="1">
      <c r="E113" s="455" t="s">
        <v>2864</v>
      </c>
      <c r="F113" s="449"/>
      <c r="G113" s="449"/>
      <c r="H113" s="1300">
        <v>4048479447</v>
      </c>
      <c r="I113" s="1301"/>
      <c r="J113" s="1371"/>
      <c r="K113" s="839" t="s">
        <v>2658</v>
      </c>
      <c r="L113" s="1329">
        <v>4048477675</v>
      </c>
      <c r="M113" s="1342"/>
      <c r="N113" s="457" t="s">
        <v>2863</v>
      </c>
      <c r="O113" s="1307" t="s">
        <v>4012</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2589</v>
      </c>
      <c r="C115" s="452" t="s">
        <v>358</v>
      </c>
      <c r="H115" s="1292" t="s">
        <v>4013</v>
      </c>
      <c r="I115" s="1341"/>
      <c r="J115" s="1341"/>
      <c r="K115" s="1341"/>
      <c r="L115" s="1341"/>
      <c r="M115" s="1341"/>
      <c r="N115" s="1342"/>
      <c r="O115" s="826" t="s">
        <v>2869</v>
      </c>
      <c r="P115" s="826"/>
      <c r="Q115" s="1292" t="s">
        <v>4015</v>
      </c>
      <c r="R115" s="1341"/>
      <c r="S115" s="1342"/>
    </row>
    <row r="116" spans="1:19" s="449" customFormat="1" ht="13.15" customHeight="1">
      <c r="D116" s="498"/>
      <c r="E116" s="455" t="s">
        <v>1527</v>
      </c>
      <c r="F116" s="463"/>
      <c r="H116" s="1292" t="s">
        <v>4014</v>
      </c>
      <c r="I116" s="1341"/>
      <c r="J116" s="1341"/>
      <c r="K116" s="1341"/>
      <c r="L116" s="1341"/>
      <c r="M116" s="1341"/>
      <c r="N116" s="1342"/>
      <c r="O116" s="826" t="s">
        <v>2601</v>
      </c>
      <c r="Q116" s="1292" t="s">
        <v>3479</v>
      </c>
      <c r="R116" s="1341"/>
      <c r="S116" s="1342"/>
    </row>
    <row r="117" spans="1:19" s="449" customFormat="1" ht="13.15" customHeight="1">
      <c r="D117" s="498"/>
      <c r="E117" s="455" t="s">
        <v>876</v>
      </c>
      <c r="H117" s="1292" t="s">
        <v>235</v>
      </c>
      <c r="I117" s="1341"/>
      <c r="J117" s="1342"/>
      <c r="O117" s="826" t="s">
        <v>2659</v>
      </c>
      <c r="Q117" s="1300">
        <v>4043732800</v>
      </c>
      <c r="R117" s="1305"/>
      <c r="S117" s="1301"/>
    </row>
    <row r="118" spans="1:19" s="449" customFormat="1" ht="13.15" customHeight="1">
      <c r="D118" s="503"/>
      <c r="E118" s="455" t="s">
        <v>2655</v>
      </c>
      <c r="H118" s="1306" t="s">
        <v>1337</v>
      </c>
      <c r="I118" s="483" t="s">
        <v>3138</v>
      </c>
      <c r="J118" s="1303">
        <v>300303330</v>
      </c>
      <c r="K118" s="1342"/>
      <c r="O118" s="826" t="s">
        <v>2858</v>
      </c>
      <c r="Q118" s="1300"/>
      <c r="R118" s="1305"/>
      <c r="S118" s="1301"/>
    </row>
    <row r="119" spans="1:19" s="449" customFormat="1" ht="13.15" customHeight="1">
      <c r="D119" s="503"/>
      <c r="E119" s="455" t="s">
        <v>2864</v>
      </c>
      <c r="H119" s="1300">
        <v>4043732800</v>
      </c>
      <c r="I119" s="1301"/>
      <c r="J119" s="1371"/>
      <c r="K119" s="839" t="s">
        <v>2658</v>
      </c>
      <c r="L119" s="1329"/>
      <c r="M119" s="1342"/>
      <c r="N119" s="457" t="s">
        <v>2863</v>
      </c>
      <c r="O119" s="1307" t="s">
        <v>4016</v>
      </c>
      <c r="P119" s="1308"/>
      <c r="Q119" s="1308"/>
      <c r="R119" s="1308"/>
      <c r="S119" s="1309"/>
    </row>
    <row r="120" spans="1:19" ht="13.15" customHeight="1"/>
    <row r="121" spans="1:19" s="449" customFormat="1" ht="13.15" customHeight="1">
      <c r="A121" s="452" t="s">
        <v>2648</v>
      </c>
      <c r="B121" s="452" t="s">
        <v>3643</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77"/>
      <c r="C123" s="1377"/>
      <c r="D123" s="1378"/>
      <c r="E123" s="949" t="s">
        <v>3308</v>
      </c>
      <c r="F123" s="924" t="s">
        <v>3301</v>
      </c>
      <c r="G123" s="917" t="s">
        <v>3302</v>
      </c>
      <c r="H123" s="928"/>
      <c r="I123" s="929"/>
      <c r="J123" s="917" t="s">
        <v>3303</v>
      </c>
      <c r="K123" s="935"/>
      <c r="L123" s="917" t="s">
        <v>3304</v>
      </c>
      <c r="M123" s="940"/>
      <c r="N123" s="917" t="s">
        <v>3305</v>
      </c>
      <c r="O123" s="929"/>
      <c r="P123" s="917" t="s">
        <v>3306</v>
      </c>
      <c r="Q123" s="929"/>
      <c r="R123" s="917" t="s">
        <v>3307</v>
      </c>
      <c r="S123" s="918"/>
    </row>
    <row r="124" spans="1:19" s="449" customFormat="1" ht="21.6" customHeight="1">
      <c r="A124" s="1379"/>
      <c r="B124" s="1380"/>
      <c r="C124" s="1380"/>
      <c r="D124" s="1381"/>
      <c r="E124" s="950"/>
      <c r="F124" s="925"/>
      <c r="G124" s="919"/>
      <c r="H124" s="930"/>
      <c r="I124" s="931"/>
      <c r="J124" s="936"/>
      <c r="K124" s="937"/>
      <c r="L124" s="919"/>
      <c r="M124" s="941"/>
      <c r="N124" s="919"/>
      <c r="O124" s="931"/>
      <c r="P124" s="919"/>
      <c r="Q124" s="931"/>
      <c r="R124" s="919"/>
      <c r="S124" s="920"/>
    </row>
    <row r="125" spans="1:19" s="449" customFormat="1" ht="21.6" customHeight="1">
      <c r="A125" s="1379"/>
      <c r="B125" s="1380"/>
      <c r="C125" s="1380"/>
      <c r="D125" s="1381"/>
      <c r="E125" s="950"/>
      <c r="F125" s="926"/>
      <c r="G125" s="919"/>
      <c r="H125" s="930"/>
      <c r="I125" s="931"/>
      <c r="J125" s="936"/>
      <c r="K125" s="937"/>
      <c r="L125" s="942"/>
      <c r="M125" s="941"/>
      <c r="N125" s="919"/>
      <c r="O125" s="931"/>
      <c r="P125" s="919"/>
      <c r="Q125" s="931"/>
      <c r="R125" s="921"/>
      <c r="S125" s="920"/>
    </row>
    <row r="126" spans="1:19" s="449" customFormat="1" ht="21.6" customHeight="1">
      <c r="A126" s="1379"/>
      <c r="B126" s="1380"/>
      <c r="C126" s="1380"/>
      <c r="D126" s="1381"/>
      <c r="E126" s="950"/>
      <c r="F126" s="926"/>
      <c r="G126" s="919"/>
      <c r="H126" s="930"/>
      <c r="I126" s="931"/>
      <c r="J126" s="936"/>
      <c r="K126" s="937"/>
      <c r="L126" s="942"/>
      <c r="M126" s="941"/>
      <c r="N126" s="919"/>
      <c r="O126" s="931"/>
      <c r="P126" s="919"/>
      <c r="Q126" s="931"/>
      <c r="R126" s="921"/>
      <c r="S126" s="920"/>
    </row>
    <row r="127" spans="1:19" s="449" customFormat="1" ht="21.6" customHeight="1">
      <c r="A127" s="1382"/>
      <c r="B127" s="1383"/>
      <c r="C127" s="1383"/>
      <c r="D127" s="1384"/>
      <c r="E127" s="951"/>
      <c r="F127" s="927"/>
      <c r="G127" s="932"/>
      <c r="H127" s="933"/>
      <c r="I127" s="934"/>
      <c r="J127" s="938"/>
      <c r="K127" s="939"/>
      <c r="L127" s="943"/>
      <c r="M127" s="944"/>
      <c r="N127" s="932"/>
      <c r="O127" s="934"/>
      <c r="P127" s="932"/>
      <c r="Q127" s="934"/>
      <c r="R127" s="922"/>
      <c r="S127" s="923"/>
    </row>
    <row r="128" spans="1:19" s="449" customFormat="1" ht="13.9" customHeight="1">
      <c r="A128" s="834" t="s">
        <v>3300</v>
      </c>
      <c r="B128" s="835"/>
      <c r="C128" s="835"/>
      <c r="D128" s="836"/>
      <c r="E128" s="1385" t="s">
        <v>3983</v>
      </c>
      <c r="F128" s="1385" t="s">
        <v>3983</v>
      </c>
      <c r="G128" s="1386" t="s">
        <v>3983</v>
      </c>
      <c r="H128" s="1387"/>
      <c r="I128" s="1388"/>
      <c r="J128" s="1386" t="s">
        <v>3985</v>
      </c>
      <c r="K128" s="1388"/>
      <c r="L128" s="1386" t="s">
        <v>3983</v>
      </c>
      <c r="M128" s="1388"/>
      <c r="N128" s="1386" t="s">
        <v>3983</v>
      </c>
      <c r="O128" s="1388"/>
      <c r="P128" s="1389" t="s">
        <v>3639</v>
      </c>
      <c r="Q128" s="1390"/>
      <c r="R128" s="1391">
        <v>5.1E-5</v>
      </c>
      <c r="S128" s="1392"/>
    </row>
    <row r="129" spans="1:19" s="449" customFormat="1" ht="13.9" customHeight="1">
      <c r="A129" s="832" t="s">
        <v>3290</v>
      </c>
      <c r="B129" s="833"/>
      <c r="C129" s="833"/>
      <c r="D129" s="837"/>
      <c r="E129" s="1393" t="s">
        <v>3983</v>
      </c>
      <c r="F129" s="1393" t="s">
        <v>3983</v>
      </c>
      <c r="G129" s="1394" t="s">
        <v>3983</v>
      </c>
      <c r="H129" s="1395"/>
      <c r="I129" s="1396"/>
      <c r="J129" s="1394" t="s">
        <v>3985</v>
      </c>
      <c r="K129" s="1396"/>
      <c r="L129" s="1394" t="s">
        <v>3983</v>
      </c>
      <c r="M129" s="1396"/>
      <c r="N129" s="1394" t="s">
        <v>3983</v>
      </c>
      <c r="O129" s="1396"/>
      <c r="P129" s="1397" t="s">
        <v>4017</v>
      </c>
      <c r="Q129" s="1398"/>
      <c r="R129" s="1399">
        <v>4.8999999999999998E-5</v>
      </c>
      <c r="S129" s="1400"/>
    </row>
    <row r="130" spans="1:19" s="449" customFormat="1" ht="13.9" customHeight="1">
      <c r="A130" s="832" t="s">
        <v>3291</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3292</v>
      </c>
      <c r="B131" s="833"/>
      <c r="C131" s="833"/>
      <c r="D131" s="837"/>
      <c r="E131" s="1393" t="s">
        <v>3983</v>
      </c>
      <c r="F131" s="1393" t="s">
        <v>3983</v>
      </c>
      <c r="G131" s="1394" t="s">
        <v>3983</v>
      </c>
      <c r="H131" s="1395"/>
      <c r="I131" s="1396"/>
      <c r="J131" s="1394" t="s">
        <v>3985</v>
      </c>
      <c r="K131" s="1396"/>
      <c r="L131" s="1394" t="s">
        <v>3983</v>
      </c>
      <c r="M131" s="1396"/>
      <c r="N131" s="1394" t="s">
        <v>3983</v>
      </c>
      <c r="O131" s="1396"/>
      <c r="P131" s="1397" t="s">
        <v>4017</v>
      </c>
      <c r="Q131" s="1398"/>
      <c r="R131" s="1399">
        <v>0.9899</v>
      </c>
      <c r="S131" s="1400"/>
    </row>
    <row r="132" spans="1:19" s="449" customFormat="1" ht="13.9" customHeight="1">
      <c r="A132" s="832" t="s">
        <v>3293</v>
      </c>
      <c r="B132" s="833"/>
      <c r="C132" s="833"/>
      <c r="D132" s="837"/>
      <c r="E132" s="1393" t="s">
        <v>3983</v>
      </c>
      <c r="F132" s="1393" t="s">
        <v>3983</v>
      </c>
      <c r="G132" s="1394" t="s">
        <v>3983</v>
      </c>
      <c r="H132" s="1395"/>
      <c r="I132" s="1396"/>
      <c r="J132" s="1394" t="s">
        <v>3985</v>
      </c>
      <c r="K132" s="1396"/>
      <c r="L132" s="1394" t="s">
        <v>3983</v>
      </c>
      <c r="M132" s="1396"/>
      <c r="N132" s="1394" t="s">
        <v>3983</v>
      </c>
      <c r="O132" s="1396"/>
      <c r="P132" s="1397" t="s">
        <v>4017</v>
      </c>
      <c r="Q132" s="1398"/>
      <c r="R132" s="1399">
        <v>0.01</v>
      </c>
      <c r="S132" s="1400"/>
    </row>
    <row r="133" spans="1:19" s="449" customFormat="1" ht="13.9" customHeight="1">
      <c r="A133" s="832" t="s">
        <v>3294</v>
      </c>
      <c r="B133" s="833"/>
      <c r="C133" s="833"/>
      <c r="D133" s="837"/>
      <c r="E133" s="1393" t="s">
        <v>3983</v>
      </c>
      <c r="F133" s="1393" t="s">
        <v>3983</v>
      </c>
      <c r="G133" s="1394" t="s">
        <v>3983</v>
      </c>
      <c r="H133" s="1395"/>
      <c r="I133" s="1396"/>
      <c r="J133" s="1394" t="s">
        <v>3985</v>
      </c>
      <c r="K133" s="1396"/>
      <c r="L133" s="1394" t="s">
        <v>3983</v>
      </c>
      <c r="M133" s="1396"/>
      <c r="N133" s="1394" t="s">
        <v>3983</v>
      </c>
      <c r="O133" s="1396"/>
      <c r="P133" s="1397" t="s">
        <v>3639</v>
      </c>
      <c r="Q133" s="1398"/>
      <c r="R133" s="1399"/>
      <c r="S133" s="1400"/>
    </row>
    <row r="134" spans="1:19" s="449" customFormat="1" ht="13.9" customHeight="1">
      <c r="A134" s="832" t="s">
        <v>918</v>
      </c>
      <c r="B134" s="833"/>
      <c r="C134" s="833"/>
      <c r="D134" s="837"/>
      <c r="E134" s="1393" t="s">
        <v>3983</v>
      </c>
      <c r="F134" s="1393" t="s">
        <v>3983</v>
      </c>
      <c r="G134" s="1394" t="s">
        <v>3983</v>
      </c>
      <c r="H134" s="1395"/>
      <c r="I134" s="1396"/>
      <c r="J134" s="1394" t="s">
        <v>3985</v>
      </c>
      <c r="K134" s="1396"/>
      <c r="L134" s="1394" t="s">
        <v>3983</v>
      </c>
      <c r="M134" s="1396"/>
      <c r="N134" s="1394" t="s">
        <v>3983</v>
      </c>
      <c r="O134" s="1396"/>
      <c r="P134" s="1397" t="s">
        <v>3639</v>
      </c>
      <c r="Q134" s="1398"/>
      <c r="R134" s="1399"/>
      <c r="S134" s="1400"/>
    </row>
    <row r="135" spans="1:19" s="449" customFormat="1" ht="13.9" customHeight="1">
      <c r="A135" s="832" t="s">
        <v>3295</v>
      </c>
      <c r="B135" s="833"/>
      <c r="C135" s="833"/>
      <c r="D135" s="837"/>
      <c r="E135" s="1393" t="s">
        <v>3983</v>
      </c>
      <c r="F135" s="1393" t="s">
        <v>3983</v>
      </c>
      <c r="G135" s="1394" t="s">
        <v>3983</v>
      </c>
      <c r="H135" s="1395"/>
      <c r="I135" s="1396"/>
      <c r="J135" s="1394" t="s">
        <v>3983</v>
      </c>
      <c r="K135" s="1396"/>
      <c r="L135" s="1394" t="s">
        <v>3983</v>
      </c>
      <c r="M135" s="1396"/>
      <c r="N135" s="1394" t="s">
        <v>3983</v>
      </c>
      <c r="O135" s="1396"/>
      <c r="P135" s="1397" t="s">
        <v>4017</v>
      </c>
      <c r="Q135" s="1398"/>
      <c r="R135" s="1399"/>
      <c r="S135" s="1400"/>
    </row>
    <row r="136" spans="1:19" s="449" customFormat="1" ht="13.9" customHeight="1">
      <c r="A136" s="832" t="s">
        <v>3296</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3297</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3298</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7"/>
      <c r="E139" s="1393" t="s">
        <v>3983</v>
      </c>
      <c r="F139" s="1393" t="s">
        <v>3983</v>
      </c>
      <c r="G139" s="1394" t="s">
        <v>3983</v>
      </c>
      <c r="H139" s="1395"/>
      <c r="I139" s="1396"/>
      <c r="J139" s="1394" t="s">
        <v>3983</v>
      </c>
      <c r="K139" s="1396"/>
      <c r="L139" s="1394" t="s">
        <v>3983</v>
      </c>
      <c r="M139" s="1396"/>
      <c r="N139" s="1394" t="s">
        <v>3983</v>
      </c>
      <c r="O139" s="1396"/>
      <c r="P139" s="1397" t="s">
        <v>4017</v>
      </c>
      <c r="Q139" s="1398"/>
      <c r="R139" s="1399"/>
      <c r="S139" s="1400"/>
    </row>
    <row r="140" spans="1:19" s="449" customFormat="1" ht="13.9" customHeight="1">
      <c r="A140" s="841" t="s">
        <v>3299</v>
      </c>
      <c r="B140" s="842"/>
      <c r="C140" s="842"/>
      <c r="D140" s="504"/>
      <c r="E140" s="1401" t="s">
        <v>3983</v>
      </c>
      <c r="F140" s="1401" t="s">
        <v>3983</v>
      </c>
      <c r="G140" s="1402" t="s">
        <v>3983</v>
      </c>
      <c r="H140" s="1403"/>
      <c r="I140" s="1404"/>
      <c r="J140" s="1402" t="s">
        <v>3983</v>
      </c>
      <c r="K140" s="1404"/>
      <c r="L140" s="1402" t="s">
        <v>3983</v>
      </c>
      <c r="M140" s="1404"/>
      <c r="N140" s="1402" t="s">
        <v>3983</v>
      </c>
      <c r="O140" s="1404"/>
      <c r="P140" s="1405" t="s">
        <v>4017</v>
      </c>
      <c r="Q140" s="1406"/>
      <c r="R140" s="1407"/>
      <c r="S140" s="1408"/>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360" t="s">
        <v>4075</v>
      </c>
      <c r="B145" s="1361"/>
      <c r="C145" s="1361"/>
      <c r="D145" s="1361"/>
      <c r="E145" s="1361"/>
      <c r="F145" s="1361"/>
      <c r="G145" s="1361"/>
      <c r="H145" s="1361"/>
      <c r="I145" s="1361"/>
      <c r="J145" s="1361"/>
      <c r="K145" s="1361"/>
      <c r="L145" s="1361"/>
      <c r="M145" s="1362"/>
      <c r="N145" s="1363"/>
      <c r="O145" s="1364"/>
      <c r="P145" s="1364"/>
      <c r="Q145" s="1364"/>
      <c r="R145" s="1364"/>
      <c r="S145" s="1365"/>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2012-035 Goshen Crossing II, Rincon, Effingham County</v>
      </c>
      <c r="B1" s="946"/>
      <c r="C1" s="946"/>
      <c r="D1" s="946"/>
      <c r="E1" s="946"/>
      <c r="F1" s="946"/>
      <c r="G1" s="946"/>
      <c r="H1" s="946"/>
      <c r="I1" s="946"/>
      <c r="J1" s="946"/>
      <c r="K1" s="946"/>
      <c r="L1" s="946"/>
      <c r="M1" s="946"/>
      <c r="N1" s="946"/>
      <c r="O1" s="946"/>
      <c r="P1" s="946"/>
      <c r="Q1" s="947"/>
      <c r="S1" s="953" t="str">
        <f>$A$1</f>
        <v>PART THREE - SOURCES OF FUNDS  -  2012-035 Goshen Crossing II, Rincon, Effingham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3865</v>
      </c>
      <c r="T4" s="954"/>
    </row>
    <row r="5" spans="1:20" s="397" customFormat="1" ht="16.899999999999999" customHeight="1">
      <c r="A5" s="846"/>
      <c r="B5" s="1306" t="s">
        <v>3985</v>
      </c>
      <c r="C5" s="826" t="s">
        <v>3392</v>
      </c>
      <c r="D5" s="449"/>
      <c r="E5" s="1306"/>
      <c r="F5" s="829" t="s">
        <v>2494</v>
      </c>
      <c r="G5" s="449"/>
      <c r="J5" s="1410"/>
      <c r="K5" s="1411"/>
      <c r="M5" s="1306"/>
      <c r="N5" s="826" t="s">
        <v>786</v>
      </c>
      <c r="P5" s="1306"/>
      <c r="Q5" s="956" t="s">
        <v>3655</v>
      </c>
      <c r="S5" s="1412"/>
      <c r="T5" s="1413"/>
    </row>
    <row r="6" spans="1:20" s="397" customFormat="1" ht="16.899999999999999" customHeight="1">
      <c r="A6" s="846"/>
      <c r="B6" s="1306"/>
      <c r="C6" s="826" t="s">
        <v>2660</v>
      </c>
      <c r="D6" s="449"/>
      <c r="E6" s="1306"/>
      <c r="F6" s="829" t="s">
        <v>3099</v>
      </c>
      <c r="H6" s="1306"/>
      <c r="I6" s="833" t="s">
        <v>787</v>
      </c>
      <c r="J6" s="1306"/>
      <c r="K6" s="833" t="s">
        <v>2140</v>
      </c>
      <c r="M6" s="1306"/>
      <c r="N6" s="829" t="s">
        <v>785</v>
      </c>
      <c r="Q6" s="956"/>
      <c r="S6" s="1414"/>
      <c r="T6" s="1415"/>
    </row>
    <row r="7" spans="1:20" s="397" customFormat="1" ht="16.899999999999999" customHeight="1">
      <c r="A7" s="449"/>
      <c r="B7" s="1306"/>
      <c r="C7" s="826" t="s">
        <v>2661</v>
      </c>
      <c r="E7" s="1306"/>
      <c r="F7" s="829" t="s">
        <v>3098</v>
      </c>
      <c r="G7" s="449"/>
      <c r="H7" s="1306"/>
      <c r="I7" s="955" t="s">
        <v>3653</v>
      </c>
      <c r="J7" s="1306"/>
      <c r="K7" s="956" t="s">
        <v>3652</v>
      </c>
      <c r="L7" s="957"/>
      <c r="M7" s="1306"/>
      <c r="N7" s="455" t="s">
        <v>3654</v>
      </c>
      <c r="Q7" s="958"/>
      <c r="S7" s="1414"/>
      <c r="T7" s="1415"/>
    </row>
    <row r="8" spans="1:20" s="397" customFormat="1" ht="16.899999999999999" customHeight="1">
      <c r="A8" s="846"/>
      <c r="B8" s="1306"/>
      <c r="C8" s="833" t="s">
        <v>3640</v>
      </c>
      <c r="D8" s="449"/>
      <c r="E8" s="1306"/>
      <c r="F8" s="477" t="s">
        <v>3641</v>
      </c>
      <c r="I8" s="955"/>
      <c r="K8" s="956"/>
      <c r="L8" s="957"/>
      <c r="M8" s="1306"/>
      <c r="N8" s="1292" t="s">
        <v>3024</v>
      </c>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2743</v>
      </c>
      <c r="C13" s="449"/>
      <c r="D13" s="449"/>
      <c r="E13" s="449"/>
      <c r="F13" s="449"/>
      <c r="G13" s="449"/>
      <c r="H13" s="977" t="s">
        <v>1864</v>
      </c>
      <c r="I13" s="977"/>
      <c r="J13" s="977"/>
      <c r="K13" s="977"/>
      <c r="L13" s="888" t="s">
        <v>2870</v>
      </c>
      <c r="M13" s="888"/>
      <c r="N13" s="888" t="s">
        <v>2108</v>
      </c>
      <c r="O13" s="888"/>
      <c r="P13" s="888" t="s">
        <v>2381</v>
      </c>
      <c r="Q13" s="888"/>
      <c r="S13" s="954" t="s">
        <v>3865</v>
      </c>
      <c r="T13" s="954"/>
    </row>
    <row r="14" spans="1:20" s="397" customFormat="1" ht="16.899999999999999" customHeight="1">
      <c r="A14" s="449"/>
      <c r="B14" s="961" t="s">
        <v>2195</v>
      </c>
      <c r="C14" s="962"/>
      <c r="D14" s="962"/>
      <c r="E14" s="835"/>
      <c r="F14" s="835"/>
      <c r="G14" s="835"/>
      <c r="H14" s="1292" t="s">
        <v>4062</v>
      </c>
      <c r="I14" s="1293"/>
      <c r="J14" s="1293"/>
      <c r="K14" s="1294"/>
      <c r="L14" s="1418">
        <v>5521333</v>
      </c>
      <c r="M14" s="1419"/>
      <c r="N14" s="1420">
        <v>0.06</v>
      </c>
      <c r="O14" s="1421"/>
      <c r="P14" s="1422">
        <v>24</v>
      </c>
      <c r="Q14" s="1423"/>
      <c r="S14" s="1412"/>
      <c r="T14" s="1413"/>
    </row>
    <row r="15" spans="1:20" s="397" customFormat="1" ht="16.899999999999999" customHeight="1">
      <c r="A15" s="449"/>
      <c r="B15" s="959" t="s">
        <v>2196</v>
      </c>
      <c r="C15" s="960"/>
      <c r="D15" s="960"/>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66" t="s">
        <v>2197</v>
      </c>
      <c r="C16" s="967"/>
      <c r="D16" s="967"/>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1" t="s">
        <v>3118</v>
      </c>
      <c r="C17" s="962"/>
      <c r="D17" s="962"/>
      <c r="E17" s="833"/>
      <c r="F17" s="833"/>
      <c r="G17" s="833"/>
      <c r="H17" s="1292"/>
      <c r="I17" s="1293"/>
      <c r="J17" s="1293"/>
      <c r="K17" s="1294"/>
      <c r="L17" s="1418"/>
      <c r="M17" s="1419"/>
      <c r="N17" s="963"/>
      <c r="O17" s="964"/>
      <c r="P17" s="965"/>
      <c r="Q17" s="965"/>
      <c r="S17" s="1414"/>
      <c r="T17" s="1415"/>
    </row>
    <row r="18" spans="1:20" s="397" customFormat="1" ht="16.899999999999999" customHeight="1">
      <c r="A18" s="449"/>
      <c r="B18" s="959" t="s">
        <v>1287</v>
      </c>
      <c r="C18" s="960"/>
      <c r="D18" s="960"/>
      <c r="E18" s="833"/>
      <c r="H18" s="1292"/>
      <c r="I18" s="1293"/>
      <c r="J18" s="1293"/>
      <c r="K18" s="1294"/>
      <c r="L18" s="1418"/>
      <c r="M18" s="1419"/>
      <c r="N18" s="963"/>
      <c r="O18" s="964"/>
      <c r="P18" s="965"/>
      <c r="Q18" s="965"/>
      <c r="S18" s="1414"/>
      <c r="T18" s="1415"/>
    </row>
    <row r="19" spans="1:20" s="397" customFormat="1" ht="16.899999999999999" customHeight="1">
      <c r="A19" s="449"/>
      <c r="B19" s="959" t="s">
        <v>900</v>
      </c>
      <c r="C19" s="960"/>
      <c r="D19" s="960"/>
      <c r="E19" s="833"/>
      <c r="H19" s="1292"/>
      <c r="I19" s="1293"/>
      <c r="J19" s="1293"/>
      <c r="K19" s="1294"/>
      <c r="L19" s="1418"/>
      <c r="M19" s="1419"/>
      <c r="N19" s="963"/>
      <c r="O19" s="964"/>
      <c r="P19" s="965"/>
      <c r="Q19" s="965"/>
      <c r="S19" s="1414"/>
      <c r="T19" s="1415"/>
    </row>
    <row r="20" spans="1:20" s="397" customFormat="1" ht="16.899999999999999" customHeight="1">
      <c r="A20" s="449"/>
      <c r="B20" s="959" t="s">
        <v>1288</v>
      </c>
      <c r="C20" s="960"/>
      <c r="D20" s="960"/>
      <c r="E20" s="833"/>
      <c r="H20" s="1292" t="s">
        <v>3992</v>
      </c>
      <c r="I20" s="1293"/>
      <c r="J20" s="1293"/>
      <c r="K20" s="1294"/>
      <c r="L20" s="1418">
        <v>1203212</v>
      </c>
      <c r="M20" s="1419"/>
      <c r="N20" s="449"/>
      <c r="O20" s="449"/>
      <c r="P20" s="449"/>
      <c r="Q20" s="449"/>
      <c r="S20" s="1416"/>
      <c r="T20" s="1417"/>
    </row>
    <row r="21" spans="1:20" s="397" customFormat="1" ht="16.899999999999999" customHeight="1">
      <c r="A21" s="449"/>
      <c r="B21" s="959" t="s">
        <v>1289</v>
      </c>
      <c r="C21" s="960"/>
      <c r="D21" s="960"/>
      <c r="E21" s="833"/>
      <c r="H21" s="1292" t="s">
        <v>3992</v>
      </c>
      <c r="I21" s="1293"/>
      <c r="J21" s="1293"/>
      <c r="K21" s="1294"/>
      <c r="L21" s="1418">
        <v>369689</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2">
        <f>SUM(L14:L24)</f>
        <v>7094234</v>
      </c>
      <c r="M25" s="983"/>
      <c r="N25" s="472"/>
      <c r="O25" s="472"/>
      <c r="P25" s="472"/>
      <c r="Q25" s="472"/>
      <c r="S25" s="1414"/>
      <c r="T25" s="1415"/>
    </row>
    <row r="26" spans="1:20" s="397" customFormat="1" ht="16.899999999999999" customHeight="1">
      <c r="A26" s="449"/>
      <c r="B26" s="826"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6929978</v>
      </c>
      <c r="M26" s="1428"/>
      <c r="N26" s="980"/>
      <c r="O26" s="981"/>
      <c r="P26" s="981"/>
      <c r="Q26" s="981"/>
      <c r="S26" s="1414"/>
      <c r="T26" s="1415"/>
    </row>
    <row r="27" spans="1:20" s="397" customFormat="1" ht="16.899999999999999" customHeight="1">
      <c r="A27" s="449"/>
      <c r="B27" s="455" t="s">
        <v>3049</v>
      </c>
      <c r="C27" s="449"/>
      <c r="D27" s="449"/>
      <c r="E27" s="449"/>
      <c r="F27" s="449"/>
      <c r="G27" s="449"/>
      <c r="H27" s="449"/>
      <c r="I27" s="449"/>
      <c r="L27" s="984">
        <f>L25-L26</f>
        <v>164256</v>
      </c>
      <c r="M27" s="985"/>
      <c r="N27" s="980"/>
      <c r="O27" s="981"/>
      <c r="P27" s="981"/>
      <c r="Q27" s="981"/>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896" t="s">
        <v>39</v>
      </c>
      <c r="N30" s="896"/>
      <c r="O30" s="830"/>
      <c r="P30" s="839"/>
      <c r="Q30" s="975" t="s">
        <v>3267</v>
      </c>
      <c r="S30" s="507"/>
    </row>
    <row r="31" spans="1:20" s="397" customFormat="1" ht="13.15" customHeight="1">
      <c r="A31" s="449"/>
      <c r="B31" s="838" t="s">
        <v>2743</v>
      </c>
      <c r="C31" s="842"/>
      <c r="D31" s="842"/>
      <c r="E31" s="960" t="s">
        <v>1864</v>
      </c>
      <c r="F31" s="960"/>
      <c r="G31" s="960"/>
      <c r="H31" s="888" t="s">
        <v>676</v>
      </c>
      <c r="I31" s="888"/>
      <c r="J31" s="828" t="s">
        <v>2667</v>
      </c>
      <c r="K31" s="828" t="s">
        <v>3117</v>
      </c>
      <c r="L31" s="828" t="s">
        <v>3117</v>
      </c>
      <c r="M31" s="1429"/>
      <c r="N31" s="1429"/>
      <c r="O31" s="888" t="s">
        <v>80</v>
      </c>
      <c r="P31" s="888"/>
      <c r="Q31" s="976"/>
      <c r="S31" s="954" t="s">
        <v>3865</v>
      </c>
      <c r="T31" s="954"/>
    </row>
    <row r="32" spans="1:20" s="397" customFormat="1" ht="13.15" customHeight="1">
      <c r="A32" s="449"/>
      <c r="B32" s="961" t="s">
        <v>3663</v>
      </c>
      <c r="C32" s="962"/>
      <c r="D32" s="962"/>
      <c r="E32" s="1430" t="s">
        <v>4062</v>
      </c>
      <c r="F32" s="1431"/>
      <c r="G32" s="1432"/>
      <c r="H32" s="1433">
        <v>710000</v>
      </c>
      <c r="I32" s="1434"/>
      <c r="J32" s="1435">
        <v>7.0000000000000007E-2</v>
      </c>
      <c r="K32" s="1306">
        <v>20</v>
      </c>
      <c r="L32" s="1306">
        <v>20</v>
      </c>
      <c r="M32" s="1436">
        <f t="shared" ref="M32:M37" si="0">IF(OR(H32&lt;=0,H32=""),"",IF(O32="Amortizing",-PMT(J32/12,L32*12,H32,0,0)*12,""))</f>
        <v>66055.469314728107</v>
      </c>
      <c r="N32" s="1437"/>
      <c r="O32" s="1286" t="s">
        <v>4063</v>
      </c>
      <c r="P32" s="1287"/>
      <c r="Q32" s="1438">
        <v>1.2</v>
      </c>
      <c r="S32" s="1412"/>
      <c r="T32" s="1413"/>
    </row>
    <row r="33" spans="1:20" s="397" customFormat="1" ht="13.15" customHeight="1">
      <c r="A33" s="449"/>
      <c r="B33" s="959" t="s">
        <v>3664</v>
      </c>
      <c r="C33" s="960"/>
      <c r="D33" s="960"/>
      <c r="E33" s="1297"/>
      <c r="F33" s="1439"/>
      <c r="G33" s="1440"/>
      <c r="H33" s="1441"/>
      <c r="I33" s="1434"/>
      <c r="J33" s="1435"/>
      <c r="K33" s="1306"/>
      <c r="L33" s="1306"/>
      <c r="M33" s="1436" t="str">
        <f t="shared" si="0"/>
        <v/>
      </c>
      <c r="N33" s="1437"/>
      <c r="O33" s="1286"/>
      <c r="P33" s="1287"/>
      <c r="Q33" s="1438"/>
      <c r="S33" s="1414"/>
      <c r="T33" s="1415"/>
    </row>
    <row r="34" spans="1:20" s="397" customFormat="1" ht="13.15" customHeight="1">
      <c r="A34" s="449"/>
      <c r="B34" s="959" t="s">
        <v>3665</v>
      </c>
      <c r="C34" s="960"/>
      <c r="D34" s="960"/>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7"/>
      <c r="E36" s="1292"/>
      <c r="F36" s="1442"/>
      <c r="G36" s="1434"/>
      <c r="H36" s="1441"/>
      <c r="I36" s="1434"/>
      <c r="J36" s="790"/>
      <c r="K36" s="831"/>
      <c r="L36" s="831"/>
      <c r="M36" s="992" t="str">
        <f t="shared" si="0"/>
        <v/>
      </c>
      <c r="N36" s="992"/>
      <c r="O36" s="991"/>
      <c r="P36" s="991"/>
      <c r="Q36" s="791"/>
      <c r="S36" s="1414"/>
      <c r="T36" s="1415"/>
    </row>
    <row r="37" spans="1:20" s="397" customFormat="1" ht="13.15" customHeight="1">
      <c r="A37" s="449"/>
      <c r="B37" s="841" t="s">
        <v>272</v>
      </c>
      <c r="C37" s="842"/>
      <c r="D37" s="543">
        <f>IF(OR(H37="",H37=0,'Part IV-Uses of Funds'!$G$109="",'Part IV-Uses of Funds'!$G$109=0),"",H37/'Part IV-Uses of Funds'!$G$109)</f>
        <v>1.0891603601560803E-2</v>
      </c>
      <c r="E37" s="1292" t="s">
        <v>4081</v>
      </c>
      <c r="F37" s="1442"/>
      <c r="G37" s="1434"/>
      <c r="H37" s="1441">
        <v>11528</v>
      </c>
      <c r="I37" s="1434"/>
      <c r="J37" s="1435">
        <v>0</v>
      </c>
      <c r="K37" s="1306">
        <v>15</v>
      </c>
      <c r="L37" s="1306"/>
      <c r="M37" s="1436" t="str">
        <f t="shared" si="0"/>
        <v/>
      </c>
      <c r="N37" s="1437"/>
      <c r="O37" s="1286" t="s">
        <v>1687</v>
      </c>
      <c r="P37" s="1287"/>
      <c r="Q37" s="1438"/>
      <c r="S37" s="1414"/>
      <c r="T37" s="1415"/>
    </row>
    <row r="38" spans="1:20" s="397" customFormat="1" ht="13.15" customHeight="1">
      <c r="A38" s="449"/>
      <c r="B38" s="961" t="s">
        <v>3118</v>
      </c>
      <c r="C38" s="962"/>
      <c r="D38" s="986"/>
      <c r="E38" s="1292"/>
      <c r="F38" s="1442"/>
      <c r="G38" s="1434"/>
      <c r="H38" s="1443"/>
      <c r="I38" s="1444"/>
      <c r="K38" s="544"/>
      <c r="L38" s="544"/>
      <c r="M38" s="544"/>
      <c r="N38" s="544"/>
      <c r="O38" s="544"/>
      <c r="P38" s="544"/>
      <c r="Q38" s="544"/>
      <c r="S38" s="1412"/>
      <c r="T38" s="1413"/>
    </row>
    <row r="39" spans="1:20" s="397" customFormat="1" ht="13.15" customHeight="1">
      <c r="A39" s="449"/>
      <c r="B39" s="959" t="s">
        <v>1287</v>
      </c>
      <c r="C39" s="960"/>
      <c r="D39" s="968"/>
      <c r="E39" s="1292"/>
      <c r="F39" s="1442"/>
      <c r="G39" s="1434"/>
      <c r="H39" s="1443"/>
      <c r="I39" s="1444"/>
      <c r="J39" s="971" t="s">
        <v>752</v>
      </c>
      <c r="K39" s="972"/>
      <c r="L39" s="970" t="s">
        <v>753</v>
      </c>
      <c r="M39" s="970"/>
      <c r="O39" s="625" t="s">
        <v>751</v>
      </c>
      <c r="P39" s="545"/>
      <c r="Q39" s="544"/>
      <c r="S39" s="1414"/>
      <c r="T39" s="1415"/>
    </row>
    <row r="40" spans="1:20" s="397" customFormat="1" ht="13.15" customHeight="1">
      <c r="A40" s="449"/>
      <c r="B40" s="959" t="s">
        <v>1288</v>
      </c>
      <c r="C40" s="960"/>
      <c r="D40" s="968"/>
      <c r="E40" s="1292" t="s">
        <v>3992</v>
      </c>
      <c r="F40" s="1293"/>
      <c r="G40" s="1294"/>
      <c r="H40" s="1441">
        <v>6016062</v>
      </c>
      <c r="I40" s="1445"/>
      <c r="J40" s="973">
        <f>'Part IV-Uses of Funds'!$J$165*10*'Part IV-Uses of Funds'!$N$158</f>
        <v>6078060.4389999993</v>
      </c>
      <c r="K40" s="974"/>
      <c r="L40" s="969">
        <f>H40-J40</f>
        <v>-61998.438999999315</v>
      </c>
      <c r="M40" s="969"/>
      <c r="O40" s="626" t="s">
        <v>3590</v>
      </c>
      <c r="P40" s="545"/>
      <c r="Q40" s="544"/>
      <c r="S40" s="1414"/>
      <c r="T40" s="1415"/>
    </row>
    <row r="41" spans="1:20" s="397" customFormat="1" ht="13.15" customHeight="1">
      <c r="A41" s="449"/>
      <c r="B41" s="959" t="s">
        <v>1289</v>
      </c>
      <c r="C41" s="960"/>
      <c r="D41" s="968"/>
      <c r="E41" s="1292" t="s">
        <v>3992</v>
      </c>
      <c r="F41" s="1293"/>
      <c r="G41" s="1294"/>
      <c r="H41" s="1441">
        <v>1848446</v>
      </c>
      <c r="I41" s="1445"/>
      <c r="J41" s="973">
        <f>'Part IV-Uses of Funds'!$J$165*10*'Part IV-Uses of Funds'!$Q$158</f>
        <v>1787664.835</v>
      </c>
      <c r="K41" s="974"/>
      <c r="L41" s="969">
        <f>H41-J41</f>
        <v>60781.165000000037</v>
      </c>
      <c r="M41" s="969"/>
      <c r="O41" s="627">
        <f>H40/H50</f>
        <v>0.70067980148231379</v>
      </c>
      <c r="P41" s="545"/>
      <c r="Q41" s="544"/>
      <c r="S41" s="1414"/>
      <c r="T41" s="1415"/>
    </row>
    <row r="42" spans="1:20" s="397" customFormat="1" ht="13.15" customHeight="1">
      <c r="A42" s="449"/>
      <c r="B42" s="959" t="s">
        <v>1984</v>
      </c>
      <c r="C42" s="960"/>
      <c r="D42" s="968"/>
      <c r="E42" s="1292"/>
      <c r="F42" s="1293"/>
      <c r="G42" s="1294"/>
      <c r="H42" s="1441"/>
      <c r="I42" s="1445"/>
      <c r="M42" s="545"/>
      <c r="O42" s="627">
        <f>H41/H50</f>
        <v>0.21528514439026344</v>
      </c>
      <c r="P42" s="545"/>
      <c r="Q42" s="544"/>
      <c r="S42" s="1416"/>
      <c r="T42" s="1417"/>
    </row>
    <row r="43" spans="1:20" s="397" customFormat="1" ht="13.15" customHeight="1">
      <c r="A43" s="449"/>
      <c r="B43" s="832" t="s">
        <v>767</v>
      </c>
      <c r="C43" s="833"/>
      <c r="D43" s="837"/>
      <c r="E43" s="1292"/>
      <c r="F43" s="1293"/>
      <c r="G43" s="1294"/>
      <c r="H43" s="1441"/>
      <c r="I43" s="1445"/>
      <c r="K43" s="449"/>
      <c r="L43" s="449"/>
      <c r="M43" s="545"/>
      <c r="O43" s="628">
        <f>SUM(O41:O42)</f>
        <v>0.91596494587257726</v>
      </c>
      <c r="P43" s="545"/>
      <c r="Q43" s="544"/>
      <c r="S43" s="1414"/>
      <c r="T43" s="1415"/>
    </row>
    <row r="44" spans="1:20" s="397" customFormat="1" ht="13.15" customHeight="1">
      <c r="A44" s="449"/>
      <c r="B44" s="832" t="s">
        <v>2741</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2742</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41"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3119</v>
      </c>
      <c r="C49" s="449"/>
      <c r="D49" s="449"/>
      <c r="E49" s="449"/>
      <c r="F49" s="449"/>
      <c r="G49" s="449"/>
      <c r="H49" s="989">
        <f>SUM(H32:I48)</f>
        <v>8586036</v>
      </c>
      <c r="I49" s="990"/>
      <c r="J49" s="472"/>
      <c r="K49" s="449"/>
      <c r="L49" s="546"/>
      <c r="M49" s="545"/>
      <c r="N49" s="545"/>
      <c r="O49" s="545"/>
      <c r="P49" s="545"/>
      <c r="Q49" s="544"/>
      <c r="S49" s="1414"/>
      <c r="T49" s="1415"/>
    </row>
    <row r="50" spans="1:23" s="397" customFormat="1" ht="13.15" customHeight="1" thickBot="1">
      <c r="A50" s="449"/>
      <c r="B50" s="826" t="s">
        <v>3120</v>
      </c>
      <c r="C50" s="449"/>
      <c r="D50" s="449"/>
      <c r="E50" s="449"/>
      <c r="F50" s="449"/>
      <c r="G50" s="449"/>
      <c r="H50" s="987">
        <f>'Part IV-Uses of Funds'!$G$123</f>
        <v>8586036</v>
      </c>
      <c r="I50" s="988"/>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78">
        <f>H49-H50</f>
        <v>0</v>
      </c>
      <c r="I51" s="979"/>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t="s">
        <v>4082</v>
      </c>
      <c r="B55" s="1446"/>
      <c r="C55" s="1446"/>
      <c r="D55" s="1446"/>
      <c r="E55" s="1446"/>
      <c r="F55" s="1446"/>
      <c r="G55" s="1446"/>
      <c r="H55" s="1446"/>
      <c r="I55" s="1446"/>
      <c r="J55" s="1447"/>
      <c r="K55" s="1363"/>
      <c r="L55" s="1446"/>
      <c r="M55" s="1446"/>
      <c r="N55" s="1446"/>
      <c r="O55" s="1446"/>
      <c r="P55" s="1446"/>
      <c r="Q55" s="1447"/>
      <c r="S55" s="952" t="s">
        <v>3966</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2012-035 Goshen Crossing II, Rincon, Effingham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3485</v>
      </c>
      <c r="B16" s="286" t="s">
        <v>3482</v>
      </c>
      <c r="C16" s="286" t="s">
        <v>3483</v>
      </c>
      <c r="D16" s="1004" t="s">
        <v>3167</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2012-035 Goshen Crossing II, Rincon, Effingham County</v>
      </c>
      <c r="B58" s="996"/>
      <c r="C58" s="996"/>
      <c r="D58" s="996"/>
      <c r="E58" s="996"/>
      <c r="F58" s="996"/>
      <c r="G58" s="996" t="str">
        <f>CONCATENATE('Part I-Project Information'!$O$4," ",'Part I-Project Information'!$F$22,", ",'Part I-Project Information'!$F$24,", ",'Part I-Project Information'!$J$25," County")</f>
        <v>2012-035 Goshen Crossing II, Rincon, Effingham County</v>
      </c>
      <c r="H58" s="996"/>
      <c r="I58" s="996"/>
      <c r="J58" s="996"/>
      <c r="K58" s="996"/>
      <c r="L58" s="996"/>
    </row>
    <row r="59" spans="1:12" ht="15">
      <c r="A59" s="993" t="s">
        <v>3476</v>
      </c>
      <c r="B59" s="993"/>
      <c r="C59" s="993"/>
      <c r="D59" s="993"/>
      <c r="E59" s="993"/>
      <c r="F59" s="993"/>
      <c r="G59" s="993" t="s">
        <v>3476</v>
      </c>
      <c r="H59" s="993"/>
      <c r="I59" s="993"/>
      <c r="J59" s="993"/>
      <c r="K59" s="993"/>
      <c r="L59" s="993"/>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2012-035 Goshen Crossing II, Rincon, Effingham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2012-035 Goshen Crossing II, Rincon, Effingham County</v>
      </c>
      <c r="B50" s="996"/>
      <c r="C50" s="996"/>
      <c r="D50" s="996"/>
      <c r="E50" s="996"/>
      <c r="F50" s="996"/>
      <c r="G50" s="297"/>
      <c r="H50" s="297"/>
    </row>
    <row r="51" spans="1:10" ht="15">
      <c r="A51" s="993" t="s">
        <v>3476</v>
      </c>
      <c r="B51" s="993"/>
      <c r="C51" s="993"/>
      <c r="D51" s="993"/>
      <c r="E51" s="993"/>
      <c r="F51" s="993"/>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2012-035 Goshen Crossing II, Rincon, Effingham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2012-035 Goshen Crossing II, Rincon, Effingham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3865</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18">
        <v>7050</v>
      </c>
      <c r="H8" s="1419"/>
      <c r="J8" s="1418">
        <f>G8</f>
        <v>7050</v>
      </c>
      <c r="K8" s="1419"/>
      <c r="L8" s="843"/>
      <c r="M8" s="1418"/>
      <c r="N8" s="1419"/>
      <c r="P8" s="1418"/>
      <c r="Q8" s="1419"/>
      <c r="S8" s="1418"/>
      <c r="T8" s="1419"/>
      <c r="V8" s="1448"/>
      <c r="W8" s="1449"/>
    </row>
    <row r="9" spans="1:23" s="449" customFormat="1" ht="12.6" customHeight="1">
      <c r="B9" s="449" t="s">
        <v>631</v>
      </c>
      <c r="G9" s="1418">
        <v>6500</v>
      </c>
      <c r="H9" s="1419"/>
      <c r="J9" s="1418">
        <f>G9</f>
        <v>6500</v>
      </c>
      <c r="K9" s="1419"/>
      <c r="L9" s="843"/>
      <c r="M9" s="1418"/>
      <c r="N9" s="1419"/>
      <c r="P9" s="1418"/>
      <c r="Q9" s="1419"/>
      <c r="S9" s="1418"/>
      <c r="T9" s="1419"/>
      <c r="V9" s="1450"/>
      <c r="W9" s="1451"/>
    </row>
    <row r="10" spans="1:23" s="449" customFormat="1" ht="12.6" customHeight="1">
      <c r="B10" s="449" t="s">
        <v>674</v>
      </c>
      <c r="G10" s="1418">
        <v>5500</v>
      </c>
      <c r="H10" s="1419"/>
      <c r="J10" s="1418">
        <f>G10</f>
        <v>5500</v>
      </c>
      <c r="K10" s="1419"/>
      <c r="L10" s="843"/>
      <c r="M10" s="1418"/>
      <c r="N10" s="1419"/>
      <c r="P10" s="1418"/>
      <c r="Q10" s="1419"/>
      <c r="S10" s="1418"/>
      <c r="T10" s="1419"/>
      <c r="V10" s="1450"/>
      <c r="W10" s="1451"/>
    </row>
    <row r="11" spans="1:23" s="449" customFormat="1" ht="12.6" customHeight="1">
      <c r="B11" s="449" t="s">
        <v>675</v>
      </c>
      <c r="G11" s="1418">
        <v>7300</v>
      </c>
      <c r="H11" s="1419"/>
      <c r="J11" s="1418">
        <f>G11</f>
        <v>7300</v>
      </c>
      <c r="K11" s="1419"/>
      <c r="L11" s="843"/>
      <c r="M11" s="1418"/>
      <c r="N11" s="1419"/>
      <c r="P11" s="1418"/>
      <c r="Q11" s="1419"/>
      <c r="S11" s="1418"/>
      <c r="T11" s="1419"/>
      <c r="V11" s="1450"/>
      <c r="W11" s="1451"/>
    </row>
    <row r="12" spans="1:23" s="449" customFormat="1" ht="12.6" customHeight="1">
      <c r="B12" s="449" t="s">
        <v>3507</v>
      </c>
      <c r="G12" s="1418">
        <v>7800</v>
      </c>
      <c r="H12" s="1419"/>
      <c r="J12" s="1418">
        <f>G12</f>
        <v>7800</v>
      </c>
      <c r="K12" s="1419"/>
      <c r="L12" s="843"/>
      <c r="M12" s="1418"/>
      <c r="N12" s="1419"/>
      <c r="P12" s="1418"/>
      <c r="Q12" s="1419"/>
      <c r="S12" s="1418"/>
      <c r="T12" s="1419"/>
      <c r="V12" s="1450"/>
      <c r="W12" s="1451"/>
    </row>
    <row r="13" spans="1:23" s="449" customFormat="1" ht="12.6" customHeight="1">
      <c r="B13" s="449" t="s">
        <v>229</v>
      </c>
      <c r="G13" s="1418"/>
      <c r="H13" s="1419"/>
      <c r="J13" s="1418"/>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3398</v>
      </c>
      <c r="D14" s="1298"/>
      <c r="E14" s="1298"/>
      <c r="F14" s="1299"/>
      <c r="G14" s="1418"/>
      <c r="H14" s="1419"/>
      <c r="J14" s="1418"/>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3398</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3398</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5">
        <f>SUM(G8:H16)</f>
        <v>34150</v>
      </c>
      <c r="H17" s="1016"/>
      <c r="J17" s="1015">
        <f>SUM(J8:K16)</f>
        <v>34150</v>
      </c>
      <c r="K17" s="1028"/>
      <c r="L17" s="843"/>
      <c r="M17" s="1015">
        <f>SUM(M8:N16)</f>
        <v>0</v>
      </c>
      <c r="N17" s="1016"/>
      <c r="P17" s="1015">
        <f>SUM(P8:Q16)</f>
        <v>0</v>
      </c>
      <c r="Q17" s="1016"/>
      <c r="S17" s="1015">
        <f>SUM(S8:T16)</f>
        <v>0</v>
      </c>
      <c r="T17" s="1016"/>
      <c r="V17" s="1454"/>
      <c r="W17" s="145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18">
        <f>440000+0.06*440000</f>
        <v>466400</v>
      </c>
      <c r="H19" s="1419"/>
      <c r="J19" s="515"/>
      <c r="K19" s="512"/>
      <c r="L19" s="515"/>
      <c r="M19" s="515"/>
      <c r="N19" s="512"/>
      <c r="P19" s="515"/>
      <c r="Q19" s="512"/>
      <c r="S19" s="1418">
        <f>G19</f>
        <v>466400</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v>5000</v>
      </c>
      <c r="H21" s="1419"/>
      <c r="J21" s="515"/>
      <c r="K21" s="512"/>
      <c r="L21" s="515"/>
      <c r="M21" s="1418"/>
      <c r="N21" s="1419"/>
      <c r="P21" s="515"/>
      <c r="Q21" s="512"/>
      <c r="S21" s="1418">
        <f>G21</f>
        <v>5000</v>
      </c>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5">
        <f>SUM(G19:H22)</f>
        <v>471400</v>
      </c>
      <c r="H23" s="1016"/>
      <c r="J23" s="515"/>
      <c r="K23" s="512"/>
      <c r="L23" s="515"/>
      <c r="M23" s="1015">
        <f>SUM(M21:N22)</f>
        <v>0</v>
      </c>
      <c r="N23" s="1016"/>
      <c r="P23" s="515"/>
      <c r="Q23" s="512"/>
      <c r="S23" s="1015">
        <f>SUM(S19:T22)</f>
        <v>471400</v>
      </c>
      <c r="T23" s="1016"/>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990215</v>
      </c>
      <c r="H25" s="1419"/>
      <c r="J25" s="1452">
        <f>G25</f>
        <v>990215</v>
      </c>
      <c r="K25" s="1453"/>
      <c r="L25" s="843"/>
      <c r="M25" s="1452"/>
      <c r="N25" s="1453"/>
      <c r="P25" s="1452"/>
      <c r="Q25" s="1453"/>
      <c r="S25" s="1418"/>
      <c r="T25" s="1419"/>
      <c r="V25" s="1448"/>
      <c r="W25" s="1449"/>
    </row>
    <row r="26" spans="2:23" s="449" customFormat="1" ht="12.6" customHeight="1" thickBot="1">
      <c r="B26" s="449" t="s">
        <v>1635</v>
      </c>
      <c r="G26" s="1418"/>
      <c r="H26" s="1419"/>
      <c r="J26" s="1452"/>
      <c r="K26" s="1453"/>
      <c r="L26" s="516"/>
      <c r="M26" s="1029"/>
      <c r="N26" s="1029"/>
      <c r="P26" s="1029"/>
      <c r="Q26" s="1029"/>
      <c r="S26" s="1418"/>
      <c r="T26" s="1419"/>
      <c r="V26" s="1450"/>
      <c r="W26" s="1451"/>
    </row>
    <row r="27" spans="2:23" s="449" customFormat="1" ht="12.6" customHeight="1" thickTop="1">
      <c r="F27" s="513" t="s">
        <v>230</v>
      </c>
      <c r="G27" s="1015">
        <f>SUM(G25:H26)</f>
        <v>990215</v>
      </c>
      <c r="H27" s="1016"/>
      <c r="J27" s="1015">
        <f>SUM(J25:K26)</f>
        <v>990215</v>
      </c>
      <c r="K27" s="1016"/>
      <c r="L27" s="515"/>
      <c r="M27" s="1015">
        <f>M25</f>
        <v>0</v>
      </c>
      <c r="N27" s="1016"/>
      <c r="P27" s="1015">
        <f>P25</f>
        <v>0</v>
      </c>
      <c r="Q27" s="1016"/>
      <c r="S27" s="1015">
        <f>SUM(S25:T26)</f>
        <v>0</v>
      </c>
      <c r="T27" s="1016"/>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3379033</v>
      </c>
      <c r="H29" s="1419"/>
      <c r="J29" s="1418">
        <f>G29</f>
        <v>3379033</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v>192156</v>
      </c>
      <c r="H31" s="1419"/>
      <c r="I31" s="449"/>
      <c r="J31" s="1418">
        <f>G31</f>
        <v>192156</v>
      </c>
      <c r="K31" s="1419"/>
      <c r="L31" s="843"/>
      <c r="M31" s="1418"/>
      <c r="N31" s="1419"/>
      <c r="O31" s="449"/>
      <c r="P31" s="1418"/>
      <c r="Q31" s="1419"/>
      <c r="R31" s="449"/>
      <c r="S31" s="1418"/>
      <c r="T31" s="1419"/>
      <c r="V31" s="1450"/>
      <c r="W31" s="1451"/>
    </row>
    <row r="32" spans="2:23" s="449" customFormat="1" ht="12.6" customHeight="1" thickTop="1">
      <c r="C32" s="1022"/>
      <c r="D32" s="1022"/>
      <c r="E32" s="845"/>
      <c r="F32" s="513" t="s">
        <v>230</v>
      </c>
      <c r="G32" s="1015">
        <f>SUM(G29:H31)</f>
        <v>3571189</v>
      </c>
      <c r="H32" s="1016"/>
      <c r="J32" s="1015">
        <f>SUM(J29:K31)</f>
        <v>3571189</v>
      </c>
      <c r="K32" s="1016"/>
      <c r="L32" s="843"/>
      <c r="M32" s="1015">
        <f>SUM(M29:N31)</f>
        <v>0</v>
      </c>
      <c r="N32" s="1016"/>
      <c r="P32" s="1015">
        <f>SUM(P29:Q31)</f>
        <v>0</v>
      </c>
      <c r="Q32" s="1016"/>
      <c r="S32" s="1015">
        <f>SUM(S29:T31)</f>
        <v>0</v>
      </c>
      <c r="T32" s="1016"/>
      <c r="V32" s="1454"/>
      <c r="W32" s="1455"/>
    </row>
    <row r="33" spans="1:23" s="449" customFormat="1" ht="13.15" customHeight="1">
      <c r="B33" s="452" t="s">
        <v>3268</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273684.24</v>
      </c>
      <c r="G34" s="1418">
        <v>273684</v>
      </c>
      <c r="H34" s="1419"/>
      <c r="I34" s="472"/>
      <c r="J34" s="1418">
        <f>G34</f>
        <v>273684</v>
      </c>
      <c r="K34" s="1419"/>
      <c r="L34" s="843"/>
      <c r="M34" s="1418"/>
      <c r="N34" s="1419"/>
      <c r="P34" s="1418"/>
      <c r="Q34" s="1419"/>
      <c r="S34" s="1418"/>
      <c r="T34" s="1419"/>
      <c r="V34" s="1448"/>
      <c r="W34" s="1449"/>
    </row>
    <row r="35" spans="1:23" s="449" customFormat="1" ht="12.6" customHeight="1" thickBot="1">
      <c r="B35" s="449" t="s">
        <v>2923</v>
      </c>
      <c r="E35" s="604">
        <f>'DCA Underwriting Assumptions'!$R$39+'DCA Underwriting Assumptions'!$R$40</f>
        <v>0.08</v>
      </c>
      <c r="F35" s="605">
        <f>E35*($G$27+$G$32)</f>
        <v>364912.32</v>
      </c>
      <c r="G35" s="1418">
        <v>364912</v>
      </c>
      <c r="H35" s="1419"/>
      <c r="I35" s="472"/>
      <c r="J35" s="1418">
        <f>G35</f>
        <v>364912</v>
      </c>
      <c r="K35" s="1419"/>
      <c r="L35" s="843"/>
      <c r="M35" s="1418"/>
      <c r="N35" s="1419"/>
      <c r="P35" s="1418"/>
      <c r="Q35" s="1419"/>
      <c r="S35" s="1418"/>
      <c r="T35" s="1419"/>
      <c r="V35" s="1450"/>
      <c r="W35" s="1451"/>
    </row>
    <row r="36" spans="1:23" s="449" customFormat="1" ht="12.6" customHeight="1" thickTop="1">
      <c r="B36" s="449" t="s">
        <v>2924</v>
      </c>
      <c r="D36" s="520"/>
      <c r="E36" s="833"/>
      <c r="F36" s="606" t="s">
        <v>230</v>
      </c>
      <c r="G36" s="1015">
        <f>SUM(G34:H35)</f>
        <v>638596</v>
      </c>
      <c r="H36" s="1016"/>
      <c r="J36" s="1015">
        <f>SUM(J34:K35)</f>
        <v>638596</v>
      </c>
      <c r="K36" s="1016"/>
      <c r="L36" s="515"/>
      <c r="M36" s="1015">
        <f>SUM(M34:N35)</f>
        <v>0</v>
      </c>
      <c r="N36" s="1016"/>
      <c r="P36" s="1015">
        <f>SUM(P34:Q35)</f>
        <v>0</v>
      </c>
      <c r="Q36" s="1016"/>
      <c r="S36" s="1015">
        <f>SUM(S34:T35)</f>
        <v>0</v>
      </c>
      <c r="T36" s="1016"/>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86666.666666666672</v>
      </c>
      <c r="E38" s="523"/>
      <c r="F38" s="524" t="s">
        <v>1974</v>
      </c>
      <c r="V38" s="1448"/>
      <c r="W38" s="1449"/>
    </row>
    <row r="39" spans="1:23" s="449" customFormat="1" ht="12.6" customHeight="1">
      <c r="B39" s="1030">
        <f>G27+G32+G36</f>
        <v>5200000</v>
      </c>
      <c r="C39" s="1031"/>
      <c r="D39" s="525">
        <f>B39/'Part VI-Revenues &amp; Expenses'!$M$100</f>
        <v>79.219987812309569</v>
      </c>
      <c r="E39" s="525"/>
      <c r="F39" s="526" t="s">
        <v>1242</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0.05</v>
      </c>
      <c r="G42" s="1418">
        <v>260000</v>
      </c>
      <c r="H42" s="1419"/>
      <c r="I42" s="449"/>
      <c r="J42" s="1418">
        <f>G42</f>
        <v>260000</v>
      </c>
      <c r="K42" s="1419"/>
      <c r="L42" s="843"/>
      <c r="M42" s="1418"/>
      <c r="N42" s="1419"/>
      <c r="O42" s="449"/>
      <c r="P42" s="1418"/>
      <c r="Q42" s="1419"/>
      <c r="R42" s="449"/>
      <c r="S42" s="1418"/>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3865</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18">
        <v>55213</v>
      </c>
      <c r="H48" s="1419"/>
      <c r="J48" s="1418">
        <v>41410</v>
      </c>
      <c r="K48" s="1419"/>
      <c r="L48" s="843"/>
      <c r="M48" s="1418"/>
      <c r="N48" s="1419"/>
      <c r="P48" s="1418"/>
      <c r="Q48" s="1419"/>
      <c r="S48" s="1418">
        <f>G48-J48</f>
        <v>13803</v>
      </c>
      <c r="T48" s="1419"/>
      <c r="V48" s="1448"/>
      <c r="W48" s="1449"/>
    </row>
    <row r="49" spans="1:23" s="449" customFormat="1" ht="12" customHeight="1">
      <c r="B49" s="449" t="s">
        <v>3272</v>
      </c>
      <c r="G49" s="1418">
        <v>248186</v>
      </c>
      <c r="H49" s="1419"/>
      <c r="J49" s="1418">
        <v>174750</v>
      </c>
      <c r="K49" s="1419"/>
      <c r="L49" s="843"/>
      <c r="M49" s="1418"/>
      <c r="N49" s="1419"/>
      <c r="P49" s="1418"/>
      <c r="Q49" s="1419"/>
      <c r="S49" s="1418">
        <f>G49-J49</f>
        <v>73436</v>
      </c>
      <c r="T49" s="1419"/>
      <c r="V49" s="1450"/>
      <c r="W49" s="1451"/>
    </row>
    <row r="50" spans="1:23" s="449" customFormat="1" ht="12" customHeight="1">
      <c r="B50" s="449" t="s">
        <v>3273</v>
      </c>
      <c r="G50" s="1418"/>
      <c r="H50" s="1419"/>
      <c r="J50" s="1418"/>
      <c r="K50" s="1419"/>
      <c r="L50" s="843"/>
      <c r="M50" s="1418"/>
      <c r="N50" s="1419"/>
      <c r="P50" s="1418"/>
      <c r="Q50" s="1419"/>
      <c r="S50" s="1418"/>
      <c r="T50" s="1419"/>
      <c r="V50" s="1450"/>
      <c r="W50" s="1451"/>
    </row>
    <row r="51" spans="1:23" s="449" customFormat="1" ht="12" customHeight="1">
      <c r="B51" s="449" t="s">
        <v>3934</v>
      </c>
      <c r="G51" s="1418">
        <v>11500</v>
      </c>
      <c r="H51" s="1419"/>
      <c r="J51" s="1418">
        <f>G51</f>
        <v>11500</v>
      </c>
      <c r="K51" s="1419"/>
      <c r="L51" s="843"/>
      <c r="M51" s="1418"/>
      <c r="N51" s="1419"/>
      <c r="P51" s="1418"/>
      <c r="Q51" s="1419"/>
      <c r="S51" s="1418"/>
      <c r="T51" s="1419"/>
      <c r="V51" s="1450"/>
      <c r="W51" s="1451"/>
    </row>
    <row r="52" spans="1:23" s="449" customFormat="1" ht="12" customHeight="1">
      <c r="B52" s="449" t="s">
        <v>1004</v>
      </c>
      <c r="G52" s="1418">
        <v>8021</v>
      </c>
      <c r="H52" s="1419"/>
      <c r="J52" s="1418">
        <f>G52</f>
        <v>8021</v>
      </c>
      <c r="K52" s="1419"/>
      <c r="L52" s="843"/>
      <c r="M52" s="1418"/>
      <c r="N52" s="1419"/>
      <c r="P52" s="1418"/>
      <c r="Q52" s="1419"/>
      <c r="S52" s="1418"/>
      <c r="T52" s="1419"/>
      <c r="V52" s="1450"/>
      <c r="W52" s="1451"/>
    </row>
    <row r="53" spans="1:23" s="449" customFormat="1" ht="12" customHeight="1">
      <c r="B53" s="449" t="s">
        <v>3274</v>
      </c>
      <c r="G53" s="1418">
        <v>20363</v>
      </c>
      <c r="H53" s="1419"/>
      <c r="J53" s="1418">
        <f>G53</f>
        <v>20363</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v>43110</v>
      </c>
      <c r="H55" s="1419"/>
      <c r="I55" s="472"/>
      <c r="J55" s="1418">
        <f>G55</f>
        <v>43110</v>
      </c>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3398</v>
      </c>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5">
        <f>SUM(G48:H56)</f>
        <v>386393</v>
      </c>
      <c r="H57" s="1016"/>
      <c r="J57" s="1015">
        <f>SUM(J48:K56)</f>
        <v>299154</v>
      </c>
      <c r="K57" s="1016"/>
      <c r="L57" s="515"/>
      <c r="M57" s="1015">
        <f>SUM(M48:N56)</f>
        <v>0</v>
      </c>
      <c r="N57" s="1016"/>
      <c r="P57" s="1015">
        <f>SUM(P48:Q56)</f>
        <v>0</v>
      </c>
      <c r="Q57" s="1016"/>
      <c r="S57" s="1015">
        <f>SUM(S48:T56)</f>
        <v>87239</v>
      </c>
      <c r="T57" s="1016"/>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176500</v>
      </c>
      <c r="H59" s="1419"/>
      <c r="J59" s="1418">
        <f>G59</f>
        <v>176500</v>
      </c>
      <c r="K59" s="1419"/>
      <c r="L59" s="843"/>
      <c r="M59" s="1418"/>
      <c r="N59" s="1419"/>
      <c r="P59" s="1418"/>
      <c r="Q59" s="1419"/>
      <c r="S59" s="1418"/>
      <c r="T59" s="1419"/>
      <c r="V59" s="1448"/>
      <c r="W59" s="1449"/>
    </row>
    <row r="60" spans="1:23" s="449" customFormat="1" ht="12" customHeight="1">
      <c r="B60" s="449" t="s">
        <v>663</v>
      </c>
      <c r="G60" s="1418"/>
      <c r="H60" s="1419"/>
      <c r="J60" s="1418"/>
      <c r="K60" s="1419"/>
      <c r="L60" s="843"/>
      <c r="M60" s="1418"/>
      <c r="N60" s="1419"/>
      <c r="P60" s="1418"/>
      <c r="Q60" s="1419"/>
      <c r="S60" s="1418"/>
      <c r="T60" s="1419"/>
      <c r="V60" s="1450"/>
      <c r="W60" s="1451"/>
    </row>
    <row r="61" spans="1:23" s="449" customFormat="1" ht="12" customHeight="1">
      <c r="B61" s="449" t="s">
        <v>1643</v>
      </c>
      <c r="G61" s="1418">
        <v>20000</v>
      </c>
      <c r="H61" s="1419"/>
      <c r="J61" s="1418">
        <f>G61</f>
        <v>20000</v>
      </c>
      <c r="K61" s="1419"/>
      <c r="L61" s="843"/>
      <c r="M61" s="1418"/>
      <c r="N61" s="1419"/>
      <c r="P61" s="1418"/>
      <c r="Q61" s="1419"/>
      <c r="S61" s="1418"/>
      <c r="T61" s="1419"/>
      <c r="V61" s="1450"/>
      <c r="W61" s="1451"/>
    </row>
    <row r="62" spans="1:23" s="449" customFormat="1" ht="12" customHeight="1">
      <c r="B62" s="449" t="s">
        <v>1644</v>
      </c>
      <c r="G62" s="1418">
        <v>23900</v>
      </c>
      <c r="H62" s="1419"/>
      <c r="J62" s="1418">
        <f>G62</f>
        <v>23900</v>
      </c>
      <c r="K62" s="1419"/>
      <c r="L62" s="843"/>
      <c r="M62" s="1418"/>
      <c r="N62" s="1419"/>
      <c r="P62" s="1418"/>
      <c r="Q62" s="1419"/>
      <c r="S62" s="1418"/>
      <c r="T62" s="1419"/>
      <c r="V62" s="1450"/>
      <c r="W62" s="1451"/>
    </row>
    <row r="63" spans="1:23" s="449" customFormat="1" ht="12" customHeight="1">
      <c r="B63" s="449" t="s">
        <v>1645</v>
      </c>
      <c r="G63" s="1418">
        <v>4500</v>
      </c>
      <c r="H63" s="1419"/>
      <c r="J63" s="1418">
        <f>G63</f>
        <v>4500</v>
      </c>
      <c r="K63" s="1419"/>
      <c r="L63" s="843"/>
      <c r="M63" s="1418"/>
      <c r="N63" s="1419"/>
      <c r="P63" s="1418"/>
      <c r="Q63" s="1419"/>
      <c r="S63" s="1418"/>
      <c r="T63" s="1419"/>
      <c r="V63" s="1450"/>
      <c r="W63" s="1451"/>
    </row>
    <row r="64" spans="1:23" s="449" customFormat="1" ht="12" customHeight="1">
      <c r="B64" s="449" t="s">
        <v>1646</v>
      </c>
      <c r="G64" s="1418"/>
      <c r="H64" s="1419"/>
      <c r="J64" s="1418"/>
      <c r="K64" s="1419"/>
      <c r="L64" s="843"/>
      <c r="M64" s="1418"/>
      <c r="N64" s="1419"/>
      <c r="P64" s="1418"/>
      <c r="Q64" s="1419"/>
      <c r="S64" s="1418"/>
      <c r="T64" s="1419"/>
      <c r="V64" s="1450"/>
      <c r="W64" s="1451"/>
    </row>
    <row r="65" spans="1:23" s="449" customFormat="1" ht="12" customHeight="1">
      <c r="B65" s="449" t="s">
        <v>664</v>
      </c>
      <c r="G65" s="1418">
        <v>72800</v>
      </c>
      <c r="H65" s="1419"/>
      <c r="J65" s="1418">
        <f>G65</f>
        <v>72800</v>
      </c>
      <c r="K65" s="1419"/>
      <c r="L65" s="843"/>
      <c r="M65" s="1418"/>
      <c r="N65" s="1419"/>
      <c r="P65" s="1418"/>
      <c r="Q65" s="1419"/>
      <c r="S65" s="1418"/>
      <c r="T65" s="1419"/>
      <c r="V65" s="1450"/>
      <c r="W65" s="1451"/>
    </row>
    <row r="66" spans="1:23" s="449" customFormat="1" ht="12" customHeight="1">
      <c r="B66" s="449" t="s">
        <v>665</v>
      </c>
      <c r="G66" s="1418">
        <v>90500</v>
      </c>
      <c r="H66" s="1419"/>
      <c r="J66" s="1418">
        <v>85000</v>
      </c>
      <c r="K66" s="1419"/>
      <c r="L66" s="843"/>
      <c r="M66" s="1418"/>
      <c r="N66" s="1419"/>
      <c r="P66" s="1418"/>
      <c r="Q66" s="1419"/>
      <c r="S66" s="1418">
        <f>G66-J66</f>
        <v>5500</v>
      </c>
      <c r="T66" s="1419"/>
      <c r="V66" s="1450"/>
      <c r="W66" s="1451"/>
    </row>
    <row r="67" spans="1:23" s="449" customFormat="1" ht="12" customHeight="1">
      <c r="B67" s="449" t="s">
        <v>2934</v>
      </c>
      <c r="G67" s="1418">
        <v>20500</v>
      </c>
      <c r="H67" s="1419"/>
      <c r="J67" s="1418">
        <f>G67</f>
        <v>20500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4080</v>
      </c>
      <c r="D68" s="1298"/>
      <c r="E68" s="1298"/>
      <c r="F68" s="1299"/>
      <c r="G68" s="1418">
        <v>43688</v>
      </c>
      <c r="H68" s="1419"/>
      <c r="J68" s="1418">
        <f>G68</f>
        <v>43688</v>
      </c>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5">
        <f>SUM(G59:H68)</f>
        <v>452388</v>
      </c>
      <c r="H69" s="1016"/>
      <c r="J69" s="1015">
        <f>SUM(J59:K68)</f>
        <v>446888</v>
      </c>
      <c r="K69" s="1016"/>
      <c r="L69" s="515"/>
      <c r="M69" s="1015">
        <f>SUM(M59:N68)</f>
        <v>0</v>
      </c>
      <c r="N69" s="1016"/>
      <c r="P69" s="1015">
        <f>SUM(P59:Q68)</f>
        <v>0</v>
      </c>
      <c r="Q69" s="1016"/>
      <c r="S69" s="1015">
        <f>SUM(S59:T68)</f>
        <v>5500</v>
      </c>
      <c r="T69" s="1016"/>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18060</v>
      </c>
      <c r="H71" s="1419"/>
      <c r="J71" s="1418">
        <f>G71</f>
        <v>18060</v>
      </c>
      <c r="K71" s="1419"/>
      <c r="L71" s="843"/>
      <c r="M71" s="1418"/>
      <c r="N71" s="1419"/>
      <c r="P71" s="1418"/>
      <c r="Q71" s="1419"/>
      <c r="S71" s="1418"/>
      <c r="T71" s="1419"/>
      <c r="V71" s="1460"/>
      <c r="W71" s="1461"/>
    </row>
    <row r="72" spans="1:23" s="449" customFormat="1" ht="12" customHeight="1">
      <c r="B72" s="449" t="s">
        <v>1826</v>
      </c>
      <c r="G72" s="1418"/>
      <c r="H72" s="1419"/>
      <c r="J72" s="1418"/>
      <c r="K72" s="1419"/>
      <c r="L72" s="843"/>
      <c r="M72" s="1418"/>
      <c r="N72" s="1419"/>
      <c r="P72" s="1418"/>
      <c r="Q72" s="1419"/>
      <c r="S72" s="1418"/>
      <c r="T72" s="1419"/>
      <c r="V72" s="1462"/>
      <c r="W72" s="1463"/>
    </row>
    <row r="73" spans="1:23" s="449" customFormat="1" ht="12" customHeight="1">
      <c r="B73" s="449" t="s">
        <v>1827</v>
      </c>
      <c r="D73" s="529" t="s">
        <v>1975</v>
      </c>
      <c r="E73" s="1464" t="s">
        <v>3983</v>
      </c>
      <c r="G73" s="1418">
        <v>147640</v>
      </c>
      <c r="H73" s="1419"/>
      <c r="I73" s="472"/>
      <c r="J73" s="1418">
        <f>G73</f>
        <v>147640</v>
      </c>
      <c r="K73" s="1419"/>
      <c r="L73" s="843"/>
      <c r="M73" s="1418"/>
      <c r="N73" s="1419"/>
      <c r="P73" s="1418"/>
      <c r="Q73" s="1419"/>
      <c r="S73" s="1418"/>
      <c r="T73" s="1419"/>
      <c r="V73" s="1462"/>
      <c r="W73" s="1463"/>
    </row>
    <row r="74" spans="1:23" s="449" customFormat="1" ht="12" customHeight="1" thickBot="1">
      <c r="B74" s="449" t="s">
        <v>1828</v>
      </c>
      <c r="D74" s="529" t="s">
        <v>1975</v>
      </c>
      <c r="E74" s="1464" t="s">
        <v>3983</v>
      </c>
      <c r="G74" s="1418">
        <v>134242</v>
      </c>
      <c r="H74" s="1419"/>
      <c r="I74" s="472"/>
      <c r="J74" s="1418">
        <f>G74</f>
        <v>134242</v>
      </c>
      <c r="K74" s="1419"/>
      <c r="L74" s="843"/>
      <c r="M74" s="1418"/>
      <c r="N74" s="1419"/>
      <c r="P74" s="1418"/>
      <c r="Q74" s="1419"/>
      <c r="S74" s="1418"/>
      <c r="T74" s="1419"/>
      <c r="V74" s="1462"/>
      <c r="W74" s="1463"/>
    </row>
    <row r="75" spans="1:23" s="449" customFormat="1" ht="12" customHeight="1" thickTop="1">
      <c r="F75" s="513" t="s">
        <v>230</v>
      </c>
      <c r="G75" s="1015">
        <f>SUM(G71:H74)</f>
        <v>299942</v>
      </c>
      <c r="H75" s="1016"/>
      <c r="J75" s="1015">
        <f>SUM(J71:K74)</f>
        <v>299942</v>
      </c>
      <c r="K75" s="1016"/>
      <c r="L75" s="515"/>
      <c r="M75" s="1015">
        <f>SUM(M71:N74)</f>
        <v>0</v>
      </c>
      <c r="N75" s="1016"/>
      <c r="P75" s="1015">
        <f>SUM(P71:Q74)</f>
        <v>0</v>
      </c>
      <c r="Q75" s="1016"/>
      <c r="S75" s="1015">
        <f>SUM(S71:T74)</f>
        <v>0</v>
      </c>
      <c r="T75" s="1016"/>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v>7100</v>
      </c>
      <c r="H77" s="1419"/>
      <c r="J77" s="1009"/>
      <c r="K77" s="1009"/>
      <c r="L77" s="843"/>
      <c r="M77" s="1009"/>
      <c r="N77" s="1009"/>
      <c r="P77" s="1009"/>
      <c r="Q77" s="1009"/>
      <c r="S77" s="1418">
        <f>G77</f>
        <v>7100</v>
      </c>
      <c r="T77" s="1419"/>
      <c r="V77" s="1460"/>
      <c r="W77" s="1461"/>
    </row>
    <row r="78" spans="1:23" s="449" customFormat="1" ht="12" customHeight="1">
      <c r="B78" s="449" t="s">
        <v>1830</v>
      </c>
      <c r="G78" s="1418"/>
      <c r="H78" s="1419"/>
      <c r="J78" s="1027"/>
      <c r="K78" s="1027"/>
      <c r="L78" s="843"/>
      <c r="M78" s="1027"/>
      <c r="N78" s="1027"/>
      <c r="P78" s="1027"/>
      <c r="Q78" s="1027"/>
      <c r="S78" s="1418"/>
      <c r="T78" s="1419"/>
      <c r="V78" s="1462"/>
      <c r="W78" s="1463"/>
    </row>
    <row r="79" spans="1:23" s="449" customFormat="1" ht="12" customHeight="1">
      <c r="B79" s="449" t="s">
        <v>1831</v>
      </c>
      <c r="G79" s="1418">
        <v>14000</v>
      </c>
      <c r="H79" s="1419"/>
      <c r="J79" s="1418">
        <v>11200</v>
      </c>
      <c r="K79" s="1419"/>
      <c r="L79" s="843"/>
      <c r="M79" s="1418"/>
      <c r="N79" s="1419"/>
      <c r="P79" s="1418"/>
      <c r="Q79" s="1419"/>
      <c r="S79" s="1418">
        <f>G79-J79</f>
        <v>2800</v>
      </c>
      <c r="T79" s="1419"/>
      <c r="V79" s="1462"/>
      <c r="W79" s="1463"/>
    </row>
    <row r="80" spans="1:23" s="449" customFormat="1" ht="12" customHeight="1">
      <c r="B80" s="449" t="s">
        <v>1832</v>
      </c>
      <c r="G80" s="1418">
        <v>8000</v>
      </c>
      <c r="H80" s="1419"/>
      <c r="J80" s="1418">
        <f>G80</f>
        <v>8000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3216</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3398</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5">
        <f>SUM(G77:H83)</f>
        <v>29100</v>
      </c>
      <c r="H84" s="1016"/>
      <c r="J84" s="1015">
        <f>SUM(J79:K83)</f>
        <v>19200</v>
      </c>
      <c r="K84" s="1016"/>
      <c r="L84" s="515"/>
      <c r="M84" s="1015">
        <f>SUM(M79:N83)</f>
        <v>0</v>
      </c>
      <c r="N84" s="1016"/>
      <c r="P84" s="1015">
        <f>SUM(P79:Q83)</f>
        <v>0</v>
      </c>
      <c r="Q84" s="1016"/>
      <c r="S84" s="1015">
        <f>SUM(S77:T83)</f>
        <v>9900</v>
      </c>
      <c r="T84" s="1016"/>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3865</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c r="H89" s="1419"/>
      <c r="J89" s="515"/>
      <c r="K89" s="515"/>
      <c r="L89" s="843"/>
      <c r="M89" s="515"/>
      <c r="N89" s="515"/>
      <c r="P89" s="515"/>
      <c r="Q89" s="515"/>
      <c r="S89" s="1418"/>
      <c r="T89" s="1419"/>
      <c r="V89" s="1460"/>
      <c r="W89" s="1461"/>
    </row>
    <row r="90" spans="1:23" s="449" customFormat="1" ht="12.6" customHeight="1">
      <c r="B90" s="449" t="s">
        <v>1735</v>
      </c>
      <c r="G90" s="1418">
        <v>6500</v>
      </c>
      <c r="H90" s="1419"/>
      <c r="J90" s="515"/>
      <c r="K90" s="515"/>
      <c r="L90" s="530"/>
      <c r="M90" s="515"/>
      <c r="N90" s="515"/>
      <c r="P90" s="515"/>
      <c r="Q90" s="515"/>
      <c r="S90" s="1418">
        <f>G90</f>
        <v>6500</v>
      </c>
      <c r="T90" s="1419"/>
      <c r="V90" s="1462"/>
      <c r="W90" s="1463"/>
    </row>
    <row r="91" spans="1:23" s="449" customFormat="1" ht="12.6" customHeight="1">
      <c r="B91" s="449" t="s">
        <v>3953</v>
      </c>
      <c r="G91" s="1418">
        <v>1000</v>
      </c>
      <c r="H91" s="1419"/>
      <c r="J91" s="515"/>
      <c r="K91" s="515"/>
      <c r="L91" s="530"/>
      <c r="M91" s="515"/>
      <c r="N91" s="515"/>
      <c r="O91" s="833"/>
      <c r="P91" s="515"/>
      <c r="Q91" s="515"/>
      <c r="S91" s="1418">
        <f>G91</f>
        <v>1000</v>
      </c>
      <c r="T91" s="1419"/>
      <c r="V91" s="1462"/>
      <c r="W91" s="1463"/>
    </row>
    <row r="92" spans="1:23" s="449" customFormat="1" ht="12.6" customHeight="1">
      <c r="B92" s="449" t="s">
        <v>754</v>
      </c>
      <c r="E92" s="1032">
        <f>'DCA Underwriting Assumptions'!$Q$41*$J$165</f>
        <v>57205.274720000001</v>
      </c>
      <c r="F92" s="1033"/>
      <c r="G92" s="1418">
        <v>57205</v>
      </c>
      <c r="H92" s="1419"/>
      <c r="J92" s="515"/>
      <c r="K92" s="515"/>
      <c r="L92" s="843"/>
      <c r="M92" s="515"/>
      <c r="N92" s="515"/>
      <c r="O92" s="833"/>
      <c r="P92" s="515"/>
      <c r="Q92" s="515"/>
      <c r="S92" s="1418">
        <f>G92</f>
        <v>57205</v>
      </c>
      <c r="T92" s="1419"/>
      <c r="V92" s="1462"/>
      <c r="W92" s="1463"/>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48000</v>
      </c>
      <c r="F93" s="1033"/>
      <c r="G93" s="1418">
        <v>48000</v>
      </c>
      <c r="H93" s="1419"/>
      <c r="J93" s="416"/>
      <c r="K93" s="416"/>
      <c r="L93" s="416"/>
      <c r="M93" s="416"/>
      <c r="N93" s="416"/>
      <c r="O93" s="416"/>
      <c r="P93" s="416"/>
      <c r="Q93" s="416"/>
      <c r="S93" s="1418">
        <f>G93</f>
        <v>48000</v>
      </c>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3315</v>
      </c>
      <c r="G95" s="1418">
        <v>3000</v>
      </c>
      <c r="H95" s="1419"/>
      <c r="J95" s="416"/>
      <c r="K95" s="416"/>
      <c r="L95" s="416"/>
      <c r="M95" s="416"/>
      <c r="N95" s="416"/>
      <c r="O95" s="416"/>
      <c r="P95" s="416"/>
      <c r="Q95" s="416"/>
      <c r="S95" s="1418">
        <f>G95</f>
        <v>3000</v>
      </c>
      <c r="T95" s="1419"/>
      <c r="V95" s="1462"/>
      <c r="W95" s="1463"/>
    </row>
    <row r="96" spans="1:23" s="449" customFormat="1" ht="12.6" customHeight="1">
      <c r="A96" s="548" t="str">
        <f>IF(AND(G96&gt;0,OR(C96="",C96="&lt;Enter detailed description here; use Comments section if needed&gt;")),"X","")</f>
        <v/>
      </c>
      <c r="B96" s="449" t="s">
        <v>1137</v>
      </c>
      <c r="C96" s="1298" t="s">
        <v>3398</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3398</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5">
        <f>SUM(G89:H97)</f>
        <v>115705</v>
      </c>
      <c r="H98" s="1016"/>
      <c r="J98" s="515"/>
      <c r="K98" s="515"/>
      <c r="L98" s="843"/>
      <c r="M98" s="515"/>
      <c r="N98" s="515"/>
      <c r="P98" s="515"/>
      <c r="Q98" s="515"/>
      <c r="S98" s="1015">
        <f>SUM(S89:T97)</f>
        <v>115705</v>
      </c>
      <c r="T98" s="1016"/>
      <c r="V98" s="1465"/>
      <c r="W98" s="146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2500</v>
      </c>
      <c r="H100" s="1419"/>
      <c r="J100" s="1009"/>
      <c r="K100" s="1009"/>
      <c r="L100" s="843"/>
      <c r="M100" s="1009"/>
      <c r="N100" s="1009"/>
      <c r="O100" s="833"/>
      <c r="P100" s="1009"/>
      <c r="Q100" s="1009"/>
      <c r="S100" s="1418">
        <f>G100</f>
        <v>2500</v>
      </c>
      <c r="T100" s="1419"/>
      <c r="V100" s="1460"/>
      <c r="W100" s="1461"/>
    </row>
    <row r="101" spans="1:23" s="449" customFormat="1" ht="12.6" customHeight="1">
      <c r="B101" s="449" t="s">
        <v>346</v>
      </c>
      <c r="G101" s="1418"/>
      <c r="H101" s="1419"/>
      <c r="J101" s="1009"/>
      <c r="K101" s="1009"/>
      <c r="L101" s="843"/>
      <c r="M101" s="1009"/>
      <c r="N101" s="1009"/>
      <c r="O101" s="833"/>
      <c r="P101" s="1009"/>
      <c r="Q101" s="1009"/>
      <c r="S101" s="1418"/>
      <c r="T101" s="1419"/>
      <c r="V101" s="1462"/>
      <c r="W101" s="1463"/>
    </row>
    <row r="102" spans="1:23" s="449" customFormat="1" ht="12.6" customHeight="1">
      <c r="B102" s="449" t="s">
        <v>3359</v>
      </c>
      <c r="G102" s="1418"/>
      <c r="H102" s="1419"/>
      <c r="J102" s="1009"/>
      <c r="K102" s="1009"/>
      <c r="L102" s="843"/>
      <c r="M102" s="1009"/>
      <c r="N102" s="1009"/>
      <c r="O102" s="833"/>
      <c r="P102" s="1009"/>
      <c r="Q102" s="1009"/>
      <c r="S102" s="1418"/>
      <c r="T102" s="1419"/>
      <c r="V102" s="1462"/>
      <c r="W102" s="1463"/>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18"/>
      <c r="H103" s="1419"/>
      <c r="J103" s="1009"/>
      <c r="K103" s="1009"/>
      <c r="L103" s="843"/>
      <c r="M103" s="1009"/>
      <c r="N103" s="1009"/>
      <c r="O103" s="833"/>
      <c r="P103" s="1009"/>
      <c r="Q103" s="1009"/>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5">
        <f>SUM(G100:H103)</f>
        <v>2500</v>
      </c>
      <c r="H104" s="1016"/>
      <c r="J104" s="1009"/>
      <c r="K104" s="1009"/>
      <c r="L104" s="843"/>
      <c r="M104" s="1009"/>
      <c r="N104" s="1009"/>
      <c r="O104" s="833"/>
      <c r="P104" s="1009"/>
      <c r="Q104" s="1009"/>
      <c r="S104" s="1015">
        <f>SUM(S100:T103)</f>
        <v>2500</v>
      </c>
      <c r="T104" s="1016"/>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v>
      </c>
      <c r="G106" s="1418"/>
      <c r="H106" s="1419"/>
      <c r="J106" s="1418"/>
      <c r="K106" s="1419"/>
      <c r="L106" s="514"/>
      <c r="M106" s="1418"/>
      <c r="N106" s="1419"/>
      <c r="P106" s="1418"/>
      <c r="Q106" s="1419"/>
      <c r="S106" s="1418"/>
      <c r="T106" s="1419"/>
      <c r="V106" s="1460"/>
      <c r="W106" s="1461"/>
    </row>
    <row r="107" spans="1:23" s="449" customFormat="1" ht="12.6" customHeight="1">
      <c r="B107" s="449" t="s">
        <v>2732</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2724</v>
      </c>
      <c r="F108" s="624">
        <f>G108/$G$109</f>
        <v>1</v>
      </c>
      <c r="G108" s="1418">
        <v>1058430</v>
      </c>
      <c r="H108" s="1419"/>
      <c r="J108" s="1418">
        <f>G108</f>
        <v>1058430</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5">
        <f>SUM(G106:H108)</f>
        <v>1058430</v>
      </c>
      <c r="H109" s="1016"/>
      <c r="J109" s="1015">
        <f>SUM(J106:K108)</f>
        <v>1058430</v>
      </c>
      <c r="K109" s="1016"/>
      <c r="L109" s="843"/>
      <c r="M109" s="1015">
        <f>SUM(M106:N108)</f>
        <v>0</v>
      </c>
      <c r="N109" s="1016"/>
      <c r="P109" s="1015">
        <f>SUM(P106:Q108)</f>
        <v>0</v>
      </c>
      <c r="Q109" s="1016"/>
      <c r="S109" s="1015">
        <f>SUM(S106:T108)</f>
        <v>0</v>
      </c>
      <c r="T109" s="1016"/>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18000</v>
      </c>
      <c r="H111" s="1419"/>
      <c r="J111" s="531"/>
      <c r="K111" s="531"/>
      <c r="L111" s="531"/>
      <c r="M111" s="531"/>
      <c r="N111" s="531"/>
      <c r="P111" s="531"/>
      <c r="Q111" s="531"/>
      <c r="S111" s="1418">
        <f>G111</f>
        <v>18000</v>
      </c>
      <c r="T111" s="1419"/>
      <c r="V111" s="1460"/>
      <c r="W111" s="1461"/>
    </row>
    <row r="112" spans="1:23" s="449" customFormat="1" ht="12.6" customHeight="1">
      <c r="B112" s="449" t="s">
        <v>2137</v>
      </c>
      <c r="G112" s="1418">
        <v>60000</v>
      </c>
      <c r="H112" s="1419"/>
      <c r="J112" s="1009"/>
      <c r="K112" s="1009"/>
      <c r="L112" s="843"/>
      <c r="M112" s="1009"/>
      <c r="N112" s="1009"/>
      <c r="O112" s="833"/>
      <c r="P112" s="1009"/>
      <c r="Q112" s="1009"/>
      <c r="R112" s="833"/>
      <c r="S112" s="1418">
        <f>G112</f>
        <v>60000</v>
      </c>
      <c r="T112" s="1419"/>
      <c r="V112" s="1462"/>
      <c r="W112" s="1463"/>
    </row>
    <row r="113" spans="1:23" s="449" customFormat="1" ht="12.6" customHeight="1">
      <c r="B113" s="449" t="s">
        <v>948</v>
      </c>
      <c r="F113" s="472"/>
      <c r="G113" s="1418">
        <v>153028</v>
      </c>
      <c r="H113" s="1419"/>
      <c r="J113" s="530"/>
      <c r="K113" s="530"/>
      <c r="L113" s="530"/>
      <c r="M113" s="530"/>
      <c r="N113" s="530"/>
      <c r="O113" s="833"/>
      <c r="P113" s="530"/>
      <c r="Q113" s="530"/>
      <c r="R113" s="833"/>
      <c r="S113" s="1418">
        <f>G113</f>
        <v>153028</v>
      </c>
      <c r="T113" s="1419"/>
      <c r="V113" s="1462"/>
      <c r="W113" s="1463"/>
    </row>
    <row r="114" spans="1:23" s="449" customFormat="1" ht="12.6" customHeight="1">
      <c r="B114" s="449" t="s">
        <v>1796</v>
      </c>
      <c r="G114" s="1418">
        <v>15000</v>
      </c>
      <c r="H114" s="1419"/>
      <c r="J114" s="531"/>
      <c r="K114" s="531"/>
      <c r="L114" s="531"/>
      <c r="M114" s="531"/>
      <c r="N114" s="531"/>
      <c r="P114" s="531"/>
      <c r="Q114" s="531"/>
      <c r="S114" s="1418">
        <f>G114</f>
        <v>15000</v>
      </c>
      <c r="T114" s="1419"/>
      <c r="V114" s="1462"/>
      <c r="W114" s="1463"/>
    </row>
    <row r="115" spans="1:23" s="449" customFormat="1" ht="12.6" customHeight="1">
      <c r="B115" s="449" t="s">
        <v>1797</v>
      </c>
      <c r="E115" s="449" t="s">
        <v>1370</v>
      </c>
      <c r="F115" s="792">
        <f>G115/'Part VI-Revenues &amp; Expenses'!$M$62</f>
        <v>500</v>
      </c>
      <c r="G115" s="1418">
        <v>30000</v>
      </c>
      <c r="H115" s="1419"/>
      <c r="J115" s="1418">
        <f>G115</f>
        <v>30000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5">
        <f>SUM(G111:H116)</f>
        <v>276028</v>
      </c>
      <c r="H117" s="1016"/>
      <c r="J117" s="1015">
        <f>SUM(J115:K116)</f>
        <v>30000</v>
      </c>
      <c r="K117" s="1016"/>
      <c r="L117" s="843"/>
      <c r="M117" s="1015">
        <f>SUM(M115:N116)</f>
        <v>0</v>
      </c>
      <c r="N117" s="1016"/>
      <c r="P117" s="1015">
        <f>SUM(P115:Q116)</f>
        <v>0</v>
      </c>
      <c r="Q117" s="1016"/>
      <c r="S117" s="1015">
        <f>SUM(S111:T116)</f>
        <v>246028</v>
      </c>
      <c r="T117" s="1016"/>
      <c r="V117" s="1465"/>
      <c r="W117" s="146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8">
        <f>G17+G23+G27+G32+G36+G42+G57+G69+G75+G84+G98+G104+G109+G117+G121</f>
        <v>8586036</v>
      </c>
      <c r="H123" s="1049"/>
      <c r="J123" s="1048">
        <f>J17+J23+J27+J32+J36+J42+J57+J69+J75+J84+J98+J104+J109+J117+J121</f>
        <v>7647764</v>
      </c>
      <c r="K123" s="1049"/>
      <c r="M123" s="1048">
        <f>M17+M23+M27+M32+M36+M42+M57+M69+M75+M84+M98+M104+M109+M117+M121</f>
        <v>0</v>
      </c>
      <c r="N123" s="1049"/>
      <c r="P123" s="1048">
        <f>P17+P23+P27+P32+P36+P42+P57+P69+P75+P84+P98+P104+P109+P117+P121</f>
        <v>0</v>
      </c>
      <c r="Q123" s="1049"/>
      <c r="S123" s="1048">
        <f>S17+S23+S27+S32+S36+S42+S57+S69+S75+S84+S98+S104+S109+S117+S121</f>
        <v>938272</v>
      </c>
      <c r="T123" s="1049"/>
      <c r="V123" s="1465"/>
      <c r="W123" s="1466"/>
    </row>
    <row r="124" spans="1:23" s="449" customFormat="1" ht="3" customHeight="1" thickBot="1">
      <c r="C124" s="826"/>
      <c r="H124" s="528"/>
      <c r="I124" s="528"/>
      <c r="L124" s="833"/>
    </row>
    <row r="125" spans="1:23" s="449" customFormat="1" ht="13.9" customHeight="1" thickBot="1">
      <c r="B125" s="456" t="s">
        <v>3621</v>
      </c>
      <c r="D125" s="1074">
        <f>IF(AND($T$155 = "Yes", 'Part IX A-Scoring Criteria'!$O$246 &gt; 0),'DCA Underwriting Assumptions'!$R$13, IF(AND('Part IV-Uses of Funds'!$T$156="Yes", 'Part IX A-Scoring Criteria'!$O$67&gt;0),'DCA Underwriting Assumptions'!$R$12, 'DCA Underwriting Assumptions'!$R$11))</f>
        <v>9454620</v>
      </c>
      <c r="E125" s="1075"/>
      <c r="F125" s="452" t="s">
        <v>957</v>
      </c>
      <c r="G125" s="1053">
        <f>G123/'Part VI-Revenues &amp; Expenses'!$M$62</f>
        <v>143100.6</v>
      </c>
      <c r="H125" s="1054"/>
      <c r="I125" s="533"/>
      <c r="J125" s="456" t="s">
        <v>958</v>
      </c>
      <c r="M125" s="1053">
        <f>G123/'Part VI-Revenues &amp; Expenses'!$M$100</f>
        <v>130.80493601462524</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3044</v>
      </c>
      <c r="D132" s="833"/>
      <c r="E132" s="833"/>
      <c r="F132" s="833"/>
      <c r="G132" s="833"/>
      <c r="H132" s="833"/>
      <c r="I132" s="535"/>
      <c r="J132" s="1467"/>
      <c r="K132" s="1468"/>
      <c r="P132" s="1467"/>
      <c r="Q132" s="1468"/>
      <c r="V132" s="1462"/>
      <c r="W132" s="1463"/>
    </row>
    <row r="133" spans="2:23" s="449" customFormat="1" ht="13.9" customHeight="1">
      <c r="B133" s="833" t="s">
        <v>2734</v>
      </c>
      <c r="D133" s="833"/>
      <c r="E133" s="833"/>
      <c r="I133" s="535"/>
      <c r="J133" s="1467"/>
      <c r="K133" s="1468"/>
      <c r="P133" s="1467"/>
      <c r="Q133" s="1468"/>
      <c r="V133" s="1462"/>
      <c r="W133" s="1463"/>
    </row>
    <row r="134" spans="2:23" s="449" customFormat="1" ht="13.9" customHeight="1">
      <c r="B134" s="833" t="s">
        <v>2735</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3398</v>
      </c>
      <c r="D136" s="1298"/>
      <c r="E136" s="1298"/>
      <c r="F136" s="1298"/>
      <c r="G136" s="1298"/>
      <c r="H136" s="1298"/>
      <c r="I136" s="1299"/>
      <c r="J136" s="1467"/>
      <c r="K136" s="1468"/>
      <c r="P136" s="1467"/>
      <c r="Q136" s="1468"/>
      <c r="V136" s="1462"/>
      <c r="W136" s="1463"/>
    </row>
    <row r="137" spans="2:23" s="449" customFormat="1" ht="13.9" customHeight="1" thickBot="1">
      <c r="B137" s="461" t="s">
        <v>2736</v>
      </c>
      <c r="C137" s="464"/>
      <c r="J137" s="978">
        <f>SUM(J131:K136)</f>
        <v>0</v>
      </c>
      <c r="K137" s="979"/>
      <c r="P137" s="978">
        <f>SUM(P131:Q136)</f>
        <v>0</v>
      </c>
      <c r="Q137" s="979"/>
      <c r="V137" s="1465"/>
      <c r="W137" s="146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34">
        <f>J123</f>
        <v>7647764</v>
      </c>
      <c r="K140" s="1035"/>
      <c r="M140" s="1050">
        <f>M123</f>
        <v>0</v>
      </c>
      <c r="N140" s="1051"/>
      <c r="P140" s="1034">
        <f>P123</f>
        <v>0</v>
      </c>
      <c r="Q140" s="1035"/>
      <c r="V140" s="1460"/>
      <c r="W140" s="1461"/>
    </row>
    <row r="141" spans="2:23" s="449" customFormat="1" ht="13.9" customHeight="1">
      <c r="B141" s="449" t="s">
        <v>3128</v>
      </c>
      <c r="J141" s="1036">
        <f>J137</f>
        <v>0</v>
      </c>
      <c r="K141" s="1037"/>
      <c r="M141" s="1040"/>
      <c r="N141" s="1040"/>
      <c r="P141" s="1036">
        <f>P137</f>
        <v>0</v>
      </c>
      <c r="Q141" s="1037"/>
      <c r="V141" s="1462"/>
      <c r="W141" s="1463"/>
    </row>
    <row r="142" spans="2:23" s="449" customFormat="1" ht="13.9" customHeight="1">
      <c r="B142" s="449" t="s">
        <v>3129</v>
      </c>
      <c r="J142" s="1036">
        <f>J140-J141</f>
        <v>7647764</v>
      </c>
      <c r="K142" s="1037"/>
      <c r="M142" s="1036">
        <f>M140</f>
        <v>0</v>
      </c>
      <c r="N142" s="1037"/>
      <c r="P142" s="1036">
        <f>P140-P141</f>
        <v>0</v>
      </c>
      <c r="Q142" s="1037"/>
      <c r="V142" s="1462"/>
      <c r="W142" s="1463"/>
    </row>
    <row r="143" spans="2:23" s="449" customFormat="1" ht="13.9" customHeight="1">
      <c r="B143" s="449" t="s">
        <v>2080</v>
      </c>
      <c r="G143" s="830" t="s">
        <v>2563</v>
      </c>
      <c r="H143" s="1286" t="s">
        <v>4064</v>
      </c>
      <c r="I143" s="1287"/>
      <c r="J143" s="1469">
        <v>1.25</v>
      </c>
      <c r="K143" s="1470"/>
      <c r="M143" s="1052"/>
      <c r="N143" s="1052"/>
      <c r="P143" s="1469"/>
      <c r="Q143" s="1470"/>
      <c r="V143" s="1462"/>
      <c r="W143" s="1463"/>
    </row>
    <row r="144" spans="2:23" s="449" customFormat="1" ht="13.9" customHeight="1">
      <c r="B144" s="449" t="s">
        <v>2942</v>
      </c>
      <c r="J144" s="1036">
        <f>J142*J143</f>
        <v>9559705</v>
      </c>
      <c r="K144" s="1037"/>
      <c r="M144" s="1036">
        <f>+M142</f>
        <v>0</v>
      </c>
      <c r="N144" s="1037"/>
      <c r="P144" s="1036">
        <f>P142*P143</f>
        <v>0</v>
      </c>
      <c r="Q144" s="1037"/>
      <c r="V144" s="1462"/>
      <c r="W144" s="1463"/>
    </row>
    <row r="145" spans="1:23" s="449" customFormat="1" ht="13.9" customHeight="1">
      <c r="B145" s="449" t="s">
        <v>3566</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62"/>
      <c r="W145" s="1463"/>
    </row>
    <row r="146" spans="1:23" s="449" customFormat="1" ht="13.9" customHeight="1">
      <c r="B146" s="449" t="s">
        <v>2930</v>
      </c>
      <c r="J146" s="1036">
        <f>J144*J145</f>
        <v>9559705</v>
      </c>
      <c r="K146" s="1037"/>
      <c r="M146" s="1036">
        <f>M144*M145</f>
        <v>0</v>
      </c>
      <c r="N146" s="1037"/>
      <c r="P146" s="1036">
        <f>P144*P145</f>
        <v>0</v>
      </c>
      <c r="Q146" s="1037"/>
      <c r="V146" s="1462"/>
      <c r="W146" s="1463"/>
    </row>
    <row r="147" spans="1:23" s="449" customFormat="1" ht="13.9" customHeight="1">
      <c r="B147" s="449" t="s">
        <v>2931</v>
      </c>
      <c r="J147" s="1469">
        <v>7.4800000000000005E-2</v>
      </c>
      <c r="K147" s="1470"/>
      <c r="M147" s="1469"/>
      <c r="N147" s="1470"/>
      <c r="P147" s="1469"/>
      <c r="Q147" s="1470"/>
      <c r="V147" s="1462"/>
      <c r="W147" s="1463"/>
    </row>
    <row r="148" spans="1:23" s="449" customFormat="1" ht="13.9" customHeight="1" thickBot="1">
      <c r="B148" s="449" t="s">
        <v>3567</v>
      </c>
      <c r="J148" s="1046">
        <f>J146*J147</f>
        <v>715065.93400000001</v>
      </c>
      <c r="K148" s="1047"/>
      <c r="M148" s="1046">
        <f>M146*M147</f>
        <v>0</v>
      </c>
      <c r="N148" s="1047"/>
      <c r="P148" s="1046">
        <f>P146*P147</f>
        <v>0</v>
      </c>
      <c r="Q148" s="1047"/>
      <c r="V148" s="1462"/>
      <c r="W148" s="1463"/>
    </row>
    <row r="149" spans="1:23" s="449" customFormat="1" ht="13.9" customHeight="1" thickBot="1">
      <c r="B149" s="452" t="s">
        <v>2004</v>
      </c>
      <c r="J149" s="978">
        <f>J148+M148+P148</f>
        <v>715065.93400000001</v>
      </c>
      <c r="K149" s="1045"/>
      <c r="L149" s="1045"/>
      <c r="M149" s="1045"/>
      <c r="N149" s="1045"/>
      <c r="O149" s="1045"/>
      <c r="P149" s="1045"/>
      <c r="Q149" s="979"/>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8586036</v>
      </c>
      <c r="K152" s="1062"/>
      <c r="L152" s="1062"/>
      <c r="M152" s="1067" t="s">
        <v>3957</v>
      </c>
      <c r="N152" s="1068"/>
      <c r="O152" s="1068"/>
      <c r="P152" s="1068"/>
      <c r="Q152" s="1068"/>
      <c r="R152" s="1069"/>
      <c r="S152" s="1057"/>
      <c r="T152" s="1058"/>
      <c r="V152" s="1460"/>
      <c r="W152" s="1461"/>
    </row>
    <row r="153" spans="1:23" s="449" customFormat="1" ht="13.9" customHeight="1">
      <c r="B153" s="449" t="s">
        <v>2491</v>
      </c>
      <c r="J153" s="1471">
        <f>G123</f>
        <v>8586036</v>
      </c>
      <c r="K153" s="1472"/>
      <c r="L153" s="1472"/>
      <c r="M153" s="1067"/>
      <c r="N153" s="1068"/>
      <c r="O153" s="1068"/>
      <c r="P153" s="1068"/>
      <c r="Q153" s="1068"/>
      <c r="R153" s="1069"/>
      <c r="S153" s="1057"/>
      <c r="T153" s="1058"/>
      <c r="V153" s="1462"/>
      <c r="W153" s="1463"/>
    </row>
    <row r="154" spans="1:23" s="449" customFormat="1" ht="13.9" customHeight="1">
      <c r="B154" s="449" t="s">
        <v>320</v>
      </c>
      <c r="J154" s="1036">
        <f>'Part III A-Sources of Funds'!$H$49-'Part III A-Sources of Funds'!$H$37-'Part III A-Sources of Funds'!$H$40-'Part III A-Sources of Funds'!$H$41</f>
        <v>710000</v>
      </c>
      <c r="K154" s="1040"/>
      <c r="L154" s="1040"/>
      <c r="M154" s="1067"/>
      <c r="N154" s="1068"/>
      <c r="O154" s="1068"/>
      <c r="P154" s="1068"/>
      <c r="Q154" s="1068"/>
      <c r="R154" s="1069"/>
      <c r="S154" s="648"/>
      <c r="T154" s="651" t="s">
        <v>322</v>
      </c>
      <c r="V154" s="1462"/>
      <c r="W154" s="1463"/>
    </row>
    <row r="155" spans="1:23" s="449" customFormat="1" ht="13.9" customHeight="1">
      <c r="B155" s="449" t="s">
        <v>3141</v>
      </c>
      <c r="J155" s="1036">
        <f>+J153-J154</f>
        <v>7876036</v>
      </c>
      <c r="K155" s="1040"/>
      <c r="L155" s="1040"/>
      <c r="M155" s="1073" t="s">
        <v>3887</v>
      </c>
      <c r="N155" s="1473"/>
      <c r="O155" s="1473"/>
      <c r="P155" s="1473"/>
      <c r="Q155" s="1473"/>
      <c r="R155" s="1474"/>
      <c r="S155" s="649" t="s">
        <v>2493</v>
      </c>
      <c r="T155" s="1475"/>
      <c r="V155" s="1462"/>
      <c r="W155" s="1463"/>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76"/>
      <c r="V156" s="1462"/>
      <c r="W156" s="1463"/>
    </row>
    <row r="157" spans="1:23" s="449" customFormat="1" ht="13.9" customHeight="1">
      <c r="B157" s="449" t="s">
        <v>1854</v>
      </c>
      <c r="J157" s="1036">
        <f>J155/10</f>
        <v>787603.6</v>
      </c>
      <c r="K157" s="1040"/>
      <c r="L157" s="1037"/>
      <c r="M157" s="472"/>
      <c r="N157" s="888" t="s">
        <v>1855</v>
      </c>
      <c r="O157" s="888"/>
      <c r="Q157" s="888" t="s">
        <v>2655</v>
      </c>
      <c r="R157" s="888"/>
      <c r="V157" s="1462"/>
      <c r="W157" s="1463"/>
    </row>
    <row r="158" spans="1:23" s="449" customFormat="1" ht="13.9" customHeight="1" thickBot="1">
      <c r="B158" s="449" t="s">
        <v>2079</v>
      </c>
      <c r="J158" s="1059">
        <f>N158+Q158</f>
        <v>1.1000000000000001</v>
      </c>
      <c r="K158" s="1060"/>
      <c r="L158" s="1061"/>
      <c r="M158" s="830" t="s">
        <v>1856</v>
      </c>
      <c r="N158" s="1477">
        <v>0.85</v>
      </c>
      <c r="O158" s="1478"/>
      <c r="P158" s="830" t="s">
        <v>868</v>
      </c>
      <c r="Q158" s="1477">
        <v>0.25</v>
      </c>
      <c r="R158" s="1478"/>
      <c r="V158" s="1462"/>
      <c r="W158" s="1463"/>
    </row>
    <row r="159" spans="1:23" s="449" customFormat="1" ht="13.9" customHeight="1" thickBot="1">
      <c r="B159" s="452" t="s">
        <v>2005</v>
      </c>
      <c r="J159" s="978">
        <f>IF(J158=0,"",J157/J158)</f>
        <v>716003.27272727271</v>
      </c>
      <c r="K159" s="1045"/>
      <c r="L159" s="979"/>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2">
        <f>+MIN(J149,J159,'DCA Underwriting Assumptions'!$R$6)</f>
        <v>715065.93400000001</v>
      </c>
      <c r="K161" s="1043"/>
      <c r="L161" s="1044"/>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715066</v>
      </c>
      <c r="K163" s="1480"/>
      <c r="L163" s="1481"/>
      <c r="M163" s="539" t="str">
        <f>IF(J161=0,"",IF(J163&gt;J161,"ALLOCATION CANNOT EXCEED MAXIMUM - REVISE REQUEST!",""))</f>
        <v>ALLOCATION CANNOT EXCEED MAXIMUM - REVISE REQUEST!</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2648</v>
      </c>
      <c r="B165" s="685" t="s">
        <v>3670</v>
      </c>
      <c r="D165" s="472"/>
      <c r="E165" s="472"/>
      <c r="F165" s="455"/>
      <c r="J165" s="1042">
        <f>IF(J163="",0,+MIN(J161,J163))</f>
        <v>715065.93400000001</v>
      </c>
      <c r="K165" s="1043"/>
      <c r="L165" s="1044"/>
      <c r="N165" s="1482"/>
      <c r="O165" s="1482"/>
      <c r="P165" s="1482"/>
      <c r="Q165" s="1482"/>
      <c r="R165" s="1482"/>
      <c r="S165" s="1482"/>
      <c r="T165" s="1482"/>
      <c r="V165" s="1465"/>
      <c r="W165" s="1466"/>
    </row>
    <row r="166" spans="1:23" ht="3" customHeight="1"/>
    <row r="167" spans="1:23" ht="6" customHeight="1"/>
    <row r="168" spans="1:23" ht="12" customHeight="1">
      <c r="A168" s="452" t="s">
        <v>2650</v>
      </c>
      <c r="B168" s="481" t="s">
        <v>815</v>
      </c>
      <c r="K168" s="452" t="s">
        <v>765</v>
      </c>
      <c r="L168" s="452" t="s">
        <v>85</v>
      </c>
    </row>
    <row r="169" spans="1:23" ht="162" customHeight="1">
      <c r="A169" s="1483" t="s">
        <v>4094</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2" t="s">
        <v>3966</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2012-035 Goshen Crossing II, Rincon, Effingham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South</v>
      </c>
    </row>
    <row r="4" spans="1:20" s="9" customFormat="1"/>
    <row r="5" spans="1:20" s="9" customFormat="1">
      <c r="A5" s="16" t="s">
        <v>873</v>
      </c>
      <c r="B5" s="16" t="s">
        <v>3136</v>
      </c>
      <c r="F5" s="9" t="s">
        <v>3532</v>
      </c>
      <c r="I5" s="1487" t="s">
        <v>4065</v>
      </c>
      <c r="J5" s="1488"/>
      <c r="K5" s="1488"/>
      <c r="L5" s="1488"/>
      <c r="M5" s="1489"/>
    </row>
    <row r="6" spans="1:20" s="9" customFormat="1" ht="13.15" customHeight="1">
      <c r="A6" s="16"/>
      <c r="F6" s="9" t="s">
        <v>895</v>
      </c>
      <c r="H6" s="31"/>
      <c r="I6" s="1490">
        <v>40695</v>
      </c>
      <c r="J6" s="1491"/>
      <c r="K6" s="74" t="s">
        <v>776</v>
      </c>
      <c r="L6" s="1492" t="s">
        <v>4066</v>
      </c>
      <c r="M6" s="1489"/>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3" t="s">
        <v>4067</v>
      </c>
      <c r="E10" s="1494"/>
      <c r="F10" s="1495" t="s">
        <v>612</v>
      </c>
      <c r="G10" s="1495"/>
      <c r="H10" s="343"/>
      <c r="I10" s="1496"/>
      <c r="J10" s="1496">
        <v>2</v>
      </c>
      <c r="K10" s="1496">
        <v>2</v>
      </c>
      <c r="L10" s="1496">
        <v>3</v>
      </c>
      <c r="M10" s="1496"/>
    </row>
    <row r="11" spans="1:20" s="9" customFormat="1">
      <c r="B11" s="344" t="s">
        <v>644</v>
      </c>
      <c r="C11" s="345"/>
      <c r="D11" s="344" t="s">
        <v>2204</v>
      </c>
      <c r="E11" s="345"/>
      <c r="F11" s="1497" t="s">
        <v>612</v>
      </c>
      <c r="G11" s="1497"/>
      <c r="H11" s="346"/>
      <c r="I11" s="1498"/>
      <c r="J11" s="1498">
        <v>38</v>
      </c>
      <c r="K11" s="1498">
        <v>48</v>
      </c>
      <c r="L11" s="1499">
        <v>59</v>
      </c>
      <c r="M11" s="1499"/>
    </row>
    <row r="12" spans="1:20" s="9" customFormat="1">
      <c r="B12" s="344" t="s">
        <v>2205</v>
      </c>
      <c r="C12" s="345"/>
      <c r="D12" s="1500" t="s">
        <v>2204</v>
      </c>
      <c r="E12" s="1501"/>
      <c r="F12" s="1497" t="s">
        <v>612</v>
      </c>
      <c r="G12" s="1497"/>
      <c r="H12" s="346"/>
      <c r="I12" s="1498"/>
      <c r="J12" s="1498">
        <v>9</v>
      </c>
      <c r="K12" s="1498">
        <v>12</v>
      </c>
      <c r="L12" s="1499">
        <v>14</v>
      </c>
      <c r="M12" s="1499"/>
    </row>
    <row r="13" spans="1:20" s="9" customFormat="1">
      <c r="B13" s="344" t="s">
        <v>2206</v>
      </c>
      <c r="C13" s="345"/>
      <c r="D13" s="1500" t="s">
        <v>2204</v>
      </c>
      <c r="E13" s="1501"/>
      <c r="F13" s="1497" t="s">
        <v>612</v>
      </c>
      <c r="G13" s="1497"/>
      <c r="H13" s="346"/>
      <c r="I13" s="1498"/>
      <c r="J13" s="1498">
        <v>28</v>
      </c>
      <c r="K13" s="1498">
        <v>36</v>
      </c>
      <c r="L13" s="1499">
        <v>44</v>
      </c>
      <c r="M13" s="1499"/>
    </row>
    <row r="14" spans="1:20" s="9" customFormat="1">
      <c r="B14" s="344" t="s">
        <v>2207</v>
      </c>
      <c r="C14" s="345"/>
      <c r="D14" s="344" t="s">
        <v>2204</v>
      </c>
      <c r="E14" s="347"/>
      <c r="F14" s="1497" t="s">
        <v>612</v>
      </c>
      <c r="G14" s="1497"/>
      <c r="H14" s="346"/>
      <c r="I14" s="1498"/>
      <c r="J14" s="1498">
        <v>26</v>
      </c>
      <c r="K14" s="1498">
        <v>33</v>
      </c>
      <c r="L14" s="1499">
        <v>41</v>
      </c>
      <c r="M14" s="1499"/>
    </row>
    <row r="15" spans="1:20" s="9" customFormat="1">
      <c r="B15" s="344" t="s">
        <v>1938</v>
      </c>
      <c r="C15" s="345"/>
      <c r="D15" s="344" t="s">
        <v>3135</v>
      </c>
      <c r="E15" s="1502" t="s">
        <v>3983</v>
      </c>
      <c r="F15" s="1497" t="s">
        <v>612</v>
      </c>
      <c r="G15" s="1497"/>
      <c r="H15" s="346"/>
      <c r="I15" s="1498"/>
      <c r="J15" s="1498">
        <f>22+17</f>
        <v>39</v>
      </c>
      <c r="K15" s="1498">
        <f>27+22</f>
        <v>49</v>
      </c>
      <c r="L15" s="1499">
        <f>32+26</f>
        <v>58</v>
      </c>
      <c r="M15" s="1499"/>
    </row>
    <row r="16" spans="1:20" s="9" customFormat="1">
      <c r="B16" s="348" t="s">
        <v>2722</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142</v>
      </c>
      <c r="K17" s="847">
        <f>SUM(K10:K16)</f>
        <v>180</v>
      </c>
      <c r="L17" s="847">
        <f>SUM(L10:L16)</f>
        <v>219</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93" t="s">
        <v>2684</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2684</v>
      </c>
      <c r="E26" s="1501"/>
      <c r="F26" s="1497"/>
      <c r="G26" s="1497"/>
      <c r="H26" s="346"/>
      <c r="I26" s="1498"/>
      <c r="J26" s="1498"/>
      <c r="K26" s="1498"/>
      <c r="L26" s="1499"/>
      <c r="M26" s="1499"/>
    </row>
    <row r="27" spans="1:19" s="9" customFormat="1">
      <c r="B27" s="344" t="s">
        <v>2206</v>
      </c>
      <c r="C27" s="345"/>
      <c r="D27" s="1500" t="s">
        <v>2684</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3135</v>
      </c>
      <c r="E29" s="1502" t="s">
        <v>240</v>
      </c>
      <c r="F29" s="1497"/>
      <c r="G29" s="1497"/>
      <c r="H29" s="346"/>
      <c r="I29" s="1498"/>
      <c r="J29" s="1498"/>
      <c r="K29" s="1498"/>
      <c r="L29" s="1499"/>
      <c r="M29" s="1499"/>
    </row>
    <row r="30" spans="1:19" s="9" customFormat="1">
      <c r="B30" s="348" t="s">
        <v>2722</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c r="C36" s="1507"/>
      <c r="D36" s="1507"/>
      <c r="E36" s="1507"/>
      <c r="F36" s="1507"/>
      <c r="G36" s="1507"/>
      <c r="H36" s="1507"/>
      <c r="I36" s="1507"/>
      <c r="J36" s="1507"/>
      <c r="K36" s="1507"/>
      <c r="L36" s="1507"/>
      <c r="M36" s="1508"/>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Barrett</dc:creator>
  <cp:lastModifiedBy>stephen.barrett</cp:lastModifiedBy>
  <cp:lastPrinted>2012-06-14T16:12:45Z</cp:lastPrinted>
  <dcterms:created xsi:type="dcterms:W3CDTF">2005-09-15T20:51:37Z</dcterms:created>
  <dcterms:modified xsi:type="dcterms:W3CDTF">2012-08-03T15:58:13Z</dcterms:modified>
</cp:coreProperties>
</file>