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485" yWindow="4425" windowWidth="15735" windowHeight="9000" tabRatio="909"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K33" i="3"/>
  <c r="M37"/>
  <c r="V10" i="36"/>
  <c r="V11"/>
  <c r="V12"/>
  <c r="V13"/>
  <c r="V14"/>
  <c r="V15"/>
  <c r="V16"/>
  <c r="V17"/>
  <c r="V18"/>
  <c r="V19"/>
  <c r="V20"/>
  <c r="V21"/>
  <c r="V22"/>
  <c r="V23"/>
  <c r="V24"/>
  <c r="V25"/>
  <c r="V26"/>
  <c r="V27"/>
  <c r="V28"/>
  <c r="V29"/>
  <c r="V30"/>
  <c r="V31"/>
  <c r="V32"/>
  <c r="V33"/>
  <c r="V34"/>
  <c r="V35"/>
  <c r="V36"/>
  <c r="V37"/>
  <c r="V38"/>
  <c r="V39"/>
  <c r="V40"/>
  <c r="V41"/>
  <c r="V42"/>
  <c r="V43"/>
  <c r="V44"/>
  <c r="V45"/>
  <c r="V46"/>
  <c r="V47"/>
  <c r="V48"/>
  <c r="H56"/>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H57"/>
  <c r="H58"/>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H59"/>
  <c r="H60"/>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H61"/>
  <c r="H62"/>
  <c r="W10"/>
  <c r="W11"/>
  <c r="W12"/>
  <c r="W13"/>
  <c r="W14"/>
  <c r="W15"/>
  <c r="W16"/>
  <c r="W17"/>
  <c r="W18"/>
  <c r="W19"/>
  <c r="W20"/>
  <c r="W21"/>
  <c r="W22"/>
  <c r="W23"/>
  <c r="W24"/>
  <c r="W25"/>
  <c r="W26"/>
  <c r="W27"/>
  <c r="W28"/>
  <c r="W29"/>
  <c r="W30"/>
  <c r="W31"/>
  <c r="W32"/>
  <c r="W33"/>
  <c r="W34"/>
  <c r="W35"/>
  <c r="W36"/>
  <c r="W37"/>
  <c r="W38"/>
  <c r="W39"/>
  <c r="W40"/>
  <c r="W41"/>
  <c r="W42"/>
  <c r="W43"/>
  <c r="W44"/>
  <c r="W45"/>
  <c r="W46"/>
  <c r="W47"/>
  <c r="W48"/>
  <c r="I56"/>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I57"/>
  <c r="I58"/>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I59"/>
  <c r="I60"/>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I61"/>
  <c r="I62"/>
  <c r="X10"/>
  <c r="X11"/>
  <c r="X12"/>
  <c r="X13"/>
  <c r="X14"/>
  <c r="X15"/>
  <c r="X16"/>
  <c r="X17"/>
  <c r="X18"/>
  <c r="X19"/>
  <c r="X20"/>
  <c r="X21"/>
  <c r="X22"/>
  <c r="X23"/>
  <c r="X24"/>
  <c r="X25"/>
  <c r="X26"/>
  <c r="X27"/>
  <c r="X28"/>
  <c r="X29"/>
  <c r="X30"/>
  <c r="X31"/>
  <c r="X32"/>
  <c r="X33"/>
  <c r="X34"/>
  <c r="X35"/>
  <c r="X36"/>
  <c r="X37"/>
  <c r="X38"/>
  <c r="X39"/>
  <c r="X40"/>
  <c r="X41"/>
  <c r="X42"/>
  <c r="X43"/>
  <c r="X44"/>
  <c r="X45"/>
  <c r="X46"/>
  <c r="X47"/>
  <c r="X48"/>
  <c r="J56"/>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J57"/>
  <c r="J58"/>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J59"/>
  <c r="J60"/>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J61"/>
  <c r="J62"/>
  <c r="Y10"/>
  <c r="Y11"/>
  <c r="Y12"/>
  <c r="Y13"/>
  <c r="Y14"/>
  <c r="Y15"/>
  <c r="Y16"/>
  <c r="Y17"/>
  <c r="Y18"/>
  <c r="Y19"/>
  <c r="Y20"/>
  <c r="Y21"/>
  <c r="Y22"/>
  <c r="Y23"/>
  <c r="Y24"/>
  <c r="Y25"/>
  <c r="Y26"/>
  <c r="Y27"/>
  <c r="Y28"/>
  <c r="Y29"/>
  <c r="Y30"/>
  <c r="Y31"/>
  <c r="Y32"/>
  <c r="Y33"/>
  <c r="Y34"/>
  <c r="Y35"/>
  <c r="Y36"/>
  <c r="Y37"/>
  <c r="Y38"/>
  <c r="Y39"/>
  <c r="Y40"/>
  <c r="Y41"/>
  <c r="Y42"/>
  <c r="Y43"/>
  <c r="Y44"/>
  <c r="Y45"/>
  <c r="Y46"/>
  <c r="Y47"/>
  <c r="Y48"/>
  <c r="K56"/>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K57"/>
  <c r="K5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K59"/>
  <c r="K60"/>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K61"/>
  <c r="K62"/>
  <c r="Z10"/>
  <c r="Z11"/>
  <c r="Z12"/>
  <c r="Z13"/>
  <c r="Z14"/>
  <c r="Z15"/>
  <c r="Z16"/>
  <c r="Z17"/>
  <c r="Z18"/>
  <c r="Z19"/>
  <c r="Z20"/>
  <c r="Z21"/>
  <c r="Z22"/>
  <c r="Z23"/>
  <c r="Z24"/>
  <c r="Z25"/>
  <c r="Z26"/>
  <c r="Z27"/>
  <c r="Z28"/>
  <c r="Z29"/>
  <c r="Z30"/>
  <c r="Z31"/>
  <c r="Z32"/>
  <c r="Z33"/>
  <c r="Z34"/>
  <c r="Z35"/>
  <c r="Z36"/>
  <c r="Z37"/>
  <c r="Z38"/>
  <c r="Z39"/>
  <c r="Z40"/>
  <c r="Z41"/>
  <c r="Z42"/>
  <c r="Z43"/>
  <c r="Z44"/>
  <c r="Z45"/>
  <c r="Z46"/>
  <c r="Z47"/>
  <c r="Z48"/>
  <c r="L56"/>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L57"/>
  <c r="L58"/>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L59"/>
  <c r="L60"/>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L61"/>
  <c r="L62"/>
  <c r="M62"/>
  <c r="P160"/>
  <c r="B21" i="8"/>
  <c r="G81" s="1"/>
  <c r="C13"/>
  <c r="D13"/>
  <c r="E13"/>
  <c r="F13"/>
  <c r="G13"/>
  <c r="H13"/>
  <c r="I13"/>
  <c r="J13"/>
  <c r="K13"/>
  <c r="B43"/>
  <c r="C43"/>
  <c r="D43"/>
  <c r="E43"/>
  <c r="F43"/>
  <c r="G43"/>
  <c r="H43"/>
  <c r="I43"/>
  <c r="J43"/>
  <c r="K43"/>
  <c r="B73"/>
  <c r="C73"/>
  <c r="D73"/>
  <c r="E73"/>
  <c r="F73"/>
  <c r="G73"/>
  <c r="H73"/>
  <c r="I73"/>
  <c r="J73"/>
  <c r="K73"/>
  <c r="F165" i="36"/>
  <c r="E81" i="8"/>
  <c r="B81"/>
  <c r="K51"/>
  <c r="G51"/>
  <c r="D51"/>
  <c r="C51"/>
  <c r="E21"/>
  <c r="H21"/>
  <c r="I21"/>
  <c r="K10" i="36"/>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c r="K74" s="1"/>
  <c r="P131" i="36"/>
  <c r="K77" i="8"/>
  <c r="P136" i="36"/>
  <c r="K78" i="8"/>
  <c r="F145" i="36"/>
  <c r="F154"/>
  <c r="K143"/>
  <c r="K152"/>
  <c r="K162"/>
  <c r="P144"/>
  <c r="G111"/>
  <c r="B17" i="8"/>
  <c r="M32" i="3"/>
  <c r="O131" i="36"/>
  <c r="J77" i="8"/>
  <c r="O136" i="36"/>
  <c r="J78" i="8"/>
  <c r="N131" i="36"/>
  <c r="I77" i="8"/>
  <c r="N136" i="36"/>
  <c r="I78" i="8"/>
  <c r="H74"/>
  <c r="M131" i="36"/>
  <c r="H77" i="8"/>
  <c r="M136" i="36"/>
  <c r="H78" i="8"/>
  <c r="L131" i="36"/>
  <c r="G77" i="8"/>
  <c r="L136" i="36"/>
  <c r="G78" i="8"/>
  <c r="K131" i="36"/>
  <c r="F77" i="8"/>
  <c r="K136" i="36"/>
  <c r="F78" i="8"/>
  <c r="J131" i="36"/>
  <c r="E77" i="8"/>
  <c r="J136" i="36"/>
  <c r="E78" i="8"/>
  <c r="D74"/>
  <c r="I131" i="36"/>
  <c r="D77" i="8"/>
  <c r="I136" i="36"/>
  <c r="D78" i="8"/>
  <c r="H131" i="36"/>
  <c r="C77" i="8"/>
  <c r="H136" i="36"/>
  <c r="C78" i="8"/>
  <c r="G131" i="36"/>
  <c r="B77" i="8"/>
  <c r="G136" i="36"/>
  <c r="B78" i="8"/>
  <c r="P121" i="36"/>
  <c r="K47" i="8"/>
  <c r="P126" i="36"/>
  <c r="K48" i="8"/>
  <c r="J44"/>
  <c r="O121" i="36"/>
  <c r="J47" i="8"/>
  <c r="O126" i="36"/>
  <c r="J48" i="8"/>
  <c r="N121" i="36"/>
  <c r="I47" i="8"/>
  <c r="N126" i="36"/>
  <c r="I48" i="8"/>
  <c r="M121" i="36"/>
  <c r="H47" i="8"/>
  <c r="M126" i="36"/>
  <c r="H48" i="8"/>
  <c r="L121" i="36"/>
  <c r="G47" i="8"/>
  <c r="L126" i="36"/>
  <c r="G48" i="8"/>
  <c r="F44"/>
  <c r="K121" i="36"/>
  <c r="F47" i="8"/>
  <c r="K126" i="36"/>
  <c r="F48" i="8"/>
  <c r="J121" i="36"/>
  <c r="E47" i="8"/>
  <c r="J126" i="36"/>
  <c r="E48" i="8"/>
  <c r="I121" i="36"/>
  <c r="D47" i="8"/>
  <c r="I126" i="36"/>
  <c r="D48" i="8"/>
  <c r="H121" i="36"/>
  <c r="C47" i="8"/>
  <c r="H126" i="36"/>
  <c r="C48" i="8"/>
  <c r="B44"/>
  <c r="G121" i="36"/>
  <c r="B47" i="8"/>
  <c r="G126" i="36"/>
  <c r="B48" i="8"/>
  <c r="P111" i="36"/>
  <c r="K17" i="8"/>
  <c r="P116" i="36"/>
  <c r="K18" i="8"/>
  <c r="O111" i="36"/>
  <c r="J17" i="8"/>
  <c r="O116" i="36"/>
  <c r="J18" i="8"/>
  <c r="N111" i="36"/>
  <c r="I17" i="8"/>
  <c r="N116" i="36"/>
  <c r="I18" i="8"/>
  <c r="H14"/>
  <c r="M111" i="36"/>
  <c r="H17" i="8"/>
  <c r="M116" i="36"/>
  <c r="H18" i="8"/>
  <c r="L111" i="36"/>
  <c r="G17" i="8"/>
  <c r="L116" i="36"/>
  <c r="G18" i="8"/>
  <c r="K111" i="36"/>
  <c r="F17" i="8"/>
  <c r="K116" i="36"/>
  <c r="F18" i="8"/>
  <c r="J111" i="36"/>
  <c r="E17" i="8"/>
  <c r="J116" i="36"/>
  <c r="E18" i="8"/>
  <c r="D14"/>
  <c r="I111" i="36"/>
  <c r="D17" i="8"/>
  <c r="I116" i="36"/>
  <c r="D18" i="8"/>
  <c r="H111" i="36"/>
  <c r="C17" i="8"/>
  <c r="H116" i="36"/>
  <c r="C18" i="8"/>
  <c r="G116" i="36"/>
  <c r="B18" i="8"/>
  <c r="G117" i="15"/>
  <c r="G17"/>
  <c r="G23"/>
  <c r="G27"/>
  <c r="G32"/>
  <c r="E34"/>
  <c r="F34" s="1"/>
  <c r="E35"/>
  <c r="F35" s="1"/>
  <c r="G57"/>
  <c r="G69"/>
  <c r="G75"/>
  <c r="G84"/>
  <c r="G104"/>
  <c r="G109"/>
  <c r="G121"/>
  <c r="O246" i="11"/>
  <c r="R11" i="24"/>
  <c r="D125" i="15"/>
  <c r="J152" s="1"/>
  <c r="J158"/>
  <c r="J17"/>
  <c r="J27"/>
  <c r="J32"/>
  <c r="J57"/>
  <c r="J69"/>
  <c r="J75"/>
  <c r="J84"/>
  <c r="J109"/>
  <c r="J117"/>
  <c r="J121"/>
  <c r="J137"/>
  <c r="J141"/>
  <c r="M58" i="36"/>
  <c r="M60"/>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H94"/>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H95"/>
  <c r="H96"/>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I94"/>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I95"/>
  <c r="I96"/>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J94"/>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J95"/>
  <c r="J96"/>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K94"/>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K95"/>
  <c r="K96"/>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L94"/>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L95"/>
  <c r="L96"/>
  <c r="M96"/>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H97"/>
  <c r="H98"/>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I97"/>
  <c r="I98"/>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J97"/>
  <c r="J98"/>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Q48"/>
  <c r="K97"/>
  <c r="K98"/>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L97"/>
  <c r="L98"/>
  <c r="M98"/>
  <c r="J145" i="15"/>
  <c r="J146" s="1"/>
  <c r="J148" s="1"/>
  <c r="J149" s="1"/>
  <c r="M17"/>
  <c r="M23"/>
  <c r="M27"/>
  <c r="M32"/>
  <c r="M36"/>
  <c r="M57"/>
  <c r="M69"/>
  <c r="M75"/>
  <c r="M84"/>
  <c r="M109"/>
  <c r="M117"/>
  <c r="M121"/>
  <c r="M123"/>
  <c r="M140"/>
  <c r="M142"/>
  <c r="M144"/>
  <c r="M145"/>
  <c r="M146" s="1"/>
  <c r="M148" s="1"/>
  <c r="P17"/>
  <c r="P27"/>
  <c r="P32"/>
  <c r="P36"/>
  <c r="P57"/>
  <c r="P69"/>
  <c r="P75"/>
  <c r="P84"/>
  <c r="P109"/>
  <c r="P117"/>
  <c r="P121"/>
  <c r="P123"/>
  <c r="P140"/>
  <c r="P137"/>
  <c r="P141"/>
  <c r="P142"/>
  <c r="P144"/>
  <c r="P145"/>
  <c r="P146" s="1"/>
  <c r="P148" s="1"/>
  <c r="P57" i="7"/>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c r="P267"/>
  <c r="P269"/>
  <c r="P274"/>
  <c r="P278"/>
  <c r="O278"/>
  <c r="O274"/>
  <c r="O269"/>
  <c r="O267"/>
  <c r="O265"/>
  <c r="A2" i="39"/>
  <c r="I211" i="11"/>
  <c r="L169"/>
  <c r="B100" i="8"/>
  <c r="C100" s="1"/>
  <c r="D100" s="1"/>
  <c r="B70"/>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c r="M221" i="11"/>
  <c r="P218" s="1"/>
  <c r="N182"/>
  <c r="N177"/>
  <c r="N146"/>
  <c r="N67"/>
  <c r="P49"/>
  <c r="O49"/>
  <c r="C70" i="8"/>
  <c r="D70" s="1"/>
  <c r="M291" i="11"/>
  <c r="M6"/>
  <c r="L277"/>
  <c r="A265"/>
  <c r="P246"/>
  <c r="L233"/>
  <c r="O242"/>
  <c r="P242"/>
  <c r="L211"/>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63" s="1"/>
  <c r="A93" s="1"/>
  <c r="A32"/>
  <c r="A62" s="1"/>
  <c r="A92" s="1"/>
  <c r="A31"/>
  <c r="J25" i="7"/>
  <c r="J26"/>
  <c r="P6" i="36"/>
  <c r="Q10" s="1"/>
  <c r="P16"/>
  <c r="Q18"/>
  <c r="P19"/>
  <c r="P20"/>
  <c r="Q21"/>
  <c r="Q22"/>
  <c r="Q23"/>
  <c r="Q24"/>
  <c r="Q25"/>
  <c r="Q26"/>
  <c r="Q27"/>
  <c r="Q28"/>
  <c r="Q29"/>
  <c r="Q30"/>
  <c r="Q31"/>
  <c r="Q32"/>
  <c r="Q33"/>
  <c r="Q34"/>
  <c r="Q35"/>
  <c r="Q36"/>
  <c r="Q37"/>
  <c r="Q38"/>
  <c r="Q39"/>
  <c r="Q40"/>
  <c r="Q41"/>
  <c r="Q42"/>
  <c r="Q43"/>
  <c r="Q44"/>
  <c r="Q45"/>
  <c r="Q46"/>
  <c r="Q47"/>
  <c r="J43" i="6"/>
  <c r="O41" i="15"/>
  <c r="A104" i="11"/>
  <c r="O90"/>
  <c r="O8"/>
  <c r="O132"/>
  <c r="O161"/>
  <c r="O254"/>
  <c r="D37" i="3"/>
  <c r="I17" i="29"/>
  <c r="BP10" i="36"/>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S36" i="15"/>
  <c r="S17"/>
  <c r="S23"/>
  <c r="S27"/>
  <c r="S32"/>
  <c r="S57"/>
  <c r="S69"/>
  <c r="S75"/>
  <c r="S84"/>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Q15"/>
  <c r="P17"/>
  <c r="P18"/>
  <c r="P21"/>
  <c r="P22"/>
  <c r="P23"/>
  <c r="P24"/>
  <c r="P25"/>
  <c r="P26"/>
  <c r="P27"/>
  <c r="P28"/>
  <c r="P29"/>
  <c r="P30"/>
  <c r="P31"/>
  <c r="P32"/>
  <c r="P33"/>
  <c r="P34"/>
  <c r="P35"/>
  <c r="P36"/>
  <c r="P37"/>
  <c r="P38"/>
  <c r="P39"/>
  <c r="P40"/>
  <c r="P41"/>
  <c r="P42"/>
  <c r="P43"/>
  <c r="P44"/>
  <c r="P45"/>
  <c r="P46"/>
  <c r="P47"/>
  <c r="P11"/>
  <c r="P12"/>
  <c r="Q12"/>
  <c r="P13"/>
  <c r="P14"/>
  <c r="P10"/>
  <c r="A64" i="8"/>
  <c r="A94"/>
  <c r="A61"/>
  <c r="A91" s="1"/>
  <c r="A56"/>
  <c r="A86"/>
  <c r="A55"/>
  <c r="A85"/>
  <c r="A54"/>
  <c r="A84"/>
  <c r="A53"/>
  <c r="A83"/>
  <c r="L182" i="11"/>
  <c r="R163"/>
  <c r="R162"/>
  <c r="L228"/>
  <c r="G133"/>
  <c r="M36" i="3"/>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3" i="7"/>
  <c r="D10" i="25"/>
  <c r="D5" i="26"/>
  <c r="D11"/>
  <c r="D12"/>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B38" i="26"/>
  <c r="B39"/>
  <c r="B40"/>
  <c r="B41"/>
  <c r="B42"/>
  <c r="B43"/>
  <c r="B44"/>
  <c r="B45"/>
  <c r="B46"/>
  <c r="B37"/>
  <c r="B28"/>
  <c r="B29"/>
  <c r="B30"/>
  <c r="B31"/>
  <c r="B32"/>
  <c r="B33"/>
  <c r="B34"/>
  <c r="B35"/>
  <c r="B36"/>
  <c r="B27"/>
  <c r="B18"/>
  <c r="B19"/>
  <c r="B20"/>
  <c r="B21"/>
  <c r="B22"/>
  <c r="B23"/>
  <c r="B24"/>
  <c r="B25"/>
  <c r="B26"/>
  <c r="B17"/>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L193" i="11"/>
  <c r="P16"/>
  <c r="G12"/>
  <c r="K16"/>
  <c r="G11"/>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U48" i="36"/>
  <c r="CT48"/>
  <c r="CS48"/>
  <c r="GI48"/>
  <c r="L87"/>
  <c r="CV48"/>
  <c r="FT48"/>
  <c r="L90"/>
  <c r="AS48"/>
  <c r="BB48"/>
  <c r="J64"/>
  <c r="AV48"/>
  <c r="I65"/>
  <c r="AZ48"/>
  <c r="H64"/>
  <c r="BD48"/>
  <c r="L64"/>
  <c r="GS48"/>
  <c r="AQ48"/>
  <c r="AX48"/>
  <c r="K65"/>
  <c r="F106" i="15"/>
  <c r="F107"/>
  <c r="F108"/>
  <c r="C109"/>
  <c r="B36" i="8"/>
  <c r="FP48" i="36"/>
  <c r="H90"/>
  <c r="HF48"/>
  <c r="GZ48"/>
  <c r="BA48"/>
  <c r="I64"/>
  <c r="GG48"/>
  <c r="J87"/>
  <c r="FY48"/>
  <c r="L85"/>
  <c r="FN48"/>
  <c r="K91"/>
  <c r="FB48"/>
  <c r="I89"/>
  <c r="F46" i="7"/>
  <c r="AU48" i="36"/>
  <c r="H65"/>
  <c r="AY48"/>
  <c r="L65"/>
  <c r="BC48"/>
  <c r="K64"/>
  <c r="AT48"/>
  <c r="AP48"/>
  <c r="EX48"/>
  <c r="GF48"/>
  <c r="I87"/>
  <c r="L254" i="11"/>
  <c r="HL48" i="36"/>
  <c r="AW48"/>
  <c r="J65"/>
  <c r="AR48"/>
  <c r="FW48"/>
  <c r="J85"/>
  <c r="FH48"/>
  <c r="J92"/>
  <c r="GH48"/>
  <c r="K87"/>
  <c r="CW48"/>
  <c r="GO48"/>
  <c r="BG48"/>
  <c r="EA48"/>
  <c r="L76"/>
  <c r="DU48"/>
  <c r="K75"/>
  <c r="DY48"/>
  <c r="J76"/>
  <c r="DS48"/>
  <c r="I75"/>
  <c r="EU48"/>
  <c r="EK48"/>
  <c r="L78"/>
  <c r="ES48"/>
  <c r="EI48"/>
  <c r="J78"/>
  <c r="EM48"/>
  <c r="I79"/>
  <c r="EQ48"/>
  <c r="GC48"/>
  <c r="K86"/>
  <c r="GM48"/>
  <c r="K88"/>
  <c r="GE48"/>
  <c r="H87"/>
  <c r="DD48"/>
  <c r="I72"/>
  <c r="BM48"/>
  <c r="K69"/>
  <c r="BR48"/>
  <c r="K68"/>
  <c r="DW48"/>
  <c r="H76"/>
  <c r="EO48"/>
  <c r="K79"/>
  <c r="EG48"/>
  <c r="H78"/>
  <c r="GA48"/>
  <c r="I86"/>
  <c r="GK48"/>
  <c r="I88"/>
  <c r="FU48"/>
  <c r="H85"/>
  <c r="EZ48"/>
  <c r="A1" i="34"/>
  <c r="A3" i="39"/>
  <c r="FF48" i="36"/>
  <c r="H92"/>
  <c r="DH48"/>
  <c r="H73"/>
  <c r="EC48"/>
  <c r="AJ48"/>
  <c r="AH48"/>
  <c r="AF48"/>
  <c r="GW48"/>
  <c r="GU48"/>
  <c r="EF48"/>
  <c r="DV48"/>
  <c r="L75"/>
  <c r="EE48"/>
  <c r="DZ48"/>
  <c r="K76"/>
  <c r="ED48"/>
  <c r="DT48"/>
  <c r="J75"/>
  <c r="DX48"/>
  <c r="I76"/>
  <c r="EB48"/>
  <c r="DR48"/>
  <c r="H75"/>
  <c r="EP48"/>
  <c r="L79"/>
  <c r="ET48"/>
  <c r="EJ48"/>
  <c r="K78"/>
  <c r="EN48"/>
  <c r="J79"/>
  <c r="ER48"/>
  <c r="EH48"/>
  <c r="I78"/>
  <c r="EL48"/>
  <c r="H79"/>
  <c r="CM48"/>
  <c r="CK48"/>
  <c r="CI48"/>
  <c r="DN48"/>
  <c r="DI48"/>
  <c r="I73"/>
  <c r="DM48"/>
  <c r="DC48"/>
  <c r="H72"/>
  <c r="BJ48"/>
  <c r="H69"/>
  <c r="BK48"/>
  <c r="I69"/>
  <c r="BP48"/>
  <c r="I68"/>
  <c r="A48"/>
  <c r="A7"/>
  <c r="FR48"/>
  <c r="J90"/>
  <c r="HH48"/>
  <c r="BE48"/>
  <c r="BI48"/>
  <c r="HB48"/>
  <c r="HD48"/>
  <c r="GQ48"/>
  <c r="HJ48"/>
  <c r="FJ48"/>
  <c r="L92"/>
  <c r="FL48"/>
  <c r="I91"/>
  <c r="FD48"/>
  <c r="K89"/>
  <c r="EV48"/>
  <c r="FK48"/>
  <c r="H91"/>
  <c r="FQ48"/>
  <c r="I90"/>
  <c r="FC48"/>
  <c r="J89"/>
  <c r="EY48"/>
  <c r="CJ48"/>
  <c r="AG48"/>
  <c r="HC48"/>
  <c r="GY48"/>
  <c r="HE48"/>
  <c r="HK48"/>
  <c r="GR48"/>
  <c r="GX48"/>
  <c r="GT48"/>
  <c r="DQ48"/>
  <c r="DL48"/>
  <c r="L73"/>
  <c r="DG48"/>
  <c r="L72"/>
  <c r="DP48"/>
  <c r="DK48"/>
  <c r="K73"/>
  <c r="DF48"/>
  <c r="K72"/>
  <c r="DO48"/>
  <c r="DJ48"/>
  <c r="J73"/>
  <c r="DE48"/>
  <c r="J72"/>
  <c r="DB48"/>
  <c r="L99"/>
  <c r="DA48"/>
  <c r="K99"/>
  <c r="CZ48"/>
  <c r="J99"/>
  <c r="CY48"/>
  <c r="I99"/>
  <c r="CX48"/>
  <c r="H99"/>
  <c r="BF48"/>
  <c r="BH48"/>
  <c r="BN48"/>
  <c r="L69"/>
  <c r="BS48"/>
  <c r="L68"/>
  <c r="FS48"/>
  <c r="K90"/>
  <c r="FE48"/>
  <c r="L89"/>
  <c r="FA48"/>
  <c r="H89"/>
  <c r="EW48"/>
  <c r="CL48"/>
  <c r="AI48"/>
  <c r="HA48"/>
  <c r="HG48"/>
  <c r="HM48"/>
  <c r="HI48"/>
  <c r="GP48"/>
  <c r="GV48"/>
  <c r="BO48"/>
  <c r="H68"/>
  <c r="BL48"/>
  <c r="J69"/>
  <c r="BQ48"/>
  <c r="J68"/>
  <c r="GN48"/>
  <c r="L88"/>
  <c r="GL48"/>
  <c r="J88"/>
  <c r="GJ48"/>
  <c r="H88"/>
  <c r="GD48"/>
  <c r="L86"/>
  <c r="GB48"/>
  <c r="J86"/>
  <c r="FZ48"/>
  <c r="H86"/>
  <c r="FX48"/>
  <c r="K85"/>
  <c r="FV48"/>
  <c r="I85"/>
  <c r="FO48"/>
  <c r="L91"/>
  <c r="FM48"/>
  <c r="J91"/>
  <c r="FI48"/>
  <c r="K92"/>
  <c r="FG48"/>
  <c r="I92"/>
  <c r="A1" i="11"/>
  <c r="A1" i="18"/>
  <c r="A1" i="15"/>
  <c r="V1" s="1"/>
  <c r="A1" i="8"/>
  <c r="M1" s="1"/>
  <c r="A1" i="6"/>
  <c r="A58" i="26"/>
  <c r="G58"/>
  <c r="A1" i="25"/>
  <c r="I3" i="29"/>
  <c r="A1" i="7"/>
  <c r="A1" i="36"/>
  <c r="T1" s="1"/>
  <c r="A1" i="3"/>
  <c r="S1" s="1"/>
  <c r="A50" i="25"/>
  <c r="A1" i="29"/>
  <c r="A1" i="26"/>
  <c r="A3" i="37"/>
  <c r="A3" i="38"/>
  <c r="I26" i="7"/>
  <c r="M89" i="36"/>
  <c r="Q89"/>
  <c r="M87"/>
  <c r="M90"/>
  <c r="Q90"/>
  <c r="I84"/>
  <c r="M56"/>
  <c r="M57"/>
  <c r="M65"/>
  <c r="I66"/>
  <c r="H70"/>
  <c r="K66"/>
  <c r="H74"/>
  <c r="L66"/>
  <c r="H66"/>
  <c r="M59"/>
  <c r="H52" i="7"/>
  <c r="J70" i="36"/>
  <c r="K80"/>
  <c r="K77"/>
  <c r="M79"/>
  <c r="Q79"/>
  <c r="M72"/>
  <c r="Q72"/>
  <c r="I80"/>
  <c r="M76"/>
  <c r="Q76"/>
  <c r="I77"/>
  <c r="B41" i="8"/>
  <c r="C41" s="1"/>
  <c r="J66" i="36"/>
  <c r="M64"/>
  <c r="L70"/>
  <c r="M61"/>
  <c r="M99"/>
  <c r="M91"/>
  <c r="Q91"/>
  <c r="M69"/>
  <c r="Q69"/>
  <c r="M73"/>
  <c r="Q73"/>
  <c r="M75"/>
  <c r="Q75"/>
  <c r="L77"/>
  <c r="L80"/>
  <c r="M78"/>
  <c r="Q78"/>
  <c r="K70"/>
  <c r="J80"/>
  <c r="J77"/>
  <c r="I70"/>
  <c r="H80"/>
  <c r="K84"/>
  <c r="M68"/>
  <c r="Q68"/>
  <c r="H77"/>
  <c r="I74"/>
  <c r="M85"/>
  <c r="J84"/>
  <c r="H84"/>
  <c r="L84"/>
  <c r="M88"/>
  <c r="M86"/>
  <c r="J74"/>
  <c r="L74"/>
  <c r="K74"/>
  <c r="J100"/>
  <c r="K100"/>
  <c r="L100"/>
  <c r="M97"/>
  <c r="M92"/>
  <c r="Q92"/>
  <c r="N6"/>
  <c r="M95"/>
  <c r="Q95"/>
  <c r="I100"/>
  <c r="M94"/>
  <c r="Q94"/>
  <c r="Q99"/>
  <c r="M84"/>
  <c r="Q84"/>
  <c r="H51" i="7"/>
  <c r="Q56" i="36"/>
  <c r="Q57"/>
  <c r="I50" i="7"/>
  <c r="H50"/>
  <c r="H49" s="1"/>
  <c r="H53" s="1"/>
  <c r="M66" i="36"/>
  <c r="Q66"/>
  <c r="L31" i="11"/>
  <c r="Q58" i="36"/>
  <c r="Q97"/>
  <c r="Q65"/>
  <c r="M80"/>
  <c r="Q59"/>
  <c r="M77"/>
  <c r="F44" i="7"/>
  <c r="M70" i="36"/>
  <c r="Q70"/>
  <c r="Q61"/>
  <c r="Q64"/>
  <c r="P52" i="7"/>
  <c r="H54"/>
  <c r="I51"/>
  <c r="O104" i="36"/>
  <c r="P50" i="7"/>
  <c r="M74" i="36"/>
  <c r="P141" i="7"/>
  <c r="L32" i="11"/>
  <c r="O30" s="1"/>
  <c r="L30" s="1"/>
  <c r="Q60" i="36"/>
  <c r="R12" i="24"/>
  <c r="P140" i="7"/>
  <c r="E93" i="15"/>
  <c r="R13" i="24"/>
  <c r="Q77" i="36"/>
  <c r="F45" i="7"/>
  <c r="Q80" i="36"/>
  <c r="J177" i="11"/>
  <c r="L177" s="1"/>
  <c r="F42" i="7"/>
  <c r="Q74" i="36"/>
  <c r="Q98"/>
  <c r="H100"/>
  <c r="M100"/>
  <c r="P49" i="7"/>
  <c r="Q96" i="36"/>
  <c r="J159"/>
  <c r="F115" i="15"/>
  <c r="P67" i="7"/>
  <c r="P71"/>
  <c r="Q62" i="36"/>
  <c r="J157"/>
  <c r="P69" i="7"/>
  <c r="J158" i="36"/>
  <c r="Q100"/>
  <c r="Q53"/>
  <c r="G98" i="15"/>
  <c r="S98"/>
  <c r="S123"/>
  <c r="C40" i="8"/>
  <c r="G36" i="15"/>
  <c r="J36"/>
  <c r="J123"/>
  <c r="J140"/>
  <c r="J142"/>
  <c r="J144"/>
  <c r="B39"/>
  <c r="G123"/>
  <c r="L26" i="3"/>
  <c r="L27" s="1"/>
  <c r="D40" i="8"/>
  <c r="D38" i="15"/>
  <c r="D39"/>
  <c r="F42"/>
  <c r="J282" i="11"/>
  <c r="I213"/>
  <c r="K221" s="1"/>
  <c r="H50" i="3"/>
  <c r="O42" s="1"/>
  <c r="M125" i="15"/>
  <c r="G125"/>
  <c r="M151"/>
  <c r="B33" i="8"/>
  <c r="B37"/>
  <c r="C37" s="1"/>
  <c r="D37" s="1"/>
  <c r="E37" s="1"/>
  <c r="B34"/>
  <c r="G34"/>
  <c r="G33"/>
  <c r="E63"/>
  <c r="E64"/>
  <c r="C93"/>
  <c r="C94"/>
  <c r="H34"/>
  <c r="H33"/>
  <c r="D63"/>
  <c r="D64"/>
  <c r="B93"/>
  <c r="B94"/>
  <c r="J93"/>
  <c r="J94"/>
  <c r="E34"/>
  <c r="E33"/>
  <c r="G64"/>
  <c r="G63"/>
  <c r="E94"/>
  <c r="E93"/>
  <c r="K93"/>
  <c r="K94"/>
  <c r="F33"/>
  <c r="F34"/>
  <c r="F63"/>
  <c r="F64"/>
  <c r="D94"/>
  <c r="D93"/>
  <c r="K34"/>
  <c r="K33"/>
  <c r="C34"/>
  <c r="C33"/>
  <c r="I64"/>
  <c r="I63"/>
  <c r="G94"/>
  <c r="G93"/>
  <c r="D33"/>
  <c r="D34"/>
  <c r="H63"/>
  <c r="H64"/>
  <c r="F93"/>
  <c r="F94"/>
  <c r="I34"/>
  <c r="I33"/>
  <c r="C64"/>
  <c r="C63"/>
  <c r="K64"/>
  <c r="K63"/>
  <c r="I94"/>
  <c r="I93"/>
  <c r="J34"/>
  <c r="J33"/>
  <c r="B64"/>
  <c r="B63"/>
  <c r="J63"/>
  <c r="J64"/>
  <c r="H94"/>
  <c r="H93"/>
  <c r="L25" i="3"/>
  <c r="H49"/>
  <c r="J154" i="15"/>
  <c r="J155" s="1"/>
  <c r="J157" s="1"/>
  <c r="J159" s="1"/>
  <c r="P30" i="11" l="1"/>
  <c r="H51" i="3"/>
  <c r="H55" i="7"/>
  <c r="C14" i="8"/>
  <c r="G14"/>
  <c r="K14"/>
  <c r="E44"/>
  <c r="I44"/>
  <c r="C74"/>
  <c r="G74"/>
  <c r="E33" i="15"/>
  <c r="F14" i="8"/>
  <c r="J14"/>
  <c r="D44"/>
  <c r="H44"/>
  <c r="B74"/>
  <c r="F74"/>
  <c r="J74"/>
  <c r="D21"/>
  <c r="H51"/>
  <c r="I81"/>
  <c r="E14"/>
  <c r="I14"/>
  <c r="C44"/>
  <c r="G44"/>
  <c r="K44"/>
  <c r="E74"/>
  <c r="I74"/>
  <c r="Q13" i="36"/>
  <c r="Q11"/>
  <c r="L214" i="11"/>
  <c r="R30"/>
  <c r="D41" i="8"/>
  <c r="C36"/>
  <c r="O264" i="11"/>
  <c r="P51" i="7"/>
  <c r="P53" s="1"/>
  <c r="P58" s="1"/>
  <c r="F81" i="8"/>
  <c r="J81"/>
  <c r="B15"/>
  <c r="O218" i="11"/>
  <c r="F37" i="8"/>
  <c r="E100"/>
  <c r="J161" i="15"/>
  <c r="L278" i="11"/>
  <c r="Q16" i="36"/>
  <c r="Q17"/>
  <c r="Q14"/>
  <c r="Q19"/>
  <c r="E70" i="8"/>
  <c r="O273" i="11"/>
  <c r="I214"/>
  <c r="O41" i="3"/>
  <c r="O43" s="1"/>
  <c r="E40" i="8"/>
  <c r="Q20" i="36"/>
  <c r="P264" i="11"/>
  <c r="P273"/>
  <c r="J21" i="8"/>
  <c r="F21"/>
  <c r="B51"/>
  <c r="F51"/>
  <c r="J51"/>
  <c r="D81"/>
  <c r="H81"/>
  <c r="K81"/>
  <c r="K21"/>
  <c r="G21"/>
  <c r="C21"/>
  <c r="E51"/>
  <c r="I51"/>
  <c r="C81"/>
  <c r="B16" l="1"/>
  <c r="K6" s="1"/>
  <c r="G75"/>
  <c r="G76" s="1"/>
  <c r="E75"/>
  <c r="B75"/>
  <c r="B76" s="1"/>
  <c r="I45"/>
  <c r="I46" s="1"/>
  <c r="I50" s="1"/>
  <c r="G45"/>
  <c r="D45"/>
  <c r="D46" s="1"/>
  <c r="D50" s="1"/>
  <c r="K15"/>
  <c r="K16" s="1"/>
  <c r="K20" s="1"/>
  <c r="I15"/>
  <c r="F15"/>
  <c r="F16" s="1"/>
  <c r="C15"/>
  <c r="C16" s="1"/>
  <c r="I75"/>
  <c r="I76" s="1"/>
  <c r="D75"/>
  <c r="F45"/>
  <c r="H15"/>
  <c r="K75"/>
  <c r="K76" s="1"/>
  <c r="K80" s="1"/>
  <c r="J75"/>
  <c r="J76" s="1"/>
  <c r="J80" s="1"/>
  <c r="H75"/>
  <c r="J45"/>
  <c r="B45"/>
  <c r="D15"/>
  <c r="F75"/>
  <c r="F76" s="1"/>
  <c r="K45"/>
  <c r="H45"/>
  <c r="H46" s="1"/>
  <c r="H50" s="1"/>
  <c r="C45"/>
  <c r="J15"/>
  <c r="J16" s="1"/>
  <c r="J20" s="1"/>
  <c r="E15"/>
  <c r="K5"/>
  <c r="C75"/>
  <c r="C76" s="1"/>
  <c r="E45"/>
  <c r="E46" s="1"/>
  <c r="G15"/>
  <c r="G16" s="1"/>
  <c r="D36"/>
  <c r="P201" i="11"/>
  <c r="P193" s="1"/>
  <c r="E41" i="8"/>
  <c r="F70"/>
  <c r="O201" i="11"/>
  <c r="F100" i="8"/>
  <c r="P263" i="11"/>
  <c r="F40" i="8"/>
  <c r="J163" i="15"/>
  <c r="M163"/>
  <c r="F20" i="8"/>
  <c r="O263" i="11"/>
  <c r="G37" i="8"/>
  <c r="R218" i="11"/>
  <c r="C20" i="8"/>
  <c r="F80"/>
  <c r="B20" l="1"/>
  <c r="P147" i="36" s="1"/>
  <c r="G80" i="8"/>
  <c r="E50"/>
  <c r="G20"/>
  <c r="K7"/>
  <c r="C46"/>
  <c r="C50" s="1"/>
  <c r="D16"/>
  <c r="D20" s="1"/>
  <c r="D80"/>
  <c r="D76"/>
  <c r="I16"/>
  <c r="I20" s="1"/>
  <c r="E36"/>
  <c r="B46"/>
  <c r="B50" s="1"/>
  <c r="H76"/>
  <c r="H80" s="1"/>
  <c r="F46"/>
  <c r="F50" s="1"/>
  <c r="G46"/>
  <c r="G50" s="1"/>
  <c r="I80"/>
  <c r="F41"/>
  <c r="E20"/>
  <c r="E16"/>
  <c r="K46"/>
  <c r="K50" s="1"/>
  <c r="J46"/>
  <c r="J50" s="1"/>
  <c r="H16"/>
  <c r="H20"/>
  <c r="E76"/>
  <c r="E80" s="1"/>
  <c r="B80"/>
  <c r="C80"/>
  <c r="G100"/>
  <c r="O193" i="11"/>
  <c r="G70" i="8"/>
  <c r="H37"/>
  <c r="G40"/>
  <c r="P291" i="11"/>
  <c r="J165" i="15"/>
  <c r="N148" i="36" l="1"/>
  <c r="P157"/>
  <c r="N149"/>
  <c r="F36" i="8"/>
  <c r="G41"/>
  <c r="H100"/>
  <c r="H40"/>
  <c r="J6" i="7"/>
  <c r="J40" i="3"/>
  <c r="L40" s="1"/>
  <c r="J41"/>
  <c r="L41" s="1"/>
  <c r="E92" i="15"/>
  <c r="I37" i="8"/>
  <c r="O291" i="11"/>
  <c r="P6"/>
  <c r="P292"/>
  <c r="H70" i="8"/>
  <c r="G36" l="1"/>
  <c r="H41"/>
  <c r="P165" i="36"/>
  <c r="N157"/>
  <c r="B19" i="8"/>
  <c r="O6" i="11"/>
  <c r="O292"/>
  <c r="I100" i="8"/>
  <c r="I70"/>
  <c r="J37"/>
  <c r="I40"/>
  <c r="H49" l="1"/>
  <c r="G79"/>
  <c r="I19"/>
  <c r="B49"/>
  <c r="C49"/>
  <c r="E19"/>
  <c r="E49"/>
  <c r="J79"/>
  <c r="D49"/>
  <c r="K79"/>
  <c r="B35"/>
  <c r="B79"/>
  <c r="H19"/>
  <c r="J19"/>
  <c r="C19"/>
  <c r="G49"/>
  <c r="D79"/>
  <c r="E79"/>
  <c r="I49"/>
  <c r="F19"/>
  <c r="C79"/>
  <c r="F79"/>
  <c r="D19"/>
  <c r="J49"/>
  <c r="F49"/>
  <c r="H79"/>
  <c r="I79"/>
  <c r="K19"/>
  <c r="G19"/>
  <c r="K49"/>
  <c r="B22"/>
  <c r="I41"/>
  <c r="H36"/>
  <c r="J40"/>
  <c r="K37"/>
  <c r="J100"/>
  <c r="J70"/>
  <c r="C52" l="1"/>
  <c r="C65"/>
  <c r="J41"/>
  <c r="K22"/>
  <c r="K35"/>
  <c r="J52"/>
  <c r="J65"/>
  <c r="F22"/>
  <c r="F35"/>
  <c r="G52"/>
  <c r="G65"/>
  <c r="B82"/>
  <c r="B95"/>
  <c r="J82"/>
  <c r="J95"/>
  <c r="B52"/>
  <c r="B65"/>
  <c r="H52"/>
  <c r="H65"/>
  <c r="G22"/>
  <c r="G35"/>
  <c r="F65"/>
  <c r="F52"/>
  <c r="C82"/>
  <c r="C95"/>
  <c r="D82"/>
  <c r="D95"/>
  <c r="H22"/>
  <c r="H35"/>
  <c r="K52"/>
  <c r="K65"/>
  <c r="H82"/>
  <c r="H95"/>
  <c r="F82"/>
  <c r="F95"/>
  <c r="E82"/>
  <c r="E95"/>
  <c r="J22"/>
  <c r="J35"/>
  <c r="K95"/>
  <c r="K82"/>
  <c r="E22"/>
  <c r="E35"/>
  <c r="G95"/>
  <c r="G82"/>
  <c r="D52"/>
  <c r="D65"/>
  <c r="I36"/>
  <c r="B32"/>
  <c r="B30"/>
  <c r="B31"/>
  <c r="I82"/>
  <c r="I95"/>
  <c r="D22"/>
  <c r="D35"/>
  <c r="I52"/>
  <c r="I65"/>
  <c r="C35"/>
  <c r="C22"/>
  <c r="E52"/>
  <c r="E65"/>
  <c r="I22"/>
  <c r="I35"/>
  <c r="K70"/>
  <c r="K100"/>
  <c r="B67"/>
  <c r="K40"/>
  <c r="C30" l="1"/>
  <c r="C31"/>
  <c r="C32"/>
  <c r="I61"/>
  <c r="I60"/>
  <c r="I62"/>
  <c r="G91"/>
  <c r="G92"/>
  <c r="G90"/>
  <c r="E32"/>
  <c r="E31"/>
  <c r="E30"/>
  <c r="F90"/>
  <c r="F92"/>
  <c r="F91"/>
  <c r="J90"/>
  <c r="J92"/>
  <c r="J91"/>
  <c r="C61"/>
  <c r="C60"/>
  <c r="C62"/>
  <c r="E92"/>
  <c r="E91"/>
  <c r="E90"/>
  <c r="F30"/>
  <c r="F32"/>
  <c r="F31"/>
  <c r="K41"/>
  <c r="I31"/>
  <c r="I32"/>
  <c r="I30"/>
  <c r="D31"/>
  <c r="D30"/>
  <c r="D32"/>
  <c r="J36"/>
  <c r="H90"/>
  <c r="H91"/>
  <c r="H92"/>
  <c r="K61"/>
  <c r="K60"/>
  <c r="K62"/>
  <c r="H32"/>
  <c r="H30"/>
  <c r="H31"/>
  <c r="F62"/>
  <c r="F61"/>
  <c r="F60"/>
  <c r="G32"/>
  <c r="G30"/>
  <c r="G31"/>
  <c r="B91"/>
  <c r="B92"/>
  <c r="B90"/>
  <c r="G62"/>
  <c r="G60"/>
  <c r="G61"/>
  <c r="K32"/>
  <c r="K30"/>
  <c r="K31"/>
  <c r="C92"/>
  <c r="C91"/>
  <c r="C90"/>
  <c r="B60"/>
  <c r="B61"/>
  <c r="B62"/>
  <c r="J60"/>
  <c r="J61"/>
  <c r="J62"/>
  <c r="E60"/>
  <c r="E62"/>
  <c r="E61"/>
  <c r="I92"/>
  <c r="I91"/>
  <c r="I90"/>
  <c r="D60"/>
  <c r="D61"/>
  <c r="D62"/>
  <c r="K92"/>
  <c r="K90"/>
  <c r="K91"/>
  <c r="J31"/>
  <c r="J32"/>
  <c r="J30"/>
  <c r="D91"/>
  <c r="D92"/>
  <c r="D90"/>
  <c r="H61"/>
  <c r="H62"/>
  <c r="H60"/>
  <c r="C67"/>
  <c r="K36" l="1"/>
  <c r="B71"/>
  <c r="D67"/>
  <c r="B66" l="1"/>
  <c r="C71"/>
  <c r="E67"/>
  <c r="C66" l="1"/>
  <c r="D71"/>
  <c r="F67"/>
  <c r="D66" l="1"/>
  <c r="E71"/>
  <c r="G67"/>
  <c r="E66" l="1"/>
  <c r="F71"/>
  <c r="H67"/>
  <c r="F66" l="1"/>
  <c r="G71"/>
  <c r="I67"/>
  <c r="G66" l="1"/>
  <c r="H71"/>
  <c r="J67"/>
  <c r="H66" l="1"/>
  <c r="I71"/>
  <c r="K67"/>
  <c r="I66" l="1"/>
  <c r="J71"/>
  <c r="B97"/>
  <c r="J66" l="1"/>
  <c r="K71"/>
  <c r="C97"/>
  <c r="K66" l="1"/>
  <c r="B101"/>
  <c r="D97"/>
  <c r="B96" l="1"/>
  <c r="C101"/>
  <c r="E97"/>
  <c r="C96" l="1"/>
  <c r="D101"/>
  <c r="F97"/>
  <c r="D96" l="1"/>
  <c r="E101"/>
  <c r="G97"/>
  <c r="E96" l="1"/>
  <c r="F101"/>
  <c r="H97"/>
  <c r="F96" l="1"/>
  <c r="G101"/>
  <c r="I97"/>
  <c r="G96" l="1"/>
  <c r="H101"/>
  <c r="J97"/>
  <c r="H96" l="1"/>
  <c r="I101"/>
  <c r="K97"/>
  <c r="I96" l="1"/>
  <c r="J101"/>
  <c r="J96" l="1"/>
  <c r="K101"/>
  <c r="K96" l="1"/>
</calcChain>
</file>

<file path=xl/sharedStrings.xml><?xml version="1.0" encoding="utf-8"?>
<sst xmlns="http://schemas.openxmlformats.org/spreadsheetml/2006/main" count="7883" uniqueCount="4123">
  <si>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</si>
  <si>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</si>
  <si>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</si>
  <si>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</si>
  <si>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</si>
  <si>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</si>
  <si>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</si>
  <si>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</si>
  <si>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</si>
  <si>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</si>
  <si>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</si>
  <si>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</si>
  <si>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</si>
  <si>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</si>
  <si>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</si>
  <si>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</si>
  <si>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</si>
  <si>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</si>
  <si>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</si>
  <si>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</si>
  <si>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</si>
  <si>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</si>
  <si>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</si>
  <si>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</si>
  <si>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</si>
  <si>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</si>
  <si>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</si>
  <si>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</si>
  <si>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</si>
  <si>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</si>
  <si>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</si>
  <si>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</si>
  <si>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</si>
  <si>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</si>
  <si>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</si>
  <si>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</si>
  <si>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</si>
  <si>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</si>
  <si>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</si>
  <si>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</si>
  <si>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</si>
  <si>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</si>
  <si>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</si>
  <si>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</si>
  <si>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</si>
  <si>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</si>
  <si>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</si>
  <si>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</si>
  <si>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</si>
  <si>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</si>
  <si>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</si>
  <si>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</si>
  <si>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</si>
  <si>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</si>
  <si>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</si>
  <si>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</si>
  <si>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</si>
  <si>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</si>
  <si>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</si>
  <si>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</si>
  <si>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</si>
  <si>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</si>
  <si>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</si>
  <si>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</si>
  <si>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</si>
  <si>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</si>
  <si>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</si>
  <si>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</si>
  <si>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</si>
  <si>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</si>
  <si>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</si>
  <si>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</si>
  <si>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</si>
  <si>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</si>
  <si>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</si>
  <si>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</si>
  <si>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</si>
  <si>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</si>
  <si>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</si>
  <si>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</si>
  <si>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</si>
  <si>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</si>
  <si>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</si>
  <si>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</si>
  <si>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</si>
  <si>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</si>
  <si>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</si>
  <si>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</si>
  <si>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</si>
  <si>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</si>
  <si>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</si>
  <si>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</si>
  <si>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</si>
  <si>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</si>
  <si>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</si>
  <si>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</si>
  <si>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</si>
  <si>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</si>
  <si>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</si>
  <si>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</si>
  <si>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</si>
  <si>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</si>
  <si>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</si>
  <si>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</si>
  <si>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</si>
  <si>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</si>
  <si>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</si>
  <si>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</si>
  <si>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</si>
  <si>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</si>
  <si>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</si>
  <si>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</si>
  <si>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</si>
  <si>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</si>
  <si>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</si>
  <si>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</si>
  <si>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</si>
  <si>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</si>
  <si>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</si>
  <si>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</si>
  <si>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</si>
  <si>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</si>
  <si>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</si>
  <si>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</si>
  <si>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</si>
  <si>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</si>
  <si>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</si>
  <si>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</si>
  <si>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</si>
  <si>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</si>
  <si>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</si>
  <si>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</si>
  <si>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</si>
  <si>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</si>
  <si>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</si>
  <si>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</si>
  <si>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</si>
  <si>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</si>
  <si>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</si>
  <si>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</si>
  <si>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</si>
  <si>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</si>
  <si>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</si>
  <si>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</si>
  <si>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</si>
  <si>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</si>
  <si>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</si>
  <si>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</si>
  <si>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</si>
  <si>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</si>
  <si>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</si>
  <si>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</si>
  <si>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</si>
  <si>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</si>
  <si>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</si>
  <si>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</si>
  <si>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</si>
  <si>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</si>
  <si>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</si>
  <si>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</si>
  <si>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</si>
  <si>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</si>
  <si>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</si>
  <si>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</si>
  <si>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</si>
  <si>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</si>
  <si>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</si>
  <si>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</si>
  <si>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</si>
  <si>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</si>
  <si>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</si>
  <si>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</si>
  <si>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</si>
  <si>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</si>
  <si>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</si>
  <si>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</si>
  <si>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</si>
  <si>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</si>
  <si>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</si>
  <si>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</si>
  <si>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</si>
  <si>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</si>
  <si>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</si>
  <si>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</si>
  <si>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</si>
  <si>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</si>
  <si>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</si>
  <si>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</si>
  <si>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</si>
  <si>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</si>
  <si>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</si>
  <si>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</si>
  <si>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</si>
  <si>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</si>
  <si>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</si>
  <si>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</si>
  <si>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</si>
  <si>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</si>
  <si>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</si>
  <si>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</si>
  <si>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</si>
  <si>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</si>
  <si>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</si>
  <si>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</si>
  <si>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</si>
  <si>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</si>
  <si>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</si>
  <si>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</si>
  <si>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</si>
  <si>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</si>
  <si>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</si>
  <si>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</si>
  <si>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</si>
  <si>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</si>
  <si>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</si>
  <si>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</si>
  <si>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</si>
  <si>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</si>
  <si>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</si>
  <si>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</si>
  <si>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</si>
  <si>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</si>
  <si>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</si>
  <si>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</si>
  <si>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</si>
  <si>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</si>
  <si>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</si>
  <si>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</si>
  <si>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</si>
  <si>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</si>
  <si>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</si>
  <si>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</si>
  <si>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</si>
  <si>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</si>
  <si>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</si>
  <si>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</si>
  <si>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</si>
  <si>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</si>
  <si>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</si>
  <si>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</si>
  <si>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</si>
  <si>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</si>
  <si>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</si>
  <si>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</si>
  <si>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</si>
  <si>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</si>
  <si>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</si>
  <si>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</si>
  <si>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</si>
  <si>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</si>
  <si>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</si>
  <si>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</si>
  <si>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</si>
  <si>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</si>
  <si>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</si>
  <si>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</si>
  <si>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</si>
  <si>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</si>
  <si>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</si>
  <si>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</si>
  <si>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</si>
  <si>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</si>
  <si>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</si>
  <si>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</si>
  <si>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</si>
  <si>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</si>
  <si>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</si>
  <si>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</si>
  <si>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</si>
  <si>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</si>
  <si>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</si>
  <si>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</si>
  <si>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</si>
  <si>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</si>
  <si>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</si>
  <si>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</si>
  <si>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</si>
  <si>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</si>
  <si>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</si>
  <si>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</si>
  <si>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</si>
  <si>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</si>
  <si>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</si>
  <si>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</si>
  <si>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</si>
  <si>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</si>
  <si>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</si>
  <si>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</si>
  <si>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</si>
  <si>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</si>
  <si>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</si>
  <si>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</si>
  <si>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</si>
  <si>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</si>
  <si>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</si>
  <si>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</si>
  <si>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</si>
  <si>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</si>
  <si>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</si>
  <si>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</si>
  <si>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</si>
  <si>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</si>
  <si>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</si>
  <si>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</si>
  <si>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</si>
  <si>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</si>
  <si>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</si>
  <si>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</si>
  <si>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</si>
  <si>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</si>
  <si>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</si>
  <si>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</si>
  <si>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</si>
  <si>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</si>
  <si>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</si>
  <si>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</si>
  <si>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</si>
  <si>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</si>
  <si>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</si>
  <si>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</si>
  <si>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</si>
  <si>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</si>
  <si>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</si>
  <si>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</si>
  <si>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</si>
  <si>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</si>
  <si>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</si>
  <si>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</si>
  <si>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</si>
  <si>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</si>
  <si>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</si>
  <si>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</si>
  <si>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</si>
  <si>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</si>
  <si>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</si>
  <si>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</si>
  <si>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</si>
  <si>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</si>
  <si>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</si>
  <si>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</si>
  <si>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</si>
  <si>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</si>
  <si>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</si>
  <si>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</si>
  <si>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</si>
  <si>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</si>
  <si>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</si>
  <si>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</si>
  <si>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</si>
  <si>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</si>
  <si>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</si>
  <si>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</si>
  <si>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</si>
  <si>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</si>
  <si>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</si>
  <si>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</si>
  <si>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</si>
  <si>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</si>
  <si>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</si>
  <si>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</si>
  <si>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</si>
  <si>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</si>
  <si>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</si>
  <si>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</si>
  <si>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</si>
  <si>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</si>
  <si>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</si>
  <si>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</si>
  <si>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</si>
  <si>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</si>
  <si>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</si>
  <si>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</si>
  <si>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</si>
  <si>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</si>
  <si>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</si>
  <si>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</si>
  <si>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</si>
  <si>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</si>
  <si>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</si>
  <si>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</si>
  <si>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</si>
  <si>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</si>
  <si>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</si>
  <si>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</si>
  <si>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</si>
  <si>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</si>
  <si>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</si>
  <si>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</si>
  <si>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</si>
  <si>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</si>
  <si>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</si>
  <si>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</si>
  <si>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</si>
  <si>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</si>
  <si>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</si>
  <si>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</si>
  <si>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</si>
  <si>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</si>
  <si>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</si>
  <si>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</si>
  <si>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</si>
  <si>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</si>
  <si>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</si>
  <si>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</si>
  <si>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</si>
  <si>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</si>
  <si>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</si>
  <si>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</si>
  <si>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</si>
  <si>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</si>
  <si>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</si>
  <si>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</si>
  <si>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</si>
  <si>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</si>
  <si>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</si>
  <si>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</si>
  <si>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</si>
  <si>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</si>
  <si>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</si>
  <si>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</si>
  <si>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</si>
  <si>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</si>
  <si>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</si>
  <si>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</si>
  <si>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</si>
  <si>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</si>
  <si>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</si>
  <si>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</si>
  <si>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</si>
  <si>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</si>
  <si>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</si>
  <si>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</si>
  <si>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</si>
  <si>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</si>
  <si>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</si>
  <si>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</si>
  <si>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</si>
  <si>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</si>
  <si>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</si>
  <si>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</si>
  <si>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</si>
  <si>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</si>
  <si>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</si>
  <si>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</si>
  <si>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</si>
  <si>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</si>
  <si>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</si>
  <si>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</si>
  <si>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</si>
  <si>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</si>
  <si>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</si>
  <si>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</si>
  <si>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</si>
  <si>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</si>
  <si>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</si>
  <si>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</si>
  <si>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</si>
  <si>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</si>
  <si>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</si>
  <si>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</si>
  <si>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</si>
  <si>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</si>
  <si>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</si>
  <si>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</si>
  <si>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</si>
  <si>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</si>
  <si>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</si>
  <si>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</si>
  <si>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</si>
  <si>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</si>
  <si>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</si>
  <si>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</si>
  <si>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</si>
  <si>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</si>
  <si>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</si>
  <si>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</si>
  <si>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</si>
  <si>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</si>
  <si>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</si>
  <si>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</si>
  <si>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</si>
  <si>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</si>
  <si>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</si>
  <si>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</si>
  <si>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</si>
  <si>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</si>
  <si>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</si>
  <si>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</si>
  <si>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</si>
  <si>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</si>
  <si>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</si>
  <si>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</si>
  <si>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</si>
  <si>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</si>
  <si>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</si>
  <si>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</si>
  <si>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</si>
  <si>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</si>
  <si>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</si>
  <si>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</si>
  <si>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</si>
  <si>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</si>
  <si>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</si>
  <si>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</si>
  <si>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</si>
  <si>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</si>
  <si>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</si>
  <si>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</si>
  <si>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</si>
  <si>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</si>
  <si>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</si>
  <si>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</si>
  <si>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</si>
  <si>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</si>
  <si>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</si>
  <si>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</si>
  <si>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</si>
  <si>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</si>
  <si>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</si>
  <si>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</si>
  <si>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</si>
  <si>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</si>
  <si>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</si>
  <si>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</si>
  <si>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</si>
  <si>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</si>
  <si>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</si>
  <si>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</si>
  <si>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</si>
  <si>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</si>
  <si>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</si>
  <si>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</si>
  <si>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</si>
  <si>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</si>
  <si>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</si>
  <si>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</si>
  <si>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</si>
  <si>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</si>
  <si>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</si>
  <si>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</si>
  <si>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</si>
  <si>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</si>
  <si>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</si>
  <si>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</si>
  <si>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</si>
  <si>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</si>
  <si>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</si>
  <si>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</si>
  <si>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</si>
  <si>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</si>
  <si>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</si>
  <si>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</si>
  <si>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</si>
  <si>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</si>
  <si>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</si>
  <si>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</si>
  <si>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</si>
  <si>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</si>
  <si>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</si>
  <si>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</si>
  <si>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</si>
  <si>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</si>
  <si>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</si>
  <si>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</si>
  <si>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</si>
  <si>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</si>
  <si>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</si>
  <si>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</si>
  <si>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</si>
  <si>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</si>
  <si>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</si>
  <si>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</si>
  <si>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</si>
  <si>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</si>
  <si>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</si>
  <si>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</si>
  <si>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</si>
  <si>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</si>
  <si>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</si>
  <si>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</si>
  <si>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</si>
  <si>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</si>
  <si>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</si>
  <si>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</si>
  <si>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</si>
  <si>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</si>
  <si>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</si>
  <si>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</si>
  <si>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</si>
  <si>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</si>
  <si>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</si>
  <si>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</si>
  <si>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</si>
  <si>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</si>
  <si>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</si>
  <si>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</si>
  <si>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</si>
  <si>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</si>
  <si>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</si>
  <si>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</si>
  <si>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</si>
  <si>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</si>
  <si>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</si>
  <si>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</si>
  <si>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</si>
  <si>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</si>
  <si>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</si>
  <si>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</si>
  <si>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</si>
  <si>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</si>
  <si>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</si>
  <si>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</si>
  <si>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</si>
  <si>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</si>
  <si>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</si>
  <si>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</si>
  <si>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</si>
  <si>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</si>
  <si>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</si>
  <si>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</si>
  <si>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</si>
  <si>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</si>
  <si>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</si>
  <si>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</si>
  <si>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</si>
  <si>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</si>
  <si>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</si>
  <si>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</si>
  <si>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</si>
  <si>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</si>
  <si>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</si>
  <si>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</si>
  <si>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</si>
  <si>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</si>
  <si>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</si>
  <si>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</si>
  <si>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</si>
  <si>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</si>
  <si>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</si>
  <si>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</si>
  <si>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</si>
  <si>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</si>
  <si>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</si>
  <si>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</si>
  <si>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</si>
  <si>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</si>
  <si>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</si>
  <si>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</si>
  <si>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</si>
  <si>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</si>
  <si>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</si>
  <si>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</si>
  <si>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</si>
  <si>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</si>
  <si>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</si>
  <si>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</si>
  <si>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</si>
  <si>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</si>
  <si>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</si>
  <si>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</si>
  <si>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</si>
  <si>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</si>
  <si>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</si>
  <si>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</si>
  <si>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</si>
  <si>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</si>
  <si>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</si>
  <si>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</si>
  <si>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</si>
  <si>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</si>
  <si>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</si>
  <si>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</si>
  <si>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</si>
  <si>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</si>
  <si>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</si>
  <si>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</si>
  <si>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</si>
  <si>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</si>
  <si>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</si>
  <si>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</si>
  <si>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</si>
  <si>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</si>
  <si>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</si>
  <si>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</si>
  <si>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</si>
  <si>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</si>
  <si>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</si>
  <si>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</si>
  <si>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</si>
  <si>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</si>
  <si>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</si>
  <si>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</si>
  <si>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</si>
  <si>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</si>
  <si>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</si>
  <si>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</si>
  <si>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</si>
  <si>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</si>
  <si>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</si>
  <si>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</si>
  <si>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</si>
  <si>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</si>
  <si>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</si>
  <si>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</si>
  <si>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</si>
  <si>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</si>
  <si>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</si>
  <si>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</si>
  <si>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</si>
  <si>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</si>
  <si>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</si>
  <si>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</si>
  <si>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</si>
  <si>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</si>
  <si>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</si>
  <si>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</si>
  <si>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</si>
  <si>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</si>
  <si>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</si>
  <si>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</si>
  <si>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</si>
  <si>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</si>
  <si>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</si>
  <si>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</si>
  <si>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</si>
  <si>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</si>
  <si>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</si>
  <si>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</si>
  <si>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</si>
  <si>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</si>
  <si>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</si>
  <si>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</si>
  <si>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</si>
  <si>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</si>
  <si>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</si>
  <si>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</si>
  <si>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</si>
  <si>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</si>
  <si>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</si>
  <si>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</si>
  <si>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</si>
  <si>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</si>
  <si>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</si>
  <si>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</si>
  <si>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</si>
  <si>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</si>
  <si>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</si>
  <si>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</si>
  <si>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</si>
  <si>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</si>
  <si>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</si>
  <si>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</si>
  <si>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</si>
  <si>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</si>
  <si>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</si>
  <si>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</si>
  <si>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</si>
  <si>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</si>
  <si>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</si>
  <si>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</si>
  <si>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</si>
  <si>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</si>
  <si>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</si>
  <si>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</si>
  <si>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</si>
  <si>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</si>
  <si>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</si>
  <si>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</si>
  <si>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</si>
  <si>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</si>
  <si>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</si>
  <si>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</si>
  <si>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</si>
  <si>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</si>
  <si>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</si>
  <si>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</si>
  <si>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</si>
  <si>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</si>
  <si>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</si>
  <si>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</si>
  <si>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</si>
  <si>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</si>
  <si>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</si>
  <si>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</si>
  <si>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</si>
  <si>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</si>
  <si>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</si>
  <si>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</si>
  <si>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</si>
  <si>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</si>
  <si>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</si>
  <si>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</si>
  <si>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</si>
  <si>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</si>
  <si>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</si>
  <si>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</si>
  <si>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</si>
  <si>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</si>
  <si>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</si>
  <si>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</si>
  <si>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</si>
  <si>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</si>
  <si>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</si>
  <si>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</si>
  <si>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</si>
  <si>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</si>
  <si>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</si>
  <si>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</si>
  <si>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</si>
  <si>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</si>
  <si>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</si>
  <si>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</si>
  <si>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</si>
  <si>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</si>
  <si>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</si>
  <si>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</si>
  <si>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</si>
  <si>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</si>
  <si>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</si>
  <si>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</si>
  <si>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</si>
  <si>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</si>
  <si>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</si>
  <si>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</si>
  <si>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</si>
  <si>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</si>
  <si>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</si>
  <si>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</si>
  <si>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</si>
  <si>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</si>
  <si>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</si>
  <si>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</si>
  <si>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</si>
  <si>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</si>
  <si>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</si>
  <si>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</si>
  <si>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</si>
  <si>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</si>
  <si>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</si>
  <si>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</si>
  <si>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</si>
  <si>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</si>
  <si>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</si>
  <si>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</si>
  <si>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</si>
  <si>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</si>
  <si>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</si>
  <si>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</si>
  <si>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</si>
  <si>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</si>
  <si>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</si>
  <si>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</si>
  <si>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</si>
  <si>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</si>
  <si>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</si>
  <si>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</si>
  <si>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</si>
  <si>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</si>
  <si>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</si>
  <si>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</si>
  <si>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</si>
  <si>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</si>
  <si>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</si>
  <si>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</si>
  <si>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</si>
  <si>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</si>
  <si>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</si>
  <si>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</si>
  <si>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</si>
  <si>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</si>
  <si>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</si>
  <si>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</si>
  <si>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</si>
  <si>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</si>
  <si>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</si>
  <si>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</si>
  <si>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</si>
  <si>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</si>
  <si>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</si>
  <si>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</si>
  <si>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</si>
  <si>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</si>
  <si>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</si>
  <si>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</si>
  <si>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</si>
  <si>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</si>
  <si>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</si>
  <si>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</si>
  <si>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</si>
  <si>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</si>
  <si>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</si>
  <si>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</si>
  <si>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</si>
  <si>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</si>
  <si>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</si>
  <si>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</si>
  <si>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</si>
  <si>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</si>
  <si>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</si>
  <si>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</si>
  <si>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</si>
  <si>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</si>
  <si>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</si>
  <si>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</si>
  <si>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</si>
  <si>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</si>
  <si>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</si>
  <si>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</si>
  <si>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</si>
  <si>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</si>
  <si>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</si>
  <si>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</si>
  <si>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</si>
  <si>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</si>
  <si>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</si>
  <si>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</si>
  <si>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</si>
  <si>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</si>
  <si>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</si>
  <si>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</si>
  <si>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</si>
  <si>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</si>
  <si>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</si>
  <si>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</si>
  <si>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</si>
  <si>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</si>
  <si>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</si>
  <si>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</si>
  <si>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</si>
  <si>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</si>
  <si>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</si>
  <si>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</si>
  <si>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</si>
  <si>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</si>
  <si>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</si>
  <si>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</si>
  <si>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</si>
  <si>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</si>
  <si>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</si>
  <si>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</si>
  <si>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</si>
  <si>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</si>
  <si>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</si>
  <si>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</si>
  <si>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</si>
  <si>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</si>
  <si>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</si>
  <si>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</si>
  <si>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</si>
  <si>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</si>
  <si>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</si>
  <si>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</si>
  <si>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</si>
  <si>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</si>
  <si>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</si>
  <si>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</si>
  <si>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</si>
  <si>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</si>
  <si>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</si>
  <si>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</si>
  <si>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</si>
  <si>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</si>
  <si>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</si>
  <si>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</si>
  <si>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</si>
  <si>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</si>
  <si>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</si>
  <si>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</si>
  <si>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</si>
  <si>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</si>
  <si>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</si>
  <si>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</si>
  <si>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</si>
  <si>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</si>
  <si>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</si>
  <si>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</si>
  <si>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</si>
  <si>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</si>
  <si>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</si>
  <si>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</si>
  <si>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</si>
  <si>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</si>
  <si>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</si>
  <si>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</si>
  <si>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</si>
  <si>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</si>
  <si>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</si>
  <si>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</si>
  <si>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</si>
  <si>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</si>
  <si>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</si>
  <si>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</si>
  <si>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</si>
  <si>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</si>
  <si>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</si>
  <si>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</si>
  <si>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</si>
  <si>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</si>
  <si>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</si>
  <si>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</si>
  <si>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</si>
  <si>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</si>
  <si>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</si>
  <si>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</si>
  <si>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</si>
  <si>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</si>
  <si>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</si>
  <si>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</si>
  <si>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</si>
  <si>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</si>
  <si>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</si>
  <si>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</si>
  <si>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</si>
  <si>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</si>
  <si>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</si>
  <si>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</si>
  <si>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</si>
  <si>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</si>
  <si>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</si>
  <si>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</si>
  <si>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</si>
  <si>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</si>
  <si>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</si>
  <si>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</si>
  <si>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</si>
  <si>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</si>
  <si>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</si>
  <si>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</si>
  <si>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</si>
  <si>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</si>
  <si>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</si>
  <si>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</si>
  <si>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</si>
  <si>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</si>
  <si>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</si>
  <si>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</si>
  <si>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</si>
  <si>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</si>
  <si>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</si>
  <si>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</si>
  <si>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</si>
  <si>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</si>
  <si>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</si>
  <si>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</si>
  <si>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</si>
  <si>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</si>
  <si>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</si>
  <si>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</si>
  <si>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</si>
  <si>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</si>
  <si>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</si>
  <si>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</si>
  <si>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</si>
  <si>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</si>
  <si>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</si>
  <si>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</si>
  <si>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</si>
  <si>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</si>
  <si>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</si>
  <si>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</si>
  <si>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</si>
  <si>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</si>
  <si>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</si>
  <si>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</si>
  <si>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</si>
  <si>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</si>
  <si>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</si>
  <si>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</si>
  <si>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</si>
  <si>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</si>
  <si>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</si>
  <si>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</si>
  <si>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</si>
  <si>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</si>
  <si>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</si>
  <si>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</si>
  <si>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</si>
  <si>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</si>
  <si>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</si>
  <si>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</si>
  <si>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</si>
  <si>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</si>
  <si>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</si>
  <si>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</si>
  <si>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</si>
  <si>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</si>
  <si>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</si>
  <si>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</si>
  <si>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</si>
  <si>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</si>
  <si>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</si>
  <si>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</si>
  <si>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</si>
  <si>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</si>
  <si>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</si>
  <si>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</si>
  <si>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</si>
  <si>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</si>
  <si>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</si>
  <si>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</si>
  <si>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</si>
  <si>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</si>
  <si>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</si>
  <si>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</si>
  <si>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</si>
  <si>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</si>
  <si>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</si>
  <si>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</si>
  <si>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</si>
  <si>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</si>
  <si>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</si>
  <si>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</si>
  <si>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</si>
  <si>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</si>
  <si>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</si>
  <si>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</si>
  <si>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</si>
  <si>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</si>
  <si>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</si>
  <si>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</si>
  <si>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</si>
  <si>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</si>
  <si>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</si>
  <si>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</si>
  <si>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</si>
  <si>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</si>
  <si>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</si>
  <si>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</si>
  <si>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</si>
  <si>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</si>
  <si>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</si>
  <si>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</si>
  <si>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</si>
  <si>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</si>
  <si>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</si>
  <si>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</si>
  <si>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</si>
  <si>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</si>
  <si>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</si>
  <si>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</si>
  <si>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</si>
  <si>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</si>
  <si>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</si>
  <si>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</si>
  <si>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</si>
  <si>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</si>
  <si>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</si>
  <si>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</si>
  <si>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</si>
  <si>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</si>
  <si>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</si>
  <si>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</si>
  <si>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</si>
  <si>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</si>
  <si>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</si>
  <si>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</si>
  <si>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</si>
  <si>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</si>
  <si>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</si>
  <si>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</si>
  <si>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</si>
  <si>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</si>
  <si>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</si>
  <si>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</si>
  <si>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</si>
  <si>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</si>
  <si>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</si>
  <si>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</si>
  <si>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</si>
  <si>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</si>
  <si>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</si>
  <si>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</si>
  <si>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</si>
  <si>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</si>
  <si>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</si>
  <si>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</si>
  <si>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</si>
  <si>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</si>
  <si>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</si>
  <si>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</si>
  <si>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</si>
  <si>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</si>
  <si>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</si>
  <si>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</si>
  <si>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</si>
  <si>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</si>
  <si>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</si>
  <si>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</si>
  <si>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</si>
  <si>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</si>
  <si>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</si>
  <si>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</si>
  <si>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</si>
  <si>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</si>
  <si>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</si>
  <si>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</si>
  <si>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</si>
  <si>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</si>
  <si>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</si>
  <si>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</si>
  <si>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</si>
  <si>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</si>
  <si>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</si>
  <si>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</si>
  <si>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</si>
  <si>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</si>
  <si>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</si>
  <si>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</si>
  <si>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</si>
  <si>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</si>
  <si>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</si>
  <si>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</si>
  <si>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</si>
  <si>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</si>
  <si>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</si>
  <si>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</si>
  <si>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</si>
  <si>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</si>
  <si>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</si>
  <si>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</si>
  <si>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</si>
  <si>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</si>
  <si>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</si>
  <si>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</si>
  <si>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</si>
  <si>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</si>
  <si>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</si>
  <si>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</si>
  <si>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</si>
  <si>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</si>
  <si>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</si>
  <si>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</si>
  <si>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</si>
  <si>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</si>
  <si>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</si>
  <si>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</si>
  <si>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</si>
  <si>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</si>
  <si>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</si>
  <si>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</si>
  <si>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</si>
  <si>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</si>
  <si>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</si>
  <si>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</si>
  <si>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</si>
  <si>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</si>
  <si>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</si>
  <si>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</si>
  <si>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</si>
  <si>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</si>
  <si>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</si>
  <si>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</si>
  <si>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</si>
  <si>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</si>
  <si>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</si>
  <si>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</si>
  <si>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</si>
  <si>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</si>
  <si>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</si>
  <si>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</si>
  <si>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</si>
  <si>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</si>
  <si>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</si>
  <si>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</si>
  <si>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</si>
  <si>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</si>
  <si>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</si>
  <si>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</si>
  <si>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</si>
  <si>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</si>
  <si>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</si>
  <si>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</si>
  <si>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</si>
  <si>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</si>
  <si>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</si>
  <si>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</si>
  <si>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</si>
  <si>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</si>
  <si>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</si>
  <si>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</si>
  <si>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</si>
  <si>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</si>
  <si>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</si>
  <si>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</si>
  <si>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</si>
  <si>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</si>
  <si>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</si>
  <si>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</si>
  <si>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</si>
  <si>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</si>
  <si>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</si>
  <si>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</si>
  <si>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</si>
  <si>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</si>
  <si>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</si>
  <si>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</si>
  <si>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</si>
  <si>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</si>
  <si>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</si>
  <si>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</si>
  <si>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</si>
  <si>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</si>
  <si>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</si>
  <si>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</si>
  <si>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</si>
  <si>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</si>
  <si>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</si>
  <si>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</si>
  <si>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</si>
  <si>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</si>
  <si>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</si>
  <si>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</si>
  <si>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</si>
  <si>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</si>
  <si>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</si>
  <si>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</si>
  <si>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</si>
  <si>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</si>
  <si>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</si>
  <si>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</si>
  <si>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</si>
  <si>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</si>
  <si>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</si>
  <si>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</si>
  <si>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</si>
  <si>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</si>
  <si>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</si>
  <si>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</si>
  <si>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</si>
  <si>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</si>
  <si>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</si>
  <si>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</si>
  <si>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</si>
  <si>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</si>
  <si>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</si>
  <si>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</si>
  <si>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</si>
  <si>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</si>
  <si>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</si>
  <si>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</si>
  <si>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</si>
  <si>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</si>
  <si>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</si>
  <si>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</si>
  <si>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</si>
  <si>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</si>
  <si>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</si>
  <si>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</si>
  <si>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</si>
  <si>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</si>
  <si>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</si>
  <si>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</si>
  <si>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</si>
  <si>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</si>
  <si>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</si>
  <si>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</si>
  <si>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</si>
  <si>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</si>
  <si>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</si>
  <si>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</si>
  <si>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</si>
  <si>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</si>
  <si>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</si>
  <si>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</si>
  <si>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</si>
  <si>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</si>
  <si>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</si>
  <si>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</si>
  <si>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</si>
  <si>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</si>
  <si>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</si>
  <si>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</si>
  <si>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</si>
  <si>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</si>
  <si>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</si>
  <si>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</si>
  <si>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</si>
  <si>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</si>
  <si>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</si>
  <si>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</si>
  <si>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</si>
  <si>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</si>
  <si>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</si>
  <si>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</si>
  <si>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</si>
  <si>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</si>
  <si>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</si>
  <si>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</si>
  <si>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</si>
  <si>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</si>
  <si>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</si>
  <si>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</si>
  <si>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</si>
  <si>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</si>
  <si>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</si>
  <si>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</si>
  <si>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</si>
  <si>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</si>
  <si>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</si>
  <si>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</si>
  <si>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</si>
  <si>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</si>
  <si>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</si>
  <si>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</si>
  <si>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</si>
  <si>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</si>
  <si>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</si>
  <si>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</si>
  <si>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</si>
  <si>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</si>
  <si>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</si>
  <si>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</si>
  <si>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</si>
  <si>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</si>
  <si>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</si>
  <si>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</si>
  <si>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</si>
  <si>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</si>
  <si>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</si>
  <si>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</si>
  <si>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</si>
  <si>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</si>
  <si>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</si>
  <si>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</si>
  <si>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</si>
  <si>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</si>
  <si>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</si>
  <si>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</si>
  <si>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</si>
  <si>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</si>
  <si>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</si>
  <si>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</si>
  <si>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</si>
  <si>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</si>
  <si>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</si>
  <si>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</si>
  <si>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</si>
  <si>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</si>
  <si>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</si>
  <si>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</si>
  <si>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</si>
  <si>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</si>
  <si>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</si>
  <si>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</si>
  <si>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</si>
  <si>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</si>
  <si>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</si>
  <si>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</si>
  <si>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</si>
  <si>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</si>
  <si>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</si>
  <si>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</si>
  <si>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</si>
  <si>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</si>
  <si>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</si>
  <si>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</si>
  <si>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</si>
  <si>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</si>
  <si>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</si>
  <si>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</si>
  <si>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</si>
  <si>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</si>
  <si>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</si>
  <si>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</si>
  <si>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</si>
  <si>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</si>
  <si>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</si>
  <si>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</si>
  <si>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</si>
  <si>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</si>
  <si>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</si>
  <si>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</si>
  <si>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</si>
  <si>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</si>
  <si>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</si>
  <si>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</si>
  <si>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</si>
  <si>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</si>
  <si>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</si>
  <si>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</si>
  <si>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</si>
  <si>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</si>
  <si>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</si>
  <si>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</si>
  <si>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</si>
  <si>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</si>
  <si>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</si>
  <si>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</si>
  <si>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</si>
  <si>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</si>
  <si>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</si>
  <si>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</si>
  <si>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</si>
  <si>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</si>
  <si>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</si>
  <si>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</si>
  <si>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</si>
  <si>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</si>
  <si>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</si>
  <si>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</si>
  <si>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</si>
  <si>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</si>
  <si>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</si>
  <si>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</si>
  <si>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</si>
  <si>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</si>
  <si>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</si>
  <si>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</si>
  <si>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</si>
  <si>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</si>
  <si>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</si>
  <si>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</si>
  <si>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</si>
  <si>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</si>
  <si>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</si>
  <si>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</si>
  <si>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</si>
  <si>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</si>
  <si>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</si>
  <si>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</si>
  <si>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</si>
  <si>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</si>
  <si>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</si>
  <si>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</si>
  <si>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</si>
  <si>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</si>
  <si>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</si>
  <si>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</si>
  <si>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</si>
  <si>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</si>
  <si>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</si>
  <si>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</si>
  <si>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</si>
  <si>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</si>
  <si>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</si>
  <si>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</si>
  <si>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</si>
  <si>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</si>
  <si>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</si>
  <si>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</si>
  <si>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</si>
  <si>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</si>
  <si>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</si>
  <si>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</si>
  <si>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</si>
  <si>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</si>
  <si>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</si>
  <si>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</si>
  <si>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</si>
  <si>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</si>
  <si>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</si>
  <si>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</si>
  <si>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</si>
  <si>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</si>
  <si>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</si>
  <si>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</si>
  <si>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</si>
  <si>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</si>
  <si>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</si>
  <si>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</si>
  <si>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</si>
  <si>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</si>
  <si>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</si>
  <si>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</si>
  <si>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</si>
  <si>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</si>
  <si>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</si>
  <si>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</si>
  <si>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</si>
  <si>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</si>
  <si>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</si>
  <si>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</si>
  <si>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</si>
  <si>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</si>
  <si>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</si>
  <si>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</si>
  <si>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</si>
  <si>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</si>
  <si>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</si>
  <si>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</si>
  <si>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</si>
  <si>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</si>
  <si>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</si>
  <si>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</si>
  <si>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</si>
  <si>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</si>
  <si>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</si>
  <si>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</si>
  <si>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</si>
  <si>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</si>
  <si>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</si>
  <si>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</si>
  <si>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</si>
  <si>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</si>
  <si>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</si>
  <si>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</si>
  <si>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</si>
  <si>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</si>
  <si>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</si>
  <si>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</si>
  <si>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</si>
  <si>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</si>
  <si>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</si>
  <si>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</si>
  <si>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</si>
  <si>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</si>
  <si>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</si>
  <si>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</si>
  <si>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</si>
  <si>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</si>
  <si>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</si>
  <si>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</si>
  <si>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</si>
  <si>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</si>
  <si>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</si>
  <si>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</si>
  <si>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</si>
  <si>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</si>
  <si>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</si>
  <si>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</si>
  <si>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</si>
  <si>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</si>
  <si>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</si>
  <si>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</si>
  <si>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</si>
  <si>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</si>
  <si>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</si>
  <si>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</si>
  <si>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</si>
  <si>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</si>
  <si>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</si>
  <si>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</si>
  <si>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</si>
  <si>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</si>
  <si>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</si>
  <si>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</si>
  <si>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</si>
  <si>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</si>
  <si>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</si>
  <si>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</si>
  <si>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</si>
  <si>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</si>
  <si>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</si>
  <si>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</si>
  <si>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</si>
  <si>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</si>
  <si>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</si>
  <si>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</si>
  <si>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</si>
  <si>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</si>
  <si>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</si>
  <si>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</si>
  <si>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</si>
  <si>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</si>
  <si>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</si>
  <si>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</si>
  <si>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</si>
  <si>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</si>
  <si>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</si>
  <si>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</si>
  <si>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</si>
  <si>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</si>
  <si>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</si>
  <si>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</si>
  <si>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</si>
  <si>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</si>
  <si>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</si>
  <si>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</si>
  <si>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</si>
  <si>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</si>
  <si>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</si>
  <si>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</si>
  <si>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</si>
  <si>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</si>
  <si>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</si>
  <si>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</si>
  <si>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</si>
  <si>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</si>
  <si>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</si>
  <si>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</si>
  <si>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</si>
  <si>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</si>
  <si>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</si>
  <si>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</si>
  <si>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</si>
  <si>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</si>
  <si>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</si>
  <si>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</si>
  <si>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</si>
  <si>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</si>
  <si>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</si>
  <si>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</si>
  <si>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</si>
  <si>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</si>
  <si>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</si>
  <si>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</si>
  <si>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</si>
  <si>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</si>
  <si>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</si>
  <si>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</si>
  <si>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</si>
  <si>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</si>
  <si>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</si>
  <si>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</si>
  <si>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</si>
  <si>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</si>
  <si>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</si>
  <si>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</si>
  <si>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</si>
  <si>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</si>
  <si>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</si>
  <si>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</si>
  <si>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</si>
  <si>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</si>
  <si>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</si>
  <si>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</si>
  <si>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</si>
  <si>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</si>
  <si>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</si>
  <si>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</si>
  <si>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</si>
  <si>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</si>
  <si>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</si>
  <si>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</si>
  <si>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</si>
  <si>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</si>
  <si>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</si>
  <si>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</si>
  <si>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</si>
  <si>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</si>
  <si>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</si>
  <si>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</si>
  <si>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</si>
  <si>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</si>
  <si>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</si>
  <si>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</si>
  <si>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</si>
  <si>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</si>
  <si>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</si>
  <si>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</si>
  <si>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</si>
  <si>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</si>
  <si>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</si>
  <si>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</si>
  <si>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</si>
  <si>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</si>
  <si>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</si>
  <si>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</si>
  <si>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</si>
  <si>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</si>
  <si>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</si>
  <si>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</si>
  <si>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</si>
  <si>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</si>
  <si>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</si>
  <si>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</si>
  <si>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</si>
  <si>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</si>
  <si>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</si>
  <si>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</si>
  <si>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</si>
  <si>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</si>
  <si>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</si>
  <si>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</si>
  <si>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</si>
  <si>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</si>
  <si>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</si>
  <si>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</si>
  <si>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</si>
  <si>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</si>
  <si>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</si>
  <si>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</si>
  <si>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</si>
  <si>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</si>
  <si>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</si>
  <si>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</si>
  <si>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</si>
  <si>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</si>
  <si>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</si>
  <si>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</si>
  <si>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</si>
  <si>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</si>
  <si>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</si>
  <si>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</si>
  <si>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</si>
  <si>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</si>
  <si>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</si>
  <si>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</si>
  <si>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</si>
  <si>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</si>
  <si>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</si>
  <si>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</si>
  <si>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</si>
  <si>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</si>
  <si>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</si>
  <si>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</si>
  <si>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</si>
  <si>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</si>
  <si>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</si>
  <si>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</si>
  <si>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</si>
  <si>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</si>
  <si>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</si>
  <si>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</si>
  <si>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</si>
  <si>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</si>
  <si>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</si>
  <si>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</si>
  <si>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</si>
  <si>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</si>
  <si>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</si>
  <si>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</si>
  <si>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</si>
  <si>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</si>
  <si>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</si>
  <si>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</si>
  <si>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</si>
  <si>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</si>
  <si>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</si>
  <si>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</si>
  <si>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</si>
  <si>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</si>
  <si>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</si>
  <si>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</si>
  <si>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</si>
  <si>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</si>
  <si>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</si>
  <si>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</si>
  <si>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</si>
  <si>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</si>
  <si>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</si>
  <si>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</si>
  <si>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</si>
  <si>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</si>
  <si>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</si>
  <si>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</si>
  <si>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</si>
  <si>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</si>
  <si>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</si>
  <si>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</si>
  <si>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</si>
  <si>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</si>
  <si>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</si>
  <si>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</si>
  <si>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</si>
  <si>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</si>
  <si>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</si>
  <si>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</si>
  <si>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</si>
  <si>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</si>
  <si>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</si>
  <si>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</si>
  <si>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</si>
  <si>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</si>
  <si>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</si>
  <si>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</si>
  <si>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</si>
  <si>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</si>
  <si>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</si>
  <si>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</si>
  <si>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</si>
  <si>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</si>
  <si>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</si>
  <si>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</si>
  <si>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</si>
  <si>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</si>
  <si>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</si>
  <si>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</si>
  <si>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</si>
  <si>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</si>
  <si>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</si>
  <si>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</si>
  <si>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</si>
  <si>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</si>
  <si>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</si>
  <si>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</si>
  <si>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</si>
  <si>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</si>
  <si>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</si>
  <si>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</si>
  <si>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</si>
  <si>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</si>
  <si>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</si>
  <si>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</si>
  <si>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</si>
  <si>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</si>
  <si>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</si>
  <si>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</si>
  <si>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</si>
  <si>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</si>
  <si>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</si>
  <si>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</si>
  <si>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</si>
  <si>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</si>
  <si>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</si>
  <si>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</si>
  <si>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</si>
  <si>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</si>
  <si>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</si>
  <si>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</si>
  <si>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</si>
  <si>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</si>
  <si>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</si>
  <si>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</si>
  <si>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</si>
  <si>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</si>
  <si>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</si>
  <si>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</si>
  <si>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</si>
  <si>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</si>
  <si>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</si>
  <si>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</si>
  <si>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</si>
  <si>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</si>
  <si>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</si>
  <si>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</si>
  <si>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</si>
  <si>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</si>
  <si>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</si>
  <si>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</si>
  <si>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</si>
  <si>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</si>
  <si>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</si>
  <si>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</si>
  <si>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</si>
  <si>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</si>
  <si>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</si>
  <si>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</si>
  <si>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</si>
  <si>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</si>
  <si>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</si>
  <si>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</si>
  <si>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</si>
  <si>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</si>
  <si>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</si>
  <si>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</si>
  <si>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</si>
  <si>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</si>
  <si>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</si>
  <si>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</si>
  <si>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</si>
  <si>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</si>
  <si>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</si>
  <si>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</si>
  <si>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</si>
  <si>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</si>
  <si>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</si>
  <si>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</si>
  <si>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</si>
  <si>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</si>
  <si>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</si>
  <si>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</si>
  <si>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</si>
  <si>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</si>
  <si>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</si>
  <si>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</si>
  <si>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</si>
  <si>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</si>
  <si>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</si>
  <si>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</si>
  <si>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</si>
  <si>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</si>
  <si>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</si>
  <si>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</si>
  <si>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</si>
  <si>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</si>
  <si>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</si>
  <si>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</si>
  <si>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</si>
  <si>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</si>
  <si>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</si>
  <si>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</si>
  <si>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</si>
  <si>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</si>
  <si>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</si>
  <si>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</si>
  <si>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</si>
  <si>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</si>
  <si>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</si>
  <si>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</si>
  <si>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</si>
  <si>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</si>
  <si>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</si>
  <si>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</si>
  <si>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</si>
  <si>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</si>
  <si>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</si>
  <si>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</si>
  <si>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</si>
  <si>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</si>
  <si>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</si>
  <si>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</si>
  <si>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</si>
  <si>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</si>
  <si>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</si>
  <si>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</si>
  <si>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</si>
  <si>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</si>
  <si>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</si>
  <si>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</si>
  <si>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</si>
  <si>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</si>
  <si>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</si>
  <si>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</si>
  <si>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</si>
  <si>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</si>
  <si>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</si>
  <si>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</si>
  <si>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</si>
  <si>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</si>
  <si>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</si>
  <si>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</si>
  <si>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</si>
  <si>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</si>
  <si>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</si>
  <si>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</si>
  <si>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</si>
  <si>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</si>
  <si>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</si>
  <si>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</si>
  <si>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</si>
  <si>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</si>
  <si>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</si>
  <si>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</si>
  <si>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</si>
  <si>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</si>
  <si>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</si>
  <si>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</si>
  <si>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</si>
  <si>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</si>
  <si>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</si>
  <si>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</si>
  <si>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</si>
  <si>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</si>
  <si>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</si>
  <si>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</si>
  <si>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</si>
  <si>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</si>
  <si>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</si>
  <si>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</si>
  <si>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</si>
  <si>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</si>
  <si>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</si>
  <si>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</si>
  <si>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</si>
  <si>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</si>
  <si>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</si>
  <si>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</si>
  <si>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</si>
  <si>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</si>
  <si>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</si>
  <si>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</si>
  <si>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</si>
  <si>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</si>
  <si>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</si>
  <si>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</si>
  <si>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</si>
  <si>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</si>
  <si>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</si>
  <si>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</si>
  <si>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</si>
  <si>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</si>
  <si>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</si>
  <si>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</si>
  <si>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</si>
  <si>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</si>
  <si>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</si>
  <si>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</si>
  <si>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</si>
  <si>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</si>
  <si>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</si>
  <si>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</si>
  <si>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</si>
  <si>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</si>
  <si>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</si>
  <si>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</si>
  <si>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</si>
  <si>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</si>
  <si>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</si>
  <si>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</si>
  <si>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</si>
  <si>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</si>
  <si>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</si>
  <si>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</si>
  <si>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</si>
  <si>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</si>
  <si>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</si>
  <si>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</si>
  <si>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</si>
  <si>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</si>
  <si>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</si>
  <si>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</si>
  <si>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</si>
  <si>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</si>
  <si>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</si>
  <si>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</si>
  <si>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</si>
  <si>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</si>
  <si>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</si>
  <si>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</si>
  <si>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</si>
  <si>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</si>
  <si>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</si>
  <si>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</si>
  <si>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</si>
  <si>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</si>
  <si>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</si>
  <si>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</si>
  <si>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</si>
  <si>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</si>
  <si>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</si>
  <si>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</si>
  <si>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</si>
  <si>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</si>
  <si>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</si>
  <si>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</si>
  <si>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</si>
  <si>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</si>
  <si>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</si>
  <si>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</si>
  <si>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</si>
  <si>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</si>
  <si>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</si>
  <si>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</si>
  <si>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</si>
  <si>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</si>
  <si>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</si>
  <si>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</si>
  <si>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</si>
  <si>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</si>
  <si>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</si>
  <si>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</si>
  <si>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</si>
  <si>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</si>
  <si>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</si>
  <si>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</si>
  <si>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</si>
  <si>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</si>
  <si>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</si>
  <si>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</si>
  <si>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</si>
  <si>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</si>
  <si>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</si>
  <si>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</si>
  <si>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</si>
  <si>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</si>
  <si>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</si>
  <si>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</si>
  <si>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</si>
  <si>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</si>
  <si>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</si>
  <si>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</si>
  <si>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</si>
  <si>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</si>
  <si>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</si>
  <si>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</si>
  <si>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</si>
  <si>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</si>
  <si>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</si>
  <si>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</si>
  <si>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</si>
  <si>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</si>
  <si>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</si>
  <si>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</si>
  <si>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</si>
  <si>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</si>
  <si>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</si>
  <si>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</si>
  <si>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</si>
  <si>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</si>
  <si>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</si>
  <si>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</si>
  <si>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</si>
  <si>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</si>
  <si>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</si>
  <si>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</si>
  <si>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</si>
  <si>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</si>
  <si>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</si>
  <si>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</si>
  <si>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</si>
  <si>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</si>
  <si>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</si>
  <si>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</si>
  <si>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</si>
  <si>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</si>
  <si>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</si>
  <si>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</si>
  <si>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</si>
  <si>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</si>
  <si>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</si>
  <si>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</si>
  <si>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</si>
  <si>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</si>
  <si>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</si>
  <si>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</si>
  <si>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</si>
  <si>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</si>
  <si>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</si>
  <si>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</si>
  <si>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</si>
  <si>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</si>
  <si>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</si>
  <si>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</si>
  <si>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</si>
  <si>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</si>
  <si>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</si>
  <si>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</si>
  <si>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</si>
  <si>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</si>
  <si>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</si>
  <si>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</si>
  <si>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</si>
  <si>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</si>
  <si>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</si>
  <si>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</si>
  <si>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</si>
  <si>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</si>
  <si>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</si>
  <si>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</si>
  <si>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</si>
  <si>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</si>
  <si>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</si>
  <si>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</si>
  <si>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</si>
  <si>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</si>
  <si>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</si>
  <si>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</si>
  <si>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</si>
  <si>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</si>
  <si>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</si>
  <si>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</si>
  <si>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</si>
  <si>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</si>
  <si>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</si>
  <si>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</si>
  <si>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</si>
  <si>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</si>
  <si>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</si>
  <si>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</si>
  <si>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</si>
  <si>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</si>
  <si>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</si>
  <si>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</si>
  <si>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</si>
  <si>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</si>
  <si>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</si>
  <si>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</si>
  <si>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</si>
  <si>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</si>
  <si>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</si>
  <si>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</si>
  <si>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</si>
  <si>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</si>
  <si>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</si>
  <si>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</si>
  <si>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</si>
  <si>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</si>
  <si>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</si>
  <si>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</si>
  <si>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</si>
  <si>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</si>
  <si>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</si>
  <si>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</si>
  <si>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</si>
  <si>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</si>
  <si>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</si>
  <si>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</si>
  <si>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</si>
  <si>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</si>
  <si>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</si>
  <si>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</si>
  <si>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</si>
  <si>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</si>
  <si>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</si>
  <si>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</si>
  <si>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</si>
  <si>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</si>
  <si>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</si>
  <si>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</si>
  <si>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</si>
  <si>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</si>
  <si>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</si>
  <si>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</si>
  <si>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</si>
  <si>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</si>
  <si>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</si>
  <si>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</si>
  <si>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</si>
  <si>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</si>
  <si>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</si>
  <si>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</si>
  <si>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</si>
  <si>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</si>
  <si>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</si>
  <si>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</si>
  <si>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</si>
  <si>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</si>
  <si>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</si>
  <si>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</si>
  <si>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</si>
  <si>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</si>
  <si>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</si>
  <si>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</si>
  <si>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</si>
  <si>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</si>
  <si>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</si>
  <si>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</si>
  <si>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</si>
  <si>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</si>
  <si>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</si>
  <si>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</si>
  <si>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</si>
  <si>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</si>
  <si>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</si>
  <si>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</si>
  <si>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</si>
  <si>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</si>
  <si>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</si>
  <si>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</si>
  <si>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</si>
  <si>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</si>
  <si>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</si>
  <si>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</si>
  <si>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</si>
  <si>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</si>
  <si>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</si>
  <si>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</si>
  <si>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</si>
  <si>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</si>
  <si>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</si>
  <si>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</si>
  <si>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</si>
  <si>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</si>
  <si>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</si>
  <si>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</si>
  <si>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</si>
  <si>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</si>
  <si>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</si>
  <si>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</si>
  <si>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</si>
  <si>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</si>
  <si>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</si>
  <si>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</si>
  <si>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</si>
  <si>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</si>
  <si>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</si>
  <si>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</si>
  <si>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</si>
  <si>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</si>
  <si>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</si>
  <si>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</si>
  <si>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</si>
  <si>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</si>
  <si>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</si>
  <si>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</si>
  <si>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</si>
  <si>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</si>
  <si>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</si>
  <si>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</si>
  <si>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</si>
  <si>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</si>
  <si>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</si>
  <si>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</si>
  <si>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</si>
  <si>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</si>
  <si>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</si>
  <si>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</si>
  <si>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</si>
  <si>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</si>
  <si>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</si>
  <si>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</si>
  <si>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</si>
  <si>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</si>
  <si>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</si>
  <si>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</si>
  <si>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</si>
  <si>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</si>
  <si>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</si>
  <si>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</si>
  <si>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</si>
  <si>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</si>
  <si>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</si>
  <si>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</si>
  <si>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</si>
  <si>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</si>
  <si>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</si>
  <si>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</si>
  <si>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</si>
  <si>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</si>
  <si>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</si>
  <si>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</si>
  <si>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</si>
  <si>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</si>
  <si>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</si>
  <si>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</si>
  <si>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</si>
  <si>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</si>
  <si>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</si>
  <si>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</si>
  <si>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</si>
  <si>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</si>
  <si>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</si>
  <si>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</si>
  <si>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</si>
  <si>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</si>
  <si>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</si>
  <si>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</si>
  <si>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</si>
  <si>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</si>
  <si>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</si>
  <si>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</si>
  <si>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</si>
  <si>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</si>
  <si>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</si>
  <si>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</si>
  <si>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</si>
  <si>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</si>
  <si>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</si>
  <si>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</si>
  <si>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</si>
  <si>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</si>
  <si>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</si>
  <si>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</si>
  <si>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</si>
  <si>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</si>
  <si>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</si>
  <si>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</si>
  <si>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</si>
  <si>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</si>
  <si>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</si>
  <si>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</si>
  <si>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</si>
  <si>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</si>
  <si>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</si>
  <si>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</si>
  <si>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</si>
  <si>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</si>
  <si>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</si>
  <si>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</si>
  <si>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</si>
  <si>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</si>
  <si>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</si>
  <si>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</si>
  <si>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</si>
  <si>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</si>
  <si>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</si>
  <si>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</si>
  <si>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</si>
  <si>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</si>
  <si>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</si>
  <si>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</si>
  <si>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</si>
  <si>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</si>
  <si>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</si>
  <si>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</si>
  <si>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</si>
  <si>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</si>
  <si>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</si>
  <si>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</si>
  <si>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</si>
  <si>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</si>
  <si>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</si>
  <si>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</si>
  <si>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</si>
  <si>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</si>
  <si>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</si>
  <si>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</si>
  <si>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</si>
  <si>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</si>
  <si>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</si>
  <si>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</si>
  <si>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</si>
  <si>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</si>
  <si>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</si>
  <si>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</si>
  <si>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</si>
  <si>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</si>
  <si>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</si>
  <si>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</si>
  <si>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</si>
  <si>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</si>
  <si>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</si>
  <si>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</si>
  <si>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</si>
  <si>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</si>
  <si>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</si>
  <si>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</si>
  <si>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</si>
  <si>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</si>
  <si>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</si>
  <si>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</si>
  <si>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</si>
  <si>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</si>
  <si>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</si>
  <si>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</si>
  <si>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</si>
  <si>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</si>
  <si>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</si>
  <si>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</si>
  <si>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</si>
  <si>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</si>
  <si>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</si>
  <si>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</si>
  <si>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</si>
  <si>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</si>
  <si>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</si>
  <si>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</si>
  <si>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</si>
  <si>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</si>
  <si>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</si>
  <si>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</si>
  <si>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</si>
  <si>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</si>
  <si>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</si>
  <si>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</si>
  <si>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</si>
  <si>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</si>
  <si>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</si>
  <si>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</si>
  <si>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</si>
  <si>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</si>
  <si>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</si>
  <si>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</si>
  <si>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</si>
  <si>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</si>
  <si>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</si>
  <si>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</si>
  <si>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</si>
  <si>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</si>
  <si>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</si>
  <si>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</si>
  <si>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</si>
  <si>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</si>
  <si>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</si>
  <si>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</si>
  <si>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</si>
  <si>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</si>
  <si>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</si>
  <si>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</si>
  <si>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</si>
  <si>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</si>
  <si>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</si>
  <si>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</si>
  <si>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</si>
  <si>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</si>
  <si>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</si>
  <si>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</si>
  <si>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</si>
  <si>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</si>
  <si>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</si>
  <si>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</si>
  <si>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</si>
  <si>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</si>
  <si>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</si>
  <si>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</si>
  <si>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</si>
  <si>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</si>
  <si>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</si>
  <si>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</si>
  <si>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</si>
  <si>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</si>
  <si>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</si>
  <si>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</si>
  <si>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</si>
  <si>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</si>
  <si>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</si>
  <si>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</si>
  <si>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</si>
  <si>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</si>
  <si>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</si>
  <si>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</si>
  <si>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</si>
  <si>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</si>
  <si>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</si>
  <si>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</si>
  <si>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</si>
  <si>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</si>
  <si>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</si>
  <si>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</si>
  <si>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</si>
  <si>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</si>
  <si>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</si>
  <si>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</si>
  <si>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</si>
  <si>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</si>
  <si>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</si>
  <si>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</si>
  <si>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</si>
  <si>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</si>
  <si>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</si>
  <si>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</si>
  <si>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</si>
  <si>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</si>
  <si>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</si>
  <si>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</si>
  <si>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</si>
  <si>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</si>
  <si>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</si>
  <si>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</si>
  <si>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</si>
  <si>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</si>
  <si>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</si>
  <si>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</si>
  <si>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</si>
  <si>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</si>
  <si>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</si>
  <si>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</si>
  <si>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</si>
  <si>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</si>
  <si>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</si>
  <si>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</si>
  <si>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</si>
  <si>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</si>
  <si>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</si>
  <si>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</si>
  <si>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</si>
  <si>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</si>
  <si>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</si>
  <si>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</si>
  <si>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</si>
  <si>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</si>
  <si>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</si>
  <si>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</si>
  <si>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</si>
  <si>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</si>
  <si>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</si>
  <si>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</si>
  <si>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</si>
  <si>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</si>
  <si>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</si>
  <si>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</si>
  <si>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</si>
  <si>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</si>
  <si>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</si>
  <si>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</si>
  <si>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</si>
  <si>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</si>
  <si>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</si>
  <si>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</si>
  <si>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</si>
  <si>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</si>
  <si>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</si>
  <si>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</si>
  <si>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</si>
  <si>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</si>
  <si>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</si>
  <si>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</si>
  <si>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</si>
  <si>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</si>
  <si>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</si>
  <si>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</si>
  <si>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</si>
  <si>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</si>
  <si>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</si>
  <si>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</si>
  <si>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</si>
  <si>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</si>
  <si>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</si>
  <si>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</si>
  <si>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</si>
  <si>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</si>
  <si>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</si>
  <si>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</si>
  <si>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</si>
  <si>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</si>
  <si>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</si>
  <si>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</si>
  <si>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</si>
  <si>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</si>
  <si>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</si>
  <si>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</si>
  <si>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</si>
  <si>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</si>
  <si>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</si>
  <si>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</si>
  <si>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</si>
  <si>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</si>
  <si>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</si>
  <si>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</si>
  <si>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</si>
  <si>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</si>
  <si>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</si>
  <si>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</si>
  <si>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</si>
  <si>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</si>
  <si>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</si>
  <si>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</si>
  <si>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</si>
  <si>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</si>
  <si>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</si>
  <si>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</si>
  <si>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</si>
  <si>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</si>
  <si>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</si>
  <si>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</si>
  <si>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</si>
  <si>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</si>
  <si>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</si>
  <si>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</si>
  <si>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</si>
  <si>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</si>
  <si>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</si>
  <si>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</si>
  <si>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</si>
  <si>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</si>
  <si>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</si>
  <si>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</si>
  <si>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</si>
  <si>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</si>
  <si>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</si>
  <si>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</si>
  <si>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</si>
  <si>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</si>
  <si>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</si>
  <si>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</si>
  <si>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</si>
  <si>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</si>
  <si>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</si>
  <si>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</si>
  <si>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</si>
  <si>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</si>
  <si>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</si>
  <si>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</si>
  <si>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</si>
  <si>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</si>
  <si>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</si>
  <si>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</si>
  <si>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</si>
  <si>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</si>
  <si>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</si>
  <si>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</si>
  <si>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</si>
  <si>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</si>
  <si>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</si>
  <si>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</si>
  <si>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</si>
  <si>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</si>
  <si>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</si>
  <si>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</si>
  <si>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</si>
  <si>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</si>
  <si>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</si>
  <si>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</si>
  <si>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</si>
  <si>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</si>
  <si>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</si>
  <si>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</si>
  <si>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</si>
  <si>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</si>
  <si>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</si>
  <si>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</si>
  <si>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</si>
  <si>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</si>
  <si>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</si>
  <si>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</si>
  <si>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</si>
  <si>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</si>
  <si>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</si>
  <si>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</si>
  <si>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</si>
  <si>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</si>
  <si>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</si>
  <si>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</si>
  <si>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</si>
  <si>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</si>
  <si>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</si>
  <si>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</si>
  <si>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</si>
  <si>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</si>
  <si>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</si>
  <si>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</si>
  <si>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</si>
  <si>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</si>
  <si>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</si>
  <si>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</si>
  <si>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</si>
  <si>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</si>
  <si>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</si>
  <si>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</si>
  <si>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</si>
  <si>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</si>
  <si>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</si>
  <si>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</si>
  <si>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</si>
  <si>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</si>
  <si>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</si>
  <si>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</si>
  <si>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</si>
  <si>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</si>
  <si>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</si>
  <si>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</si>
  <si>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</si>
  <si>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</si>
  <si>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</si>
  <si>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</si>
  <si>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</si>
  <si>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</si>
  <si>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</si>
  <si>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</si>
  <si>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</si>
  <si>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</si>
  <si>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</si>
  <si>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</si>
  <si>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</si>
  <si>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</si>
  <si>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</si>
  <si>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</si>
  <si>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</si>
  <si>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</si>
  <si>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</si>
  <si>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</si>
  <si>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</si>
  <si>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</si>
  <si>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</si>
  <si>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</si>
  <si>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</si>
  <si>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</si>
  <si>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</si>
  <si>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</si>
  <si>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</si>
  <si>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</si>
  <si>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</si>
  <si>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</si>
  <si>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</si>
  <si>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</si>
  <si>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</si>
  <si>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</si>
  <si>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</si>
  <si>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</si>
  <si>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</si>
  <si>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</si>
  <si>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</si>
  <si>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</si>
  <si>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</si>
  <si>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</si>
  <si>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</si>
  <si>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</si>
  <si>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</si>
  <si>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</si>
  <si>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</si>
  <si>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</si>
  <si>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</si>
  <si>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</si>
  <si>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</si>
  <si>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</si>
  <si>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</si>
  <si>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</si>
  <si>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</si>
  <si>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</si>
  <si>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</si>
  <si>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</si>
  <si>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</si>
  <si>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</si>
  <si>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</si>
  <si>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</si>
  <si>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</si>
  <si>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</si>
  <si>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</si>
  <si>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</si>
  <si>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</si>
  <si>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</si>
  <si>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</si>
  <si>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</si>
  <si>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</si>
  <si>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</si>
  <si>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</si>
  <si>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</si>
  <si>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</si>
  <si>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</si>
  <si>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</si>
  <si>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</si>
  <si>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</si>
  <si>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</si>
  <si>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</si>
  <si>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</si>
  <si>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</si>
  <si>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</si>
  <si>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</si>
  <si>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</si>
  <si>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</si>
  <si>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</si>
  <si>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</si>
  <si>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</si>
  <si>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</si>
  <si>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</si>
  <si>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</si>
  <si>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</si>
  <si>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</si>
  <si>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</si>
  <si>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</si>
  <si>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</si>
  <si>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</si>
  <si>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</si>
  <si>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</si>
  <si>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</si>
  <si>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</si>
  <si>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</si>
  <si>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</si>
  <si>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</si>
  <si>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</si>
  <si>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</si>
  <si>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</si>
  <si>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</si>
  <si>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</si>
  <si>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</si>
  <si>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</si>
  <si>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</si>
  <si>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</si>
  <si>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</si>
  <si>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</si>
  <si>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</si>
  <si>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</si>
  <si>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</si>
  <si>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</si>
  <si>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</si>
  <si>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</si>
  <si>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</si>
  <si>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</si>
  <si>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</si>
  <si>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</si>
  <si>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</si>
  <si>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</si>
  <si>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</si>
  <si>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</si>
  <si>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</si>
  <si>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</si>
  <si>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</si>
  <si>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</si>
  <si>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</si>
  <si>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</si>
  <si>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</si>
  <si>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</si>
  <si>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</si>
  <si>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</si>
  <si>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</si>
  <si>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</si>
  <si>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</si>
  <si>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</si>
  <si>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</si>
  <si>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</si>
  <si>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</si>
  <si>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</si>
  <si>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</si>
  <si>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</si>
  <si>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</si>
  <si>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</si>
  <si>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</si>
  <si>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</si>
  <si>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</si>
  <si>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</si>
  <si>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</si>
  <si>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</si>
  <si>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</si>
  <si>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</si>
  <si>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</si>
  <si>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</si>
  <si>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</si>
  <si>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</si>
  <si>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</si>
  <si>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</si>
  <si>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</si>
  <si>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</si>
  <si>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</si>
  <si>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</si>
  <si>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</si>
  <si>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</si>
  <si>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</si>
  <si>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</si>
  <si>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</si>
  <si>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</si>
  <si>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</si>
  <si>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</si>
  <si>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</si>
  <si>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</si>
  <si>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</si>
  <si>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</si>
  <si>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</si>
  <si>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</si>
  <si>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</si>
  <si>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</si>
  <si>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</si>
  <si>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</si>
  <si>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</si>
  <si>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</si>
  <si>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</si>
  <si>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</si>
  <si>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</si>
  <si>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</si>
  <si>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</si>
  <si>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</si>
  <si>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</si>
  <si>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</si>
  <si>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</si>
  <si>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</si>
  <si>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</si>
  <si>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</si>
  <si>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</si>
  <si>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</si>
  <si>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</si>
  <si>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</si>
  <si>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</si>
  <si>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</si>
  <si>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</si>
  <si>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</si>
  <si>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</si>
  <si>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</si>
  <si>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</si>
  <si>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</si>
  <si>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</si>
  <si>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</si>
  <si>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</si>
  <si>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</si>
  <si>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</si>
  <si>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</si>
  <si>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</si>
  <si>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</si>
  <si>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</si>
  <si>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</si>
  <si>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</si>
  <si>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</si>
  <si>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</si>
  <si>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</si>
  <si>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</si>
  <si>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</si>
  <si>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</si>
  <si>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</si>
  <si>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</si>
  <si>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</si>
  <si>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</si>
  <si>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</si>
  <si>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</si>
  <si>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</si>
  <si>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</si>
  <si>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</si>
  <si>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</si>
  <si>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</si>
  <si>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</si>
  <si>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</si>
  <si>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</si>
  <si>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</si>
  <si>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</si>
  <si>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</si>
  <si>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</si>
  <si>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</si>
  <si>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</si>
  <si>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</si>
  <si>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</si>
  <si>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</si>
  <si>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</si>
  <si>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</si>
  <si>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</si>
  <si>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</si>
  <si>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</si>
  <si>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</si>
  <si>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</si>
  <si>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</si>
  <si>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</si>
  <si>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</si>
  <si>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</si>
  <si>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</si>
  <si>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</si>
  <si>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</si>
  <si>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</si>
  <si>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</si>
  <si>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</si>
  <si>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</si>
  <si>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</si>
  <si>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</si>
  <si>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</si>
  <si>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</si>
  <si>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</si>
  <si>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</si>
  <si>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</si>
  <si>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</si>
  <si>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</si>
  <si>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</si>
  <si>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</si>
  <si>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</si>
  <si>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</si>
  <si>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</si>
  <si>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</si>
  <si>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</si>
  <si>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</si>
  <si>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</si>
  <si>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</si>
  <si>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</si>
  <si>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</si>
  <si>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</si>
  <si>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</si>
  <si>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</si>
  <si>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</si>
  <si>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</si>
  <si>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</si>
  <si>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</si>
  <si>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</si>
  <si>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</si>
  <si>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</si>
  <si>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</si>
  <si>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</si>
  <si>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</si>
  <si>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</si>
  <si>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</si>
  <si>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</si>
  <si>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</si>
  <si>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</si>
  <si>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</si>
  <si>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</si>
  <si>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</si>
  <si>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</si>
  <si>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</si>
  <si>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</si>
  <si>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</si>
  <si>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</si>
  <si>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</si>
  <si>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</si>
  <si>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</si>
  <si>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</si>
  <si>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</si>
  <si>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</si>
  <si>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</si>
  <si>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</si>
  <si>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</si>
  <si>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</si>
  <si>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</si>
  <si>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</si>
  <si>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</si>
  <si>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</si>
  <si>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</si>
  <si>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</si>
  <si>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</si>
  <si>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</si>
  <si>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</si>
  <si>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</si>
  <si>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</si>
  <si>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</si>
  <si>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</si>
  <si>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</si>
  <si>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</si>
  <si>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</si>
  <si>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</si>
  <si>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</si>
  <si>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</si>
  <si>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</si>
  <si>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</si>
  <si>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</si>
  <si>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</si>
  <si>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</si>
  <si>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</si>
  <si>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</si>
  <si>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</si>
  <si>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</si>
  <si>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</si>
  <si>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</si>
  <si>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</si>
  <si>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</si>
  <si>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</si>
  <si>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</si>
  <si>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</si>
  <si>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</si>
  <si>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</si>
  <si>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</si>
  <si>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</si>
  <si>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</si>
  <si>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</si>
  <si>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</si>
  <si>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</si>
  <si>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</si>
  <si>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</si>
  <si>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</si>
  <si>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</si>
  <si>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</si>
  <si>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</si>
  <si>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</si>
  <si>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</si>
  <si>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</si>
  <si>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</si>
  <si>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</si>
  <si>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</si>
  <si>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</si>
  <si>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</si>
  <si>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</si>
  <si>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</si>
  <si>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</si>
  <si>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</si>
  <si>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</si>
  <si>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</si>
  <si>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</si>
  <si>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</si>
  <si>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</si>
  <si>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</si>
  <si>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</si>
  <si>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</si>
  <si>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</si>
  <si>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</si>
  <si>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</si>
  <si>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</si>
  <si>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</si>
  <si>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</si>
  <si>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</si>
  <si>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</si>
  <si>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</si>
  <si>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</si>
  <si>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</si>
  <si>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</si>
  <si>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</si>
  <si>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</si>
  <si>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</si>
  <si>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</si>
  <si>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</si>
  <si>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</si>
  <si>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</si>
  <si>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</si>
  <si>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</si>
  <si>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</si>
  <si>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</si>
  <si>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</si>
  <si>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</si>
  <si>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</si>
  <si>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</si>
  <si>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</si>
  <si>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</si>
  <si>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</si>
  <si>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</si>
  <si>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</si>
  <si>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</si>
  <si>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</si>
  <si>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</si>
  <si>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</si>
  <si>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</si>
  <si>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</si>
  <si>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</si>
  <si>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</si>
  <si>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</si>
  <si>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</si>
  <si>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</si>
  <si>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</si>
  <si>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</si>
  <si>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</si>
  <si>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</si>
  <si>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</si>
  <si>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</si>
  <si>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</si>
  <si>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</si>
  <si>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</si>
  <si>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</si>
  <si>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</si>
  <si>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</si>
  <si>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</si>
  <si>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</si>
  <si>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</si>
  <si>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</si>
  <si>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</si>
  <si>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</si>
  <si>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</si>
  <si>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</si>
  <si>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</si>
  <si>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</si>
  <si>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</si>
  <si>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</si>
  <si>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</si>
  <si>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</si>
  <si>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</si>
  <si>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</si>
  <si>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</si>
  <si>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</si>
  <si>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</si>
  <si>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</si>
  <si>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</si>
  <si>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</si>
  <si>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</si>
  <si>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</si>
  <si>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</si>
  <si>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</si>
  <si>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</si>
  <si>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</si>
  <si>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</si>
  <si>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</si>
  <si>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</si>
  <si>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</si>
  <si>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</si>
  <si>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</si>
  <si>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</si>
  <si>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</si>
  <si>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</si>
  <si>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</si>
  <si>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</si>
  <si>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</si>
  <si>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</si>
  <si>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</si>
  <si>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</si>
  <si>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</si>
  <si>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</si>
  <si>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</si>
  <si>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</si>
  <si>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</si>
  <si>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</si>
  <si>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</si>
  <si>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</si>
  <si>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</si>
  <si>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</si>
  <si>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</si>
  <si>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</si>
  <si>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</si>
  <si>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</si>
  <si>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</si>
  <si>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</si>
  <si>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</si>
  <si>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</si>
  <si>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</si>
  <si>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</si>
  <si>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</si>
  <si>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</si>
  <si>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</si>
  <si>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</si>
  <si>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</si>
  <si>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</si>
  <si>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</si>
  <si>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</si>
  <si>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</si>
  <si>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</si>
  <si>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</si>
  <si>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</si>
  <si>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</si>
  <si>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</si>
  <si>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</si>
  <si>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</si>
  <si>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</si>
  <si>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</si>
  <si>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</si>
  <si>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</si>
  <si>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</si>
  <si>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</si>
  <si>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</si>
  <si>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</si>
  <si>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</si>
  <si>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</si>
  <si>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</si>
  <si>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</si>
  <si>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</si>
  <si>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</si>
  <si>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</si>
  <si>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</si>
  <si>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</si>
  <si>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</si>
  <si>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</si>
  <si>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</si>
  <si>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</si>
  <si>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</si>
  <si>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</si>
  <si>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</si>
  <si>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</si>
  <si>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</si>
  <si>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</si>
  <si>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</si>
  <si>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</si>
  <si>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</si>
  <si>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</si>
  <si>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</si>
  <si>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</si>
  <si>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</si>
  <si>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</si>
  <si>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</si>
  <si>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</si>
  <si>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</si>
  <si>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</si>
  <si>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</si>
  <si>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</si>
  <si>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</si>
  <si>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</si>
  <si>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</si>
  <si>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</si>
  <si>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</si>
  <si>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</si>
  <si>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</si>
  <si>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</si>
  <si>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</si>
  <si>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</si>
  <si>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</si>
  <si>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</si>
  <si>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</si>
  <si>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</si>
  <si>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</si>
  <si>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</si>
  <si>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</si>
  <si>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</si>
  <si>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</si>
  <si>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</si>
  <si>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</si>
  <si>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</si>
  <si>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</si>
  <si>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</si>
  <si>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</si>
  <si>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</si>
  <si>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</si>
  <si>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</si>
  <si>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</si>
  <si>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</si>
  <si>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</si>
  <si>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</si>
  <si>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</si>
  <si>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</si>
  <si>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</si>
  <si>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</si>
  <si>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</si>
  <si>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</si>
  <si>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</si>
  <si>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</si>
  <si>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</si>
  <si>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</si>
  <si>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</si>
  <si>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</si>
  <si>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</si>
  <si>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</si>
  <si>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</si>
  <si>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</si>
  <si>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</si>
  <si>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</si>
  <si>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</si>
  <si>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</si>
  <si>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</si>
  <si>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</si>
  <si>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</si>
  <si>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</si>
  <si>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</si>
  <si>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</si>
  <si>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</si>
  <si>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</si>
  <si>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</si>
  <si>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</si>
  <si>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</si>
  <si>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</si>
  <si>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</si>
  <si>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</si>
  <si>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</si>
  <si>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</si>
  <si>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</si>
  <si>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</si>
  <si>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</si>
  <si>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</si>
  <si>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</si>
  <si>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</si>
  <si>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</si>
  <si>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</si>
  <si>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</si>
  <si>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</si>
  <si>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</si>
  <si>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</si>
  <si>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</si>
  <si>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</si>
  <si>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</si>
  <si>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</si>
  <si>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</si>
  <si>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</si>
  <si>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</si>
  <si>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</si>
  <si>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</si>
  <si>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</si>
  <si>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</si>
  <si>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</si>
  <si>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</si>
  <si>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</si>
  <si>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</si>
  <si>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</si>
  <si>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</si>
  <si>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</si>
  <si>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</si>
  <si>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</si>
  <si>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</si>
  <si>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</si>
  <si>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</si>
  <si>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</si>
  <si>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</si>
  <si>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</si>
  <si>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</si>
  <si>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</si>
  <si>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</si>
  <si>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</si>
  <si>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</si>
  <si>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</si>
  <si>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</si>
  <si>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</si>
  <si>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</si>
  <si>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</si>
  <si>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</si>
  <si>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</si>
  <si>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</si>
  <si>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</si>
  <si>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</si>
  <si>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</si>
  <si>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</si>
  <si>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</si>
  <si>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</si>
  <si>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</si>
  <si>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</si>
  <si>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</si>
  <si>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</si>
  <si>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</si>
  <si>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</si>
  <si>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</si>
  <si>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</si>
  <si>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</si>
  <si>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</si>
  <si>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</si>
  <si>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</si>
  <si>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</si>
  <si>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</si>
  <si>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</si>
  <si>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</si>
  <si>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</si>
  <si>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</si>
  <si>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</si>
  <si>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</si>
  <si>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</si>
  <si>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</si>
  <si>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</si>
  <si>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</si>
  <si>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</si>
  <si>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</si>
  <si>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</si>
  <si>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</si>
  <si>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</si>
  <si>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</si>
  <si>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</si>
  <si>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</si>
  <si>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</si>
  <si>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</si>
  <si>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</si>
  <si>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</si>
  <si>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</si>
  <si>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</si>
  <si>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</si>
  <si>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</si>
  <si>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</si>
  <si>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</si>
  <si>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</si>
  <si>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</si>
  <si>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</si>
  <si>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</si>
  <si>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</si>
  <si>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</si>
  <si>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</si>
  <si>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</si>
  <si>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</si>
  <si>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</si>
  <si>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</si>
  <si>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</si>
  <si>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</si>
  <si>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</si>
  <si>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</si>
  <si>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</si>
  <si>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</si>
  <si>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</si>
  <si>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</si>
  <si>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</si>
  <si>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</si>
  <si>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</si>
  <si>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</si>
  <si>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</si>
  <si>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</si>
  <si>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</si>
  <si>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</si>
  <si>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</si>
  <si>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</si>
  <si>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</si>
  <si>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</si>
  <si>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</si>
  <si>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</si>
  <si>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</si>
  <si>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</si>
  <si>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</si>
  <si>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</si>
  <si>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</si>
  <si>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</si>
  <si>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</si>
  <si>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</si>
  <si>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</si>
  <si>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</si>
  <si>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</si>
  <si>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</si>
  <si>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</si>
  <si>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</si>
  <si>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</si>
  <si>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</si>
  <si>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</si>
  <si>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</si>
  <si>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</si>
  <si>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</si>
  <si>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</si>
  <si>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</si>
  <si>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</si>
  <si>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</si>
  <si>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</si>
  <si>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</si>
  <si>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</si>
  <si>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</si>
  <si>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</si>
  <si>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</si>
  <si>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</si>
  <si>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</si>
  <si>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</si>
  <si>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</si>
  <si>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</si>
  <si>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</si>
  <si>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</si>
  <si>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</si>
  <si>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</si>
  <si>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</si>
  <si>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</si>
  <si>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</si>
  <si>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</si>
  <si>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</si>
  <si>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</si>
  <si>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</si>
  <si>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</si>
  <si>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</si>
  <si>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</si>
  <si>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</si>
  <si>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</si>
  <si>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</si>
  <si>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</si>
  <si>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</si>
  <si>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</si>
  <si>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</si>
  <si>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</si>
  <si>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</si>
  <si>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</si>
  <si>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</si>
  <si>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</si>
  <si>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</si>
  <si>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</si>
  <si>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</si>
  <si>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</si>
  <si>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</si>
  <si>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</si>
  <si>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</si>
  <si>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</si>
  <si>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</si>
  <si>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</si>
  <si>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</si>
  <si>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</si>
  <si>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</si>
  <si>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</si>
  <si>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</si>
  <si>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</si>
  <si>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</si>
  <si>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</si>
  <si>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</si>
  <si>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</si>
  <si>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</si>
  <si>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</si>
  <si>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</si>
  <si>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</si>
  <si>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</si>
  <si>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</si>
  <si>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</si>
  <si>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</si>
  <si>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</si>
  <si>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</si>
  <si>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</si>
  <si>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</si>
  <si>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</si>
  <si>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</si>
  <si>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</si>
  <si>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</si>
  <si>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</si>
  <si>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</si>
  <si>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</si>
  <si>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</si>
  <si>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</si>
  <si>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</si>
  <si>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</si>
  <si>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</si>
  <si>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</si>
  <si>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</si>
  <si>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</si>
  <si>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</si>
  <si>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</si>
  <si>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</si>
  <si>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</si>
  <si>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</si>
  <si>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</si>
  <si>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</si>
  <si>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</si>
  <si>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</si>
  <si>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</si>
  <si>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</si>
  <si>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</si>
  <si>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</si>
  <si>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</si>
  <si>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</si>
  <si>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</si>
  <si>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</si>
  <si>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</si>
  <si>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</si>
  <si>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</si>
  <si>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</si>
  <si>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</si>
  <si>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</si>
  <si>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</si>
  <si>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</si>
  <si>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</si>
  <si>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</si>
  <si>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</si>
  <si>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</si>
  <si>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</si>
  <si>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</si>
  <si>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</si>
  <si>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</si>
  <si>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</si>
  <si>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</si>
  <si>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</si>
  <si>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</si>
  <si>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</si>
  <si>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</si>
  <si>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</si>
  <si>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</si>
  <si>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</si>
  <si>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</si>
  <si>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</si>
  <si>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</si>
  <si>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</si>
  <si>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</si>
  <si>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</si>
  <si>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</si>
  <si>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</si>
  <si>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</si>
  <si>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</si>
  <si>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</si>
  <si>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</si>
  <si>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</si>
  <si>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</si>
  <si>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</si>
  <si>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</si>
  <si>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</si>
  <si>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</si>
  <si>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</si>
  <si>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</si>
  <si>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</si>
  <si>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</si>
  <si>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</si>
  <si>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</si>
  <si>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</si>
  <si>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</si>
  <si>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</si>
  <si>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</si>
  <si>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</si>
  <si>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</si>
  <si>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</si>
  <si>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</si>
  <si>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</si>
  <si>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</si>
  <si>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</si>
  <si>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</si>
  <si>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</si>
  <si>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</si>
  <si>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</si>
  <si>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</si>
  <si>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</si>
  <si>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</si>
  <si>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</si>
  <si>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</si>
  <si>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</si>
  <si>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</si>
  <si>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</si>
  <si>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</si>
  <si>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</si>
  <si>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</si>
  <si>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</si>
  <si>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</si>
  <si>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</si>
  <si>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</si>
  <si>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</si>
  <si>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</si>
  <si>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</si>
  <si>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</si>
  <si>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</si>
  <si>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</si>
  <si>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</si>
  <si>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</si>
  <si>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</si>
  <si>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</si>
  <si>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</si>
  <si>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</si>
  <si>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</si>
  <si>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</si>
  <si>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</si>
  <si>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</si>
  <si>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</si>
  <si>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</si>
  <si>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</si>
  <si>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</si>
  <si>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</si>
  <si>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</si>
  <si>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</si>
  <si>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</si>
  <si>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</si>
  <si>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</si>
  <si>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</si>
  <si>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</si>
  <si>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</si>
  <si>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</si>
  <si>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</si>
  <si>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</si>
  <si>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</si>
  <si>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</si>
  <si>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</si>
  <si>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</si>
  <si>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</si>
  <si>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</si>
  <si>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</si>
  <si>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</si>
  <si>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</si>
  <si>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</si>
  <si>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</si>
  <si>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</si>
  <si>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</si>
  <si>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</si>
  <si>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</si>
  <si>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</si>
  <si>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</si>
  <si>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</si>
  <si>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</si>
  <si>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</si>
  <si>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</si>
  <si>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</si>
  <si>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</si>
  <si>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</si>
  <si>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</si>
  <si>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</si>
  <si>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</si>
  <si>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</si>
  <si>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</si>
  <si>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</si>
  <si>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</si>
  <si>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</si>
  <si>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</si>
  <si>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</si>
  <si>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</si>
  <si>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</si>
  <si>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</si>
  <si>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</si>
  <si>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</si>
  <si>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</si>
  <si>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</si>
  <si>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</si>
  <si>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</si>
  <si>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</si>
  <si>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</si>
  <si>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</si>
  <si>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</si>
  <si>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</si>
  <si>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</si>
  <si>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</si>
  <si>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</si>
  <si>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</si>
  <si>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</si>
  <si>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</si>
  <si>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</si>
  <si>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</si>
  <si>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</si>
  <si>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</si>
  <si>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</si>
  <si>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</si>
  <si>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</si>
  <si>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</si>
  <si>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</si>
  <si>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</si>
  <si>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</si>
  <si>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</si>
  <si>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</si>
  <si>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</si>
  <si>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</si>
  <si>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</si>
  <si>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</si>
  <si>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</si>
  <si>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</si>
  <si>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</si>
  <si>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</si>
  <si>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</si>
  <si>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</si>
  <si>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</si>
  <si>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</si>
  <si>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</si>
  <si>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</si>
  <si>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</si>
  <si>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</si>
  <si>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</si>
  <si>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</si>
  <si>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</si>
  <si>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</si>
  <si>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</si>
  <si>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</si>
  <si>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</si>
  <si>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</si>
  <si>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</si>
  <si>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</si>
  <si>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</si>
  <si>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</si>
  <si>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</si>
  <si>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</si>
  <si>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</si>
  <si>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</si>
  <si>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</si>
  <si>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</si>
  <si>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</si>
  <si>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</si>
  <si>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</si>
  <si>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</si>
  <si>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</si>
  <si>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</si>
  <si>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</si>
  <si>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</si>
  <si>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</si>
  <si>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</si>
  <si>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</si>
  <si>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</si>
  <si>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</si>
  <si>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</si>
  <si>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</si>
  <si>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</si>
  <si>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</si>
  <si>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</si>
  <si>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</si>
  <si>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</si>
  <si>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</si>
  <si>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</si>
  <si>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</si>
  <si>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</si>
  <si>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</si>
  <si>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</si>
  <si>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</si>
  <si>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</si>
  <si>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</si>
  <si>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</si>
  <si>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</si>
  <si>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</si>
  <si>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</si>
  <si>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</si>
  <si>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</si>
  <si>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</si>
  <si>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</si>
  <si>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</si>
  <si>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</si>
  <si>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</si>
  <si>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</si>
  <si>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</si>
  <si>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</si>
  <si>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</si>
  <si>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</si>
  <si>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</si>
  <si>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</si>
  <si>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</si>
  <si>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</si>
  <si>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</si>
  <si>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</si>
  <si>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</si>
  <si>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</si>
  <si>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</si>
  <si>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</si>
  <si>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</si>
  <si>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</si>
  <si>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</si>
  <si>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</si>
  <si>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</si>
  <si>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</si>
  <si>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</si>
  <si>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</si>
  <si>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</si>
  <si>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</si>
  <si>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</si>
  <si>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</si>
  <si>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</si>
  <si>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</si>
  <si>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Yes</t>
  </si>
  <si>
    <t>Integral Development LLC</t>
  </si>
  <si>
    <t>Amortizing</t>
  </si>
  <si>
    <t>First Year Property Insurance</t>
  </si>
  <si>
    <t>Competitive Round</t>
  </si>
  <si>
    <t>Groveway Senior Partnership, LP c/o Eric Pinckney</t>
  </si>
  <si>
    <t>60 Piedmont Avenue</t>
  </si>
  <si>
    <t>Vice President</t>
  </si>
  <si>
    <t>epinckney@integral-online.com</t>
  </si>
  <si>
    <t>Elderly</t>
  </si>
  <si>
    <t>No</t>
  </si>
  <si>
    <t>Groveway Senior Partnership, LP</t>
  </si>
  <si>
    <t>Eric Pinckney</t>
  </si>
  <si>
    <t>Groveway Senior GP, LLC</t>
  </si>
  <si>
    <t>Atanta</t>
  </si>
  <si>
    <t>IBG Construction Services</t>
  </si>
  <si>
    <t>Integral Property Management LLC</t>
  </si>
  <si>
    <t>Arnall, Golden and Gregory</t>
  </si>
  <si>
    <t>100 Auburn Avenue</t>
  </si>
  <si>
    <t>Kenneth Chestnut</t>
  </si>
  <si>
    <t>COO</t>
  </si>
  <si>
    <t>Kchestnut@ibgcs.com</t>
  </si>
  <si>
    <t>Denise Koehl</t>
  </si>
  <si>
    <t>Dkoehl@ims-ms.com</t>
  </si>
  <si>
    <t>171 17th Street</t>
  </si>
  <si>
    <t>jonathan.eady@agg.com</t>
  </si>
  <si>
    <t>Jonathan Eady</t>
  </si>
  <si>
    <t>Partner</t>
  </si>
  <si>
    <t>For Profit</t>
  </si>
  <si>
    <t>The General Contractor and Management Company have an Identity of Interest with the Managing General Partner and Developer.</t>
  </si>
  <si>
    <t>Other (Electronic Alarm System)</t>
  </si>
  <si>
    <t>Other (Site Lighting Lease)</t>
  </si>
  <si>
    <t>Electric Heat Pump</t>
  </si>
  <si>
    <t>DDA/QCT</t>
  </si>
  <si>
    <t>3+ Story</t>
  </si>
  <si>
    <t>Veranda at Groveway</t>
  </si>
  <si>
    <t xml:space="preserve">739 Myrtle Street </t>
  </si>
  <si>
    <t>Agree</t>
  </si>
  <si>
    <t>Room</t>
  </si>
  <si>
    <t>On-site laundry</t>
  </si>
  <si>
    <t>Furnished Exercise / Fitness Center</t>
  </si>
  <si>
    <t>Real Property Research Group</t>
  </si>
  <si>
    <t>Prater &amp; York</t>
  </si>
  <si>
    <t>Earth Craft House Multifamily</t>
  </si>
  <si>
    <t>Stable Communities &lt; 20%</t>
  </si>
  <si>
    <t>Pass</t>
  </si>
  <si>
    <t>City of Roswell</t>
  </si>
  <si>
    <t>0.114.05</t>
  </si>
  <si>
    <t>Jere Wood</t>
  </si>
  <si>
    <t>Mayor</t>
  </si>
  <si>
    <t>38 Hill Street, Suite 115</t>
  </si>
  <si>
    <t>770-594-6288</t>
  </si>
  <si>
    <t xml:space="preserve">770-594-6414 </t>
  </si>
  <si>
    <t>Affordable Assisted Living at Scholars Landing</t>
  </si>
  <si>
    <t>Roswell Housing Authority</t>
  </si>
  <si>
    <t>799 Grove Way</t>
  </si>
  <si>
    <t>Scott Marcelais</t>
  </si>
  <si>
    <t>roswellha@bellsouth.net</t>
  </si>
  <si>
    <t>Integral Development, LLC</t>
  </si>
  <si>
    <t>199 Grove Way</t>
  </si>
  <si>
    <t>Executive Director</t>
  </si>
  <si>
    <t>David Schmit</t>
  </si>
  <si>
    <t>dschmit@macauleyschmit.com</t>
  </si>
  <si>
    <t>Rees/Design Associates, Inc.</t>
  </si>
  <si>
    <t>2955 Pharr Court South</t>
  </si>
  <si>
    <t>George Rees</t>
  </si>
  <si>
    <t>reesdesign@att.net</t>
  </si>
  <si>
    <t>Habif, Arogeti &amp; Wynne, L.L.P</t>
  </si>
  <si>
    <t>Five Concourse Parkway, Suite 1000</t>
  </si>
  <si>
    <t>Allison Fossyl</t>
  </si>
  <si>
    <t>Senior Manager</t>
  </si>
  <si>
    <t xml:space="preserve">alison.fossyl@hawcpa.com </t>
  </si>
  <si>
    <t>MacauleySchmit LLC</t>
  </si>
  <si>
    <t>PO Box 1208</t>
  </si>
  <si>
    <t>CW Capital</t>
  </si>
  <si>
    <t>The Roswell Housing Authority uses the DCA Middle Region Utility Allowances</t>
  </si>
  <si>
    <t>PHA Oper Sub</t>
  </si>
  <si>
    <t>The property is owned by the Roswell Housing Authority.  The Applicant anticipates entering into a long-term ground lease with RHA at the financial closing.  A copy of the Option to Lease is located in Tab 9.</t>
  </si>
  <si>
    <t>Ground lease/Option</t>
  </si>
  <si>
    <t>Groveway Senior Parternship, LP</t>
  </si>
  <si>
    <t>The Option to Lease from the Roswell Housing Authority is located in Tab 9.</t>
  </si>
  <si>
    <t>The site is accessible from Myrtle Street as evidenced by the site map and survey located in Tab 10.</t>
  </si>
  <si>
    <t>Georgia Power</t>
  </si>
  <si>
    <t>Fulton County</t>
  </si>
  <si>
    <t>11 A.1) is not applicable to this project.  The utility availibility letters are included in Tab 12.</t>
  </si>
  <si>
    <t xml:space="preserve">Applicant agrees that the additional amenties will meet the DCA Guidebook standards. </t>
  </si>
  <si>
    <t>Qualified without Conditions</t>
  </si>
  <si>
    <t xml:space="preserve">The Applicant's understanding is that it is not necessary to re-submit the Performance Workbook and other documents listed above since the Project Team submitted them in the pre-application request and there have been no changes since then. </t>
  </si>
  <si>
    <t>Computer Services</t>
  </si>
  <si>
    <t>0114.03, 0114.04, 0114.06, 0114.07, 0114.11, 0114.12, 0101.11,  0101.06</t>
  </si>
  <si>
    <t>Racially mixed</t>
  </si>
  <si>
    <t>1. The Veranda at Groveway is the first phase of a Master Planned Community  that will be the revitaliztion of the Roswell Housing Authority property by RHA, Integral Development, LLC and MacauleySchmit.  The RHA community is part of a larger revitalization effort of the Groveway community by the City of Roswell.  
2. The City of Roswell has given The Veranda at Groveway a parking variance from 1.5 spaces per unit to 1.2 spaces per unit.  A copy of the administrative variance is included in Tab 11.</t>
  </si>
  <si>
    <t xml:space="preserve">1150 Cleveland Street, Suite 150     </t>
  </si>
  <si>
    <t>Clearwater</t>
  </si>
  <si>
    <t>Brent Watts</t>
  </si>
  <si>
    <t>Senior Vice President</t>
  </si>
  <si>
    <t>Brent.Watts@churchillstateside.com</t>
  </si>
  <si>
    <t>Churchill Stateside Group</t>
  </si>
  <si>
    <t>Other(see comments)</t>
  </si>
  <si>
    <t>The commitment letter from CWCapital is in Tab 5.  CWCapital has submitted a MAP pre-application to HUD for a 221(d)4 first mortgage.  We anticipate receiving the HUD Invitation to Submit by July 13, 2012.</t>
  </si>
  <si>
    <t>The building will be for residents 62 and older.</t>
  </si>
  <si>
    <t>8 months to 93%</t>
  </si>
  <si>
    <t>12 units per month for 8 months to 93%</t>
  </si>
  <si>
    <t>There are no DCA tax credit projects within a 2-mile radius of the Veranda at Groveway.</t>
  </si>
  <si>
    <t>The project was presented at a public City Council meeting and has received support from the City Council and the Mayor of Roswell.  Minutes of the meeting, as well as a resolution and letter of support, are included in Tab 13, along with a letter from the Groveway Tenant Council.</t>
  </si>
  <si>
    <t>Gazebo</t>
  </si>
  <si>
    <t xml:space="preserve">There are two buildings that will be demolished by the Roswell Housing Authority prior to the commencement of this project for a total of 4 units.  Two units are vacant and the residents of the other two will be relocated to other vacancies within the Roswell Housing Authority.  </t>
  </si>
  <si>
    <t>NA</t>
  </si>
  <si>
    <t xml:space="preserve">The 25 units at 50% AMI shown in Part VI - Revenues &amp; Expenses are based upon the recommendation of the market analyst.  Those 25 units demonstrate that the property will operate successfully should the property need to include more 50% AMI units than the minimum required 15%.  We commit to having at least 15% of the units restricted to 50% AMI but want flexibility with the remaining units to respond to market demand. </t>
  </si>
  <si>
    <t xml:space="preserve">The Veranda at Groveway is 0.3 miles from an established bus stop on MARTA route 85. </t>
  </si>
  <si>
    <t>The project team has experience with multiple projects that have been EarthCraft Multifamily Certified.  A Certificate of Attendance to DCA's Sustainability Workshop is included in Tab 33.</t>
  </si>
  <si>
    <t>Working Capital (4% of loan amount)</t>
  </si>
  <si>
    <t>RHA Loan</t>
  </si>
  <si>
    <t>Engineer-Noise and 3rd party Construction Costs review (IOI Waiver)</t>
  </si>
  <si>
    <t>Churchill Stateside Group LLC</t>
  </si>
  <si>
    <t>Harry Walls Environmental Consulting</t>
  </si>
  <si>
    <t>40 DNL</t>
  </si>
  <si>
    <t>Dobbins Air Reserve Base</t>
  </si>
  <si>
    <t xml:space="preserve">1. The analyst uses the address of the Roswell Housing Authority, of which this development is a part, in the Noise Assessment. </t>
  </si>
  <si>
    <t>Georgia Department of Community Affairs</t>
  </si>
  <si>
    <t>GC Cost Certification</t>
  </si>
  <si>
    <t>Other FHA Fees (see detail in comments section)</t>
  </si>
  <si>
    <t xml:space="preserve">The Veranda at Groveway meets the Groveway Community District Overlay Form Based Code.  The City of Roswell has given a parking variance to 1.2 spaces per unit.  </t>
  </si>
  <si>
    <t>UH Senior Partnership II, L.P.</t>
  </si>
  <si>
    <t>UH Senior GP II, LLC</t>
  </si>
  <si>
    <t>McCauleySchmit, LLC</t>
  </si>
  <si>
    <t>1 Not Applicable</t>
  </si>
  <si>
    <t>PA12-55</t>
  </si>
  <si>
    <t>Yes- w/Master Plan</t>
  </si>
  <si>
    <t xml:space="preserve">1. Construction hard costs were generated by our affiliate, IBG Construction Services, Inc (IBG).  IBG has extensive General Contracting and Construction Management experience on similar projects with DCA.  They have estimated the construction cost using design specification assumptions based upon similar projects and requirements per the 2012 Architectural Manual.  Pricing is based on current market conditions.  The Construction Cost estimate is included in Tab 8.                                                                                                                                                                2. The Other FHA Fees includes: FHA/HUD Application Fee of 0.3% of loan amount =  $11,400, Ginnie Mae Fee $1,100, FHA Inspection Fee of 0.5% of loan amount = $19,000, Mortgage Insurance Premium of 0.9% of loan amount = $34,200, Loan Processing Fee of $5,000 (to be credited to Financing Fee), and Lender's Legal Fee of $30,000.                                                                                                                                                                                                                                                                                                                        3. For the 221(d)4 loan HUD requires a Working Capital reserve calculated at 4% of loan amount. The Working Capital can be used in the same manner as the Rent Up Reserve.  Per DCA's response #5 in Q&amp;A #6, we have combined the HUD &amp; DCA requirements into one reserve.  The Working Capital calculation yields the larger reserve requirement. 
4.  LOCAL GOVERNMENT FEES includes an amount for Impact Fee.  The project may be eligible for a full or partial waiver but that will not be determined until the permit is issued. 
5. The budget does not include Construction Real Estate Taxes because the land is owned by RHA and is therefore exempt under O.C.G.A § 8-3-8 during the construction and permanent period.   A narrative is included in Tab 8.  
6. Under PROFESSIONAL SERVICES, Accounting includes 10% Test, Cost/Basis Certification, Annual Audit/Tax Return, and  DSCR certification.                                                                                                                                                   </t>
  </si>
  <si>
    <t xml:space="preserve">1. The unit income mix included in the application is based upon the recommendations of the market analyst.  We agree to reserve 15% (15 units) of the units to residents at 50% AMI.  We would like the flexibility with the remaining 69 LIHTC units to respond to market demand. 
2.  The real estate calculation is included in Tab 8.  It uses the Fulton County Net Operating Income approach to valuing LIHTC properties using an assumed cap rate of 6%.  In addition, the land and 4 RHA units exempt from taxes under O.C.G.A § 8-3-8.  A copy of the statute has been placed in Tab 8 for reference. 
3. The  insurance amount is based upon a quote from J. Smith Lanier that is included in Tab 8.  The quote includes permanent property, general liability, and umbrella coverage using current pricing.  
4. Operating Subsidy is calculated in an amount equal to the difference between rent collected (assumed tenant rents equal to zero for tax credit application purpose) and the cost to operate the 4 public housing units on a breakeven basis.   
5. The Replacement Reserve amount per unit per year is the calculated amount required by the first mortgage lender using HUD guidelines. That calculation yields the largest replacement reserve requirement.                                                                               </t>
  </si>
  <si>
    <t xml:space="preserve">1. Mortgage A Debt Service Payment includes 0.45% annual MIP payment
2. Mortgage B is a cash flow dependent loan provided by Roswell Housing Authority. The loan commitment states that the loan payment is 25% of Net Cash Flow, which is approximately 20.50% after 1st mortgage payment.
3. The 6.5% of Property Management Fee includes 5.5% to Integral Property Management and 1% Asset Management Services Fee to Roswell Housing Authority.  
4. The terms of the Deferred Developer Fee are in the Development Services Agreement between Integral Development, LLC and Groveway Senior Partnership, LP. A copy of the agreement is included in Tab 5.
5. We have assumed a 3% annual CPI adjustment to the $7,500 Asset Management Fee to Churchill Stateside Group.                                                                                                                                                                                                                                                            </t>
  </si>
  <si>
    <t>The Veranda at Groveway is located in Census tract 0114.05 which has a poverty rate of approximately 14.5%.</t>
  </si>
  <si>
    <t>Streetscape improvements in public right of way along Myrtle Street adjacent to property site, including new paving, curb &amp; gutter, sidewalks, landscaping, benches, bike racks, and lighting, as well as offsite waterline improvements</t>
  </si>
  <si>
    <t xml:space="preserve">1. A copy of the Option to Ground Lease is included in Tab 9.  It has nominal rent and a term at least a minimum of 45 years. 
2. The City of Roswell is providing HOME &amp; CDBG funds to the Roswell Housing Authority specifically for Veranda at Groveway.  RHA is combining those funds with funds from its Operating Reserve as a funding source for the project.  The loan commitment is included in Tab 5. The CDBG dollars will be earmarked for on-site waterline infrastructure improvements, including waterlines, meters, and the building and parking fire safety systems.
3. The City of Roswell has committed to $650,000 of off-site streetscape improvements.  The commitment is located in the letter from the Mayor of Roswell, Jere Wood, located in Tab 5. </t>
  </si>
  <si>
    <t xml:space="preserve">The Veranda at Groveway is the first phase in the Master Planned Community revitalization of the Roswell Housing Authority (RHA) property located within the Groveway community near downtown Roswell.  The revitalization is a joint effort by RHA and its private development partners, Integral Development, LLC and MacauleySchmit LLC.  
The Groveway community was established in Roswell in 1943. The history of its residents still exists today in the Groveway Community Group, Roswell’s oldest non-profit organization dedicated to community.  The Roswell Housing Authority was established in the early 1950s and is one of the predominant land owners in the Groveway community.  RHA oversees 103 public housing units, all located within Groveway.   At least 50% of the current housing stock is obsolete. 
The City of Roswell began targeting the area for revitalization 10 years ago and the redevelopment of the Groveway community is a high priority for the City.   In 2008, the City developed a study of the revitalization of the Roswell Town Center, including the RHA community, using an Atlanta Regional Commission (ARC) Livable Centers Initiative grant.  This was followed by two ARC Community Choices grants.  These grants were used to develop the Groveway Community Charrette Report to determine the community’s goals for the revitalization and the Groveway Community Form Based Code as a means to implement the goals.  As major stakeholders, RHA and its residents were active participants in the development of these plans.    
Groveway is located near the Roswell town center and links with Roswell’s shopping, employment, government and entertainment centers, as well as multiple parks and the Chattahoochee River National Recreational Area.  The community is served by MARTA bus route 85, which connects with the North Springs MARTA train station.  It is located near Georgia 400, which provides access to all major interstates serving the metro Atlanta area.  
The Veranda at Groveway will be a 100-unit apartment building reserved for residents 62 and older.  There will be 80 one-bedroom and 20 two-bedroom units.  The apartments will be affordable to a mix of income levels, reflecting the community’s desire to increase its stock of affordable housing within a mixed-income setting.  At least 15% of the units (15 units) will be reserved for residents at 50% AMI, while 16 units will be unrestricted market units.  The Veranda will be the first senior-only apartment building in Roswell dedicated to independent and active seniors at any income level.  It will also be only the second LIHTC development in Roswell.   This first phase essentially doubles the housing stock provision of RHA in a single effort while introducing a concerted effort toward mixed income opportunities for the first time in the City. The local community, The City of Roswell and the Roswell Housing Authority strongly support The Veranda at Groveway. 
The needs of a senior population will be considered in the design of the Veranda at Groveway.  The Veranda will be rich in amenities. EnergyStar refrigerators and dishwashers, in-sink disposals, ceiling fans and washer/dryer hookups will be standard in every unit. The stoves will have front controls and powder-based fire suppression canisters. The units will be fully accessible and every unit will have grab bars installed in the bathrooms.  The showers will feature low-flow shower heads with adjustable height.  The units will have emergency call systems and be pre-wired for security. Construction will include mechanical system and HVAC upgrades, current water conservation techniques, efficient energy management systems, indoor air quality solutions, fire and security systems, and consistent maintenance services as outlined in the guidelines from Georgia Power.  The community amenities will include on-site laundry facilities on every floor, a community room, furnished gathering areas throughout the building, a game/recreation room, a fully-equipped computer center, a fully-equipped fitness center, and an outside covered gazebo. A range of services appropriate for a senior population will be provided to the residents, focusing not just on social activities but also resident well being, including health and education related services.
The Veranda at Groveway will be designed to meet certification through the EarthCraft Multifamily Program sponsored by the Southface Energy Institute. Through the EarthCraft Multifamily certification process, Veranda at Groveway will also earn ENERGY STAR certification.  Properties certified by the EarthCraft program meet strict energy efficiency criteria in the planning, construction, and operational phases.  The Veranda at Groveway will use resource efficient design and building materials, careful construction waste management and recycling, and energy efficient building envelopes and systems to lower the environmental impact of construction and to reduce the resource consumption by residents.
The streetscapes at Groveway will feature various distinctive facades and pedestrian-friendly streets.  The City of Roswell has committed a total of $927,587 to The Veranda at Groveway project including $650,000 for offsite public improvements. These improvements include new water lines and streets improvements to Myrtle Street that will include the installation of new sidewalks, curbs and gutters, landscape strips with trees, benches, bike racks, and pedestrian scale lighting.  
In addition to the off-site improvements, the City is contributing $100,000 of HOME funds and $177,857 of CDBG funds to the Roswell Housing Authority.   Those funds will be combined with funds from RHA as a funding source for the project.  The CDBG funds will be earmarked for onsite water infrastructure, including: waterlines; meters; and fire protection systems. 
The location of the site for The Veranda at Groveway was selected in order for this phase to have the least amount of impact on the existing RHA units.  The project takes advantage of the topography of the site with an efficient design that features parking underneath the building.  The funds provided by RHA and the City will offset any project costs related to the parking structure.  
There are three buildings that will be demolished, a maintenance shed and two duplexes containing a total of four (4) units.  The demolition of these buildings will be done by the Roswell Housing Authority outside the scope of this project.  Of the four units, two are vacant as of the date of this application and the families in the remaining two will be relocated to vacancies within the RHA community. A relocation plan is included with the application.  The development of The Veranda at Groveway will allow for RHA to relocate its senior residents within the RHA community to facilitate the development of future phases of the revitalization. 
</t>
  </si>
  <si>
    <t xml:space="preserve">The City of Roswell has targeted the Groveway Community as a high priorty for revitalization.  Through a series of ARC grants, including an LCI grant, the City has been actively engaged in the determining the goals of the redevelopment, holding multiple charrettes over a period of several years.  The report &amp; form based code that resulted include requirements for affordable and senior housing, as well as green infrastructure and open spaces.  A narrative from the City, along with excerpts from the reports and overlay ordinance, are included in Tab 30.  The Roswell Housing Authority's community in Groveway is a major stakeholder in the neighborhood and has been an active participant in the process.  RHA, with input from the City, selected a private development team comprised of Integral Development, LLC and MacauleySchmit to assist in the revitalization of its portion of Groveway. The Veranda at Groveway is the first phase of the Master Planned revitalization of the RHA community. </t>
  </si>
  <si>
    <t xml:space="preserve">The Veranda at Groveway is a mixed-finance project that will combine public and private financing to begin the revitalization of an important neighborhood in Roswell.  In addition to obtaining private financing, the project will be funded in part with funds provided by the City of Roswell and the Roswell Housing Authority. </t>
  </si>
  <si>
    <t>The Veranda at Groveway is located near downtown Roswell and City Hall.  It is near several City parks, the library, post office, fire station, Grimes Bridge Park Adult Recreation Center, and multiple shopping and dining choices. Both Kroger &amp; a Walmart Supercenter are within 2 miles. The Veranda at Groveway will have an elevated view of Vickery Creek.</t>
  </si>
  <si>
    <t>Atlanta Gas Light</t>
  </si>
  <si>
    <t>This property does not intend to utliize gas appliances but has the flexibility to use gas because of gas utility availability. The utility availibility letters are included in Tab 12.</t>
  </si>
  <si>
    <t>Excerpts from Groveway Community Charrette Report</t>
  </si>
  <si>
    <t>Excerpts from Groveway Community District Overlay Form Based Code</t>
  </si>
  <si>
    <t>Timeline for adoption of District Overlay Code Ordinance</t>
  </si>
  <si>
    <t>Excerpts from Roswell Town Center LCI Study</t>
  </si>
  <si>
    <t>City of Roswell Narrative on Local Government Redevelopment Strategy</t>
  </si>
  <si>
    <t>1. The applicant has applied for an FHA 221(d)4 loan through CWCapital.  A copy of the letter outlining the terms from CWCapital is located in Tab 5.
2. The terms of the Deferred Developer Fee are in the Development Services Agreement between Integral Development, LLC and Groveway Senior Partnership, LP. A copy of the agreement is included in Tab 5. 
3. The Federal Equity Contribution is calculated using the federal and state investor's ownership percentages of 98.99% and 1% as shown in the organizational chart and in the letter from Churchill Stateside Group located in Tab 5.  
4.  The Roswell Housing Authority will combine funds provided to it by the City of Roswell ($100,000 HOME, $177,587 CDBG) with $600,000 from its Operating Reserve fund to provide $877,587 in funds for the project.  The funds may be provided in the form of a favorable soft loan or as an equity contribution.  A loan commitment letter is included in Tab 5.
5.  The City of Roswell is providing $650,000 for off-site inprovements to include water, road and sideawalk infrastructure that is outside of the development cost of the project.</t>
  </si>
  <si>
    <t>The Site Plan and photos are located in Tab 15.  The site was selected to minimize the impact on existing RHA units.  The project takes advantage of the topography of the site with an efficient design that features parking underneath the building.  The funds provided by RHA and the City will offset any project costs related to the parking structure.  There are two existing residential buildings and one maintenance shop that will be demolished by the Roswell Housing Authority prior to the commencement of construction of this project. The demolition is outside the scope of this project.</t>
  </si>
  <si>
    <t>2012-028</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</si>
</sst>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6">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wrapText="1"/>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57" fillId="0" borderId="0" xfId="0" applyFont="1" applyFill="1" applyBorder="1" applyAlignment="1" applyProtection="1">
      <alignment horizontal="left"/>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5" borderId="37" xfId="0" applyFont="1" applyFill="1" applyBorder="1" applyAlignment="1" applyProtection="1">
      <alignment horizontal="left" vertical="center" wrapText="1"/>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43" fontId="57" fillId="5" borderId="5"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 fontId="10" fillId="5" borderId="17"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4">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2012-028, Veranda at Groveway, Fulton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3552</v>
      </c>
      <c r="B3" s="880"/>
      <c r="C3" s="880"/>
      <c r="D3" s="880"/>
      <c r="E3" s="880"/>
      <c r="F3" s="880"/>
      <c r="G3" s="880"/>
    </row>
    <row r="4" spans="1:9" s="40" customFormat="1" ht="8.25" customHeight="1">
      <c r="A4" s="95"/>
      <c r="B4" s="869" t="s">
        <v>1243</v>
      </c>
      <c r="C4" s="870"/>
      <c r="D4" s="870"/>
      <c r="E4" s="870" t="s">
        <v>3617</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3974</v>
      </c>
      <c r="I8" s="1235"/>
    </row>
    <row r="9" spans="1:9" s="40" customFormat="1" ht="12.6" customHeight="1" thickBot="1">
      <c r="A9" s="101"/>
      <c r="B9" s="789"/>
      <c r="C9" s="390"/>
      <c r="D9" s="390"/>
      <c r="E9" s="391" t="s">
        <v>3940</v>
      </c>
      <c r="F9" s="391"/>
      <c r="G9" s="1234" t="s">
        <v>3974</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3974</v>
      </c>
    </row>
    <row r="12" spans="1:9" s="40" customFormat="1" ht="12.6" customHeight="1">
      <c r="A12" s="386"/>
      <c r="B12" s="1237"/>
      <c r="C12" s="1237"/>
      <c r="D12" s="1237"/>
      <c r="E12" s="1236" t="s">
        <v>3941</v>
      </c>
      <c r="F12" s="395"/>
      <c r="G12" s="1234" t="s">
        <v>2104</v>
      </c>
    </row>
    <row r="13" spans="1:9" s="40" customFormat="1" ht="12.6" customHeight="1">
      <c r="A13" s="386"/>
      <c r="B13" s="1237"/>
      <c r="C13" s="1237"/>
      <c r="D13" s="1237"/>
      <c r="E13" s="1236" t="s">
        <v>3937</v>
      </c>
      <c r="F13" s="395"/>
      <c r="G13" s="1234" t="s">
        <v>2104</v>
      </c>
    </row>
    <row r="14" spans="1:9" s="40" customFormat="1" ht="12" customHeight="1">
      <c r="A14" s="101"/>
      <c r="B14" s="391"/>
      <c r="C14" s="391"/>
      <c r="D14" s="391"/>
      <c r="E14" s="392" t="s">
        <v>749</v>
      </c>
      <c r="F14" s="391"/>
      <c r="G14" s="1234" t="s">
        <v>3974</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3974</v>
      </c>
    </row>
    <row r="17" spans="1:7" s="40" customFormat="1" ht="12" customHeight="1">
      <c r="A17" s="101"/>
      <c r="B17" s="239"/>
      <c r="C17" s="789"/>
      <c r="D17" s="391"/>
      <c r="E17" s="391" t="s">
        <v>3928</v>
      </c>
      <c r="F17" s="391"/>
      <c r="G17" s="1234" t="s">
        <v>3974</v>
      </c>
    </row>
    <row r="18" spans="1:7" s="40" customFormat="1" ht="12" customHeight="1">
      <c r="A18" s="101"/>
      <c r="B18" s="239"/>
      <c r="C18" s="789"/>
      <c r="D18" s="391"/>
      <c r="E18" s="391" t="s">
        <v>3968</v>
      </c>
      <c r="F18" s="391"/>
      <c r="G18" s="1234" t="s">
        <v>3974</v>
      </c>
    </row>
    <row r="19" spans="1:7" s="40" customFormat="1" ht="12" customHeight="1">
      <c r="A19" s="387">
        <v>2</v>
      </c>
      <c r="B19" s="394" t="s">
        <v>3913</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3902</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3899</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3494</v>
      </c>
      <c r="F25" s="391"/>
      <c r="G25" s="1234" t="s">
        <v>2104</v>
      </c>
    </row>
    <row r="26" spans="1:7" s="40" customFormat="1" ht="12" customHeight="1">
      <c r="A26" s="101"/>
      <c r="B26" s="391"/>
      <c r="C26" s="391"/>
      <c r="D26" s="391"/>
      <c r="E26" s="1236" t="s">
        <v>3276</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3956</v>
      </c>
      <c r="F30" s="391"/>
      <c r="G30" s="1234" t="s">
        <v>2104</v>
      </c>
    </row>
    <row r="31" spans="1:7" s="40" customFormat="1" ht="12" customHeight="1">
      <c r="A31" s="101"/>
      <c r="B31" s="239"/>
      <c r="D31" s="1236" t="s">
        <v>3648</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3900</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3914</v>
      </c>
      <c r="D35" s="393"/>
      <c r="E35" s="395" t="s">
        <v>3333</v>
      </c>
      <c r="F35" s="394"/>
      <c r="G35" s="1234" t="s">
        <v>2104</v>
      </c>
    </row>
    <row r="36" spans="1:7" s="40" customFormat="1" ht="12" customHeight="1">
      <c r="A36" s="97"/>
      <c r="B36" s="393"/>
      <c r="C36" s="393"/>
      <c r="D36" s="393"/>
      <c r="E36" s="395" t="s">
        <v>3334</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3695</v>
      </c>
      <c r="F38" s="883"/>
      <c r="G38" s="1234" t="s">
        <v>2104</v>
      </c>
    </row>
    <row r="39" spans="1:7" s="40" customFormat="1" ht="12" customHeight="1">
      <c r="A39" s="101"/>
      <c r="B39" s="239"/>
      <c r="C39" s="391"/>
      <c r="D39" s="391"/>
      <c r="E39" s="395" t="s">
        <v>3273</v>
      </c>
      <c r="F39" s="391"/>
      <c r="G39" s="1234" t="s">
        <v>2104</v>
      </c>
    </row>
    <row r="40" spans="1:7" s="40" customFormat="1" ht="12" customHeight="1">
      <c r="A40" s="101"/>
      <c r="B40" s="239"/>
      <c r="C40" s="391"/>
      <c r="D40" s="391"/>
      <c r="E40" s="395" t="s">
        <v>3633</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3848</v>
      </c>
      <c r="E44" s="1240" t="s">
        <v>3901</v>
      </c>
      <c r="F44" s="1241"/>
      <c r="G44" s="1234" t="s">
        <v>2104</v>
      </c>
    </row>
    <row r="45" spans="1:7" s="40" customFormat="1" ht="11.25" customHeight="1">
      <c r="A45" s="101"/>
      <c r="B45" s="1242"/>
      <c r="C45" s="143"/>
      <c r="D45" s="143"/>
      <c r="E45" s="1236" t="s">
        <v>3676</v>
      </c>
      <c r="F45" s="391"/>
      <c r="G45" s="1234" t="s">
        <v>2104</v>
      </c>
    </row>
    <row r="46" spans="1:7" s="40" customFormat="1" ht="12" customHeight="1">
      <c r="A46" s="101"/>
      <c r="B46" s="1243"/>
      <c r="C46" s="1244"/>
      <c r="D46" s="1244"/>
      <c r="E46" s="1236" t="s">
        <v>3677</v>
      </c>
      <c r="F46" s="391"/>
      <c r="G46" s="1234" t="s">
        <v>2104</v>
      </c>
    </row>
    <row r="47" spans="1:7" s="40" customFormat="1" ht="26.25" customHeight="1">
      <c r="A47" s="99"/>
      <c r="B47" s="393"/>
      <c r="C47" s="393"/>
      <c r="D47" s="393"/>
      <c r="E47" s="882" t="s">
        <v>3696</v>
      </c>
      <c r="F47" s="883"/>
      <c r="G47" s="1234" t="s">
        <v>2104</v>
      </c>
    </row>
    <row r="48" spans="1:7" s="40" customFormat="1" ht="3" customHeight="1">
      <c r="A48" s="797"/>
      <c r="B48" s="393"/>
      <c r="C48" s="393"/>
      <c r="D48" s="393"/>
      <c r="E48" s="395"/>
      <c r="F48" s="394"/>
      <c r="G48" s="312"/>
    </row>
    <row r="49" spans="1:7" s="40" customFormat="1" ht="12" customHeight="1">
      <c r="A49" s="386">
        <v>3</v>
      </c>
      <c r="B49" s="406" t="s">
        <v>3920</v>
      </c>
      <c r="C49" s="391"/>
      <c r="D49" s="391"/>
      <c r="E49" s="395" t="s">
        <v>3917</v>
      </c>
      <c r="F49" s="794"/>
      <c r="G49" s="1234" t="s">
        <v>3974</v>
      </c>
    </row>
    <row r="50" spans="1:7" s="40" customFormat="1" ht="13.5">
      <c r="A50" s="386"/>
      <c r="B50" s="406"/>
      <c r="C50" s="1245" t="s">
        <v>3929</v>
      </c>
      <c r="D50" s="391"/>
      <c r="E50" s="882" t="s">
        <v>3967</v>
      </c>
      <c r="F50" s="883"/>
      <c r="G50" s="1234" t="s">
        <v>2104</v>
      </c>
    </row>
    <row r="51" spans="1:7" s="40" customFormat="1" ht="12" customHeight="1">
      <c r="A51" s="101"/>
      <c r="B51" s="239"/>
      <c r="C51" s="789"/>
      <c r="D51" s="391"/>
      <c r="E51" s="391" t="s">
        <v>3258</v>
      </c>
      <c r="F51" s="391"/>
      <c r="G51" s="1234" t="s">
        <v>3974</v>
      </c>
    </row>
    <row r="52" spans="1:7" s="40" customFormat="1" ht="12" customHeight="1">
      <c r="A52" s="101"/>
      <c r="B52" s="239"/>
      <c r="C52" s="789"/>
      <c r="D52" s="391"/>
      <c r="E52" s="391" t="s">
        <v>3916</v>
      </c>
      <c r="F52" s="391"/>
      <c r="G52" s="1234" t="s">
        <v>3974</v>
      </c>
    </row>
    <row r="53" spans="1:7" s="40" customFormat="1" ht="12" customHeight="1">
      <c r="A53" s="101"/>
      <c r="B53" s="239"/>
      <c r="C53" s="391"/>
      <c r="D53" s="391"/>
      <c r="E53" s="395" t="s">
        <v>3199</v>
      </c>
      <c r="F53" s="395"/>
      <c r="G53" s="1234" t="s">
        <v>3974</v>
      </c>
    </row>
    <row r="54" spans="1:7" s="40" customFormat="1" ht="12" customHeight="1">
      <c r="A54" s="101"/>
      <c r="B54" s="239"/>
      <c r="C54" s="391"/>
      <c r="D54" s="391"/>
      <c r="E54" s="882" t="s">
        <v>3918</v>
      </c>
      <c r="F54" s="883"/>
      <c r="G54" s="1234" t="s">
        <v>3974</v>
      </c>
    </row>
    <row r="55" spans="1:7" s="40" customFormat="1" ht="3" customHeight="1">
      <c r="A55" s="97"/>
      <c r="B55" s="393"/>
      <c r="C55" s="393"/>
      <c r="D55" s="393"/>
      <c r="E55" s="393"/>
      <c r="F55" s="394"/>
      <c r="G55" s="311"/>
    </row>
    <row r="56" spans="1:7" s="40" customFormat="1" ht="12" customHeight="1">
      <c r="A56" s="101"/>
      <c r="B56" s="395"/>
      <c r="C56" s="865" t="s">
        <v>3921</v>
      </c>
      <c r="D56" s="865"/>
      <c r="E56" s="395" t="s">
        <v>3286</v>
      </c>
      <c r="F56" s="395"/>
      <c r="G56" s="1234" t="s">
        <v>3974</v>
      </c>
    </row>
    <row r="57" spans="1:7" s="40" customFormat="1" ht="12" customHeight="1">
      <c r="A57" s="101"/>
      <c r="B57" s="395"/>
      <c r="C57" s="865"/>
      <c r="D57" s="865"/>
      <c r="E57" s="395" t="s">
        <v>3287</v>
      </c>
      <c r="F57" s="395"/>
      <c r="G57" s="1234" t="s">
        <v>2104</v>
      </c>
    </row>
    <row r="58" spans="1:7" s="1246" customFormat="1" ht="12" customHeight="1">
      <c r="A58" s="101"/>
      <c r="B58" s="395"/>
      <c r="C58" s="395"/>
      <c r="D58" s="414"/>
      <c r="E58" s="395" t="s">
        <v>3307</v>
      </c>
      <c r="F58" s="395"/>
      <c r="G58" s="1234" t="s">
        <v>2104</v>
      </c>
    </row>
    <row r="59" spans="1:7" s="40" customFormat="1" ht="3" customHeight="1">
      <c r="A59" s="97"/>
      <c r="B59" s="393"/>
      <c r="C59" s="393"/>
      <c r="D59" s="393"/>
      <c r="E59" s="393"/>
      <c r="F59" s="394"/>
      <c r="G59" s="311"/>
    </row>
    <row r="60" spans="1:7" s="40" customFormat="1" ht="12" customHeight="1">
      <c r="A60" s="101"/>
      <c r="C60" s="1245" t="s">
        <v>3694</v>
      </c>
      <c r="D60" s="391"/>
      <c r="E60" s="391" t="s">
        <v>3687</v>
      </c>
      <c r="G60" s="1234" t="s">
        <v>2104</v>
      </c>
    </row>
    <row r="61" spans="1:7" s="40" customFormat="1" ht="12" customHeight="1">
      <c r="A61" s="101"/>
      <c r="B61" s="395"/>
      <c r="C61" s="390"/>
      <c r="D61" s="395"/>
      <c r="E61" s="882" t="s">
        <v>3688</v>
      </c>
      <c r="F61" s="883"/>
      <c r="G61" s="1234" t="s">
        <v>2104</v>
      </c>
    </row>
    <row r="62" spans="1:7" s="40" customFormat="1" ht="12" customHeight="1">
      <c r="A62" s="101"/>
      <c r="B62" s="395"/>
      <c r="C62" s="413"/>
      <c r="D62" s="395"/>
      <c r="E62" s="395" t="s">
        <v>3903</v>
      </c>
      <c r="G62" s="1234" t="s">
        <v>2104</v>
      </c>
    </row>
    <row r="63" spans="1:7" s="40" customFormat="1" ht="12" customHeight="1">
      <c r="A63" s="101"/>
      <c r="B63" s="395"/>
      <c r="C63" s="395"/>
      <c r="D63" s="414"/>
      <c r="E63" s="395" t="s">
        <v>3689</v>
      </c>
      <c r="G63" s="1234" t="s">
        <v>2104</v>
      </c>
    </row>
    <row r="64" spans="1:7" s="40" customFormat="1" ht="12" customHeight="1">
      <c r="A64" s="101"/>
      <c r="B64" s="395"/>
      <c r="C64" s="395"/>
      <c r="D64" s="414"/>
      <c r="E64" s="395" t="s">
        <v>3690</v>
      </c>
      <c r="G64" s="1234" t="s">
        <v>2104</v>
      </c>
    </row>
    <row r="65" spans="1:7" s="1246" customFormat="1" ht="12" customHeight="1">
      <c r="A65" s="101"/>
      <c r="B65" s="395"/>
      <c r="C65" s="395"/>
      <c r="D65" s="414"/>
      <c r="E65" s="882" t="s">
        <v>3691</v>
      </c>
      <c r="F65" s="883"/>
      <c r="G65" s="1234" t="s">
        <v>2104</v>
      </c>
    </row>
    <row r="66" spans="1:7" s="40" customFormat="1" ht="12" customHeight="1">
      <c r="A66" s="101"/>
      <c r="D66" s="391"/>
      <c r="E66" s="881" t="s">
        <v>3692</v>
      </c>
      <c r="F66" s="883"/>
      <c r="G66" s="1234" t="s">
        <v>2104</v>
      </c>
    </row>
    <row r="67" spans="1:7" s="40" customFormat="1" ht="12" customHeight="1">
      <c r="A67" s="101"/>
      <c r="B67" s="395"/>
      <c r="C67" s="390"/>
      <c r="D67" s="395"/>
      <c r="E67" s="395" t="s">
        <v>3693</v>
      </c>
      <c r="G67" s="1234" t="s">
        <v>2104</v>
      </c>
    </row>
    <row r="68" spans="1:7" s="40" customFormat="1" ht="13.5">
      <c r="A68" s="101"/>
      <c r="B68" s="1236" t="s">
        <v>3919</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3923</v>
      </c>
      <c r="F70" s="391"/>
      <c r="G70" s="1234" t="s">
        <v>2104</v>
      </c>
    </row>
    <row r="71" spans="1:7" s="40" customFormat="1" ht="12" customHeight="1">
      <c r="A71" s="101"/>
      <c r="B71" s="391"/>
      <c r="C71" s="391"/>
      <c r="D71" s="1236"/>
      <c r="E71" s="396" t="s">
        <v>3308</v>
      </c>
      <c r="F71" s="395"/>
      <c r="G71" s="1234" t="s">
        <v>2104</v>
      </c>
    </row>
    <row r="72" spans="1:7" s="40" customFormat="1" ht="12" customHeight="1">
      <c r="A72" s="386"/>
      <c r="B72" s="1237"/>
      <c r="C72" s="391"/>
      <c r="D72" s="391"/>
      <c r="E72" s="1236" t="s">
        <v>3922</v>
      </c>
      <c r="F72" s="391"/>
      <c r="G72" s="1234" t="s">
        <v>2104</v>
      </c>
    </row>
    <row r="73" spans="1:7" s="40" customFormat="1" ht="12" customHeight="1">
      <c r="A73" s="386"/>
      <c r="B73" s="1237"/>
      <c r="C73" s="391"/>
      <c r="D73" s="391"/>
      <c r="E73" s="1236" t="s">
        <v>3952</v>
      </c>
      <c r="F73" s="391"/>
      <c r="G73" s="1234" t="s">
        <v>2104</v>
      </c>
    </row>
    <row r="74" spans="1:7" s="40" customFormat="1" ht="12" customHeight="1">
      <c r="A74" s="386"/>
      <c r="B74" s="1237"/>
      <c r="C74" s="391"/>
      <c r="D74" s="391"/>
      <c r="E74" s="1236" t="s">
        <v>3658</v>
      </c>
      <c r="F74" s="391"/>
      <c r="G74" s="1234" t="s">
        <v>2104</v>
      </c>
    </row>
    <row r="75" spans="1:7" s="40" customFormat="1" ht="12" customHeight="1">
      <c r="A75" s="386"/>
      <c r="B75" s="1237"/>
      <c r="C75" s="391"/>
      <c r="D75" s="391"/>
      <c r="E75" s="1236" t="s">
        <v>3277</v>
      </c>
      <c r="F75" s="391"/>
      <c r="G75" s="1234" t="s">
        <v>2104</v>
      </c>
    </row>
    <row r="76" spans="1:7" s="40" customFormat="1" ht="12" customHeight="1">
      <c r="A76" s="386"/>
      <c r="B76" s="1237"/>
      <c r="C76" s="391"/>
      <c r="D76" s="391"/>
      <c r="E76" s="1236" t="s">
        <v>3924</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3953</v>
      </c>
      <c r="F78" s="391"/>
      <c r="G78" s="1234" t="s">
        <v>2104</v>
      </c>
    </row>
    <row r="79" spans="1:7" s="40" customFormat="1" ht="12" customHeight="1">
      <c r="A79" s="101"/>
      <c r="B79" s="407" t="s">
        <v>3340</v>
      </c>
      <c r="C79" s="408"/>
      <c r="D79" s="409"/>
      <c r="E79" s="396"/>
      <c r="F79" s="391"/>
      <c r="G79" s="313"/>
    </row>
    <row r="80" spans="1:7" s="40" customFormat="1" ht="12.75" customHeight="1">
      <c r="A80" s="386">
        <v>5</v>
      </c>
      <c r="B80" s="404" t="s">
        <v>3200</v>
      </c>
      <c r="C80" s="391"/>
      <c r="D80" s="391"/>
      <c r="E80" s="397" t="s">
        <v>2519</v>
      </c>
      <c r="F80" s="397"/>
      <c r="G80" s="1234" t="s">
        <v>3974</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3974</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3974</v>
      </c>
    </row>
    <row r="89" spans="1:7" s="40" customFormat="1" ht="12" customHeight="1">
      <c r="A89" s="101"/>
      <c r="B89" s="391"/>
      <c r="C89" s="416"/>
      <c r="D89" s="391"/>
      <c r="E89" s="440" t="s">
        <v>1725</v>
      </c>
      <c r="F89" s="398"/>
      <c r="G89" s="1234" t="s">
        <v>3984</v>
      </c>
    </row>
    <row r="90" spans="1:7" s="40" customFormat="1" ht="12" customHeight="1">
      <c r="A90" s="101"/>
      <c r="B90" s="391"/>
      <c r="C90" s="391"/>
      <c r="D90" s="391"/>
      <c r="E90" s="1236" t="s">
        <v>1778</v>
      </c>
      <c r="F90" s="397"/>
      <c r="G90" s="1234" t="s">
        <v>3984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3974</v>
      </c>
    </row>
    <row r="94" spans="1:7" s="40" customFormat="1" ht="12" customHeight="1">
      <c r="A94" s="101"/>
      <c r="B94" s="391"/>
      <c r="C94" s="391"/>
      <c r="D94" s="391"/>
      <c r="E94" s="397" t="s">
        <v>3904</v>
      </c>
      <c r="F94" s="397"/>
      <c r="G94" s="1234" t="s">
        <v>2104</v>
      </c>
    </row>
    <row r="95" spans="1:7" s="40" customFormat="1" ht="12" customHeight="1">
      <c r="A95" s="101"/>
      <c r="B95" s="391"/>
      <c r="C95" s="391"/>
      <c r="D95" s="391"/>
      <c r="E95" s="397" t="s">
        <v>601</v>
      </c>
      <c r="F95" s="397"/>
      <c r="G95" s="1234" t="s">
        <v>3974</v>
      </c>
    </row>
    <row r="96" spans="1:7" s="40" customFormat="1" ht="13.5">
      <c r="A96" s="101"/>
      <c r="C96" s="1247" t="s">
        <v>3678</v>
      </c>
      <c r="D96" s="391"/>
      <c r="E96" s="1236"/>
      <c r="F96" s="397"/>
      <c r="G96" s="149"/>
    </row>
    <row r="97" spans="1:7" s="40" customFormat="1" ht="12.75" customHeight="1">
      <c r="A97" s="387"/>
      <c r="D97" s="1248" t="s">
        <v>3679</v>
      </c>
      <c r="E97" s="1236" t="s">
        <v>3925</v>
      </c>
      <c r="F97" s="396"/>
      <c r="G97" s="1249" t="s">
        <v>3974</v>
      </c>
    </row>
    <row r="98" spans="1:7" s="40" customFormat="1" ht="12.75" customHeight="1">
      <c r="A98" s="796"/>
      <c r="B98" s="1236"/>
      <c r="D98" s="1248"/>
      <c r="E98" s="1236" t="s">
        <v>34</v>
      </c>
      <c r="F98" s="396"/>
      <c r="G98" s="1249" t="s">
        <v>3974</v>
      </c>
    </row>
    <row r="99" spans="1:7" s="40" customFormat="1" ht="12.75" customHeight="1">
      <c r="A99" s="796"/>
      <c r="B99" s="400"/>
      <c r="D99" s="1248"/>
      <c r="E99" s="1250" t="s">
        <v>35</v>
      </c>
      <c r="F99" s="396"/>
      <c r="G99" s="1249" t="s">
        <v>3974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3278</v>
      </c>
      <c r="F101" s="391"/>
      <c r="G101" s="1234" t="s">
        <v>2104</v>
      </c>
    </row>
    <row r="102" spans="1:7" s="40" customFormat="1" ht="12" customHeight="1">
      <c r="A102" s="101"/>
      <c r="B102" s="391"/>
      <c r="C102" s="411"/>
      <c r="D102" s="411"/>
      <c r="E102" s="395" t="s">
        <v>3583</v>
      </c>
      <c r="F102" s="399"/>
      <c r="G102" s="1234" t="s">
        <v>2104</v>
      </c>
    </row>
    <row r="103" spans="1:7" s="40" customFormat="1" ht="12" customHeight="1">
      <c r="A103" s="101"/>
      <c r="B103" s="391"/>
      <c r="C103" s="411"/>
      <c r="D103" s="411"/>
      <c r="E103" s="395" t="s">
        <v>3584</v>
      </c>
      <c r="F103" s="399"/>
      <c r="G103" s="1234" t="s">
        <v>2104</v>
      </c>
    </row>
    <row r="104" spans="1:7" s="40" customFormat="1" ht="12" customHeight="1">
      <c r="A104" s="101"/>
      <c r="B104" s="391"/>
      <c r="C104" s="391"/>
      <c r="D104" s="391"/>
      <c r="E104" s="391" t="s">
        <v>3585</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3974</v>
      </c>
    </row>
    <row r="107" spans="1:7" s="40" customFormat="1" ht="6" customHeight="1">
      <c r="A107" s="101"/>
      <c r="B107" s="239"/>
      <c r="C107" s="789"/>
      <c r="D107" s="391"/>
      <c r="E107" s="397"/>
      <c r="F107" s="397"/>
      <c r="G107" s="149"/>
    </row>
    <row r="108" spans="1:7" s="40" customFormat="1" ht="12" customHeight="1">
      <c r="A108" s="386">
        <v>8</v>
      </c>
      <c r="B108" s="406" t="s">
        <v>3201</v>
      </c>
      <c r="C108" s="239"/>
      <c r="D108" s="391"/>
      <c r="E108" s="397" t="s">
        <v>1779</v>
      </c>
      <c r="F108" s="397"/>
      <c r="G108" s="1234" t="s">
        <v>3974</v>
      </c>
    </row>
    <row r="109" spans="1:7" s="40" customFormat="1" ht="12" customHeight="1">
      <c r="A109" s="101"/>
      <c r="B109" s="239"/>
      <c r="C109" s="789"/>
      <c r="D109" s="391"/>
      <c r="E109" s="397" t="s">
        <v>3915</v>
      </c>
      <c r="F109" s="397"/>
      <c r="G109" s="1234" t="s">
        <v>2104</v>
      </c>
    </row>
    <row r="110" spans="1:7" s="40" customFormat="1" ht="12" customHeight="1">
      <c r="A110" s="101"/>
      <c r="B110" s="239"/>
      <c r="C110" s="789"/>
      <c r="D110" s="391"/>
      <c r="E110" s="397" t="s">
        <v>3907</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3682</v>
      </c>
      <c r="F112" s="883"/>
      <c r="G112" s="1234" t="s">
        <v>3974</v>
      </c>
    </row>
    <row r="113" spans="1:7" s="40" customFormat="1" ht="12" customHeight="1">
      <c r="A113" s="101"/>
      <c r="B113" s="395"/>
      <c r="C113" s="239"/>
      <c r="D113" s="395"/>
      <c r="E113" s="395" t="s">
        <v>680</v>
      </c>
      <c r="F113" s="401"/>
      <c r="G113" s="1234" t="s">
        <v>3974</v>
      </c>
    </row>
    <row r="114" spans="1:7" s="40" customFormat="1" ht="12" customHeight="1">
      <c r="A114" s="101"/>
      <c r="B114" s="391"/>
      <c r="C114" s="239"/>
      <c r="D114" s="391"/>
      <c r="E114" s="395" t="s">
        <v>3605</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3775</v>
      </c>
      <c r="F116" s="391"/>
      <c r="G116" s="1234" t="s">
        <v>3974</v>
      </c>
    </row>
    <row r="117" spans="1:7" s="40" customFormat="1" ht="12" customHeight="1">
      <c r="A117" s="101"/>
      <c r="B117" s="239"/>
      <c r="C117" s="239"/>
      <c r="D117" s="391"/>
      <c r="E117" s="391" t="s">
        <v>3114</v>
      </c>
      <c r="F117" s="391"/>
      <c r="G117" s="1234" t="s">
        <v>2104</v>
      </c>
    </row>
    <row r="118" spans="1:7" s="40" customFormat="1" ht="12" customHeight="1">
      <c r="A118" s="101"/>
      <c r="B118" s="391"/>
      <c r="C118" s="239"/>
      <c r="D118" s="391"/>
      <c r="E118" s="391" t="s">
        <v>3057</v>
      </c>
      <c r="F118" s="391"/>
      <c r="G118" s="1234" t="s">
        <v>2104</v>
      </c>
    </row>
    <row r="119" spans="1:7" s="40" customFormat="1" ht="12" customHeight="1">
      <c r="A119" s="101"/>
      <c r="B119" s="390"/>
      <c r="C119" s="239"/>
      <c r="D119" s="391"/>
      <c r="E119" s="395" t="s">
        <v>3683</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3685</v>
      </c>
      <c r="F121" s="882"/>
      <c r="G121" s="1234" t="s">
        <v>3974</v>
      </c>
    </row>
    <row r="122" spans="1:7" s="40" customFormat="1" ht="12" customHeight="1">
      <c r="A122" s="104"/>
      <c r="B122" s="390"/>
      <c r="C122" s="239"/>
      <c r="D122" s="395"/>
      <c r="E122" s="882" t="s">
        <v>3684</v>
      </c>
      <c r="F122" s="883"/>
      <c r="G122" s="1234" t="s">
        <v>3974</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3686</v>
      </c>
      <c r="F124" s="401"/>
      <c r="G124" s="1234" t="s">
        <v>2104</v>
      </c>
    </row>
    <row r="125" spans="1:7" s="40" customFormat="1" ht="12" customHeight="1">
      <c r="A125" s="386"/>
      <c r="B125" s="404"/>
      <c r="C125" s="239"/>
      <c r="D125" s="391"/>
      <c r="E125" s="395" t="s">
        <v>3279</v>
      </c>
      <c r="F125" s="395"/>
      <c r="G125" s="1234" t="s">
        <v>3974</v>
      </c>
    </row>
    <row r="126" spans="1:7" s="40" customFormat="1" ht="12" customHeight="1">
      <c r="A126" s="101"/>
      <c r="B126" s="395"/>
      <c r="C126" s="239"/>
      <c r="D126" s="395"/>
      <c r="E126" s="396" t="s">
        <v>3493</v>
      </c>
      <c r="F126" s="391"/>
      <c r="G126" s="1234" t="s">
        <v>2104</v>
      </c>
    </row>
    <row r="127" spans="1:7" s="40" customFormat="1" ht="12" customHeight="1">
      <c r="A127" s="101"/>
      <c r="B127" s="391"/>
      <c r="C127" s="239"/>
      <c r="D127" s="1236"/>
      <c r="E127" s="391" t="s">
        <v>3280</v>
      </c>
      <c r="F127" s="391"/>
      <c r="G127" s="1234" t="s">
        <v>3974</v>
      </c>
    </row>
    <row r="128" spans="1:7" s="40" customFormat="1" ht="12" customHeight="1">
      <c r="A128" s="101"/>
      <c r="B128" s="390"/>
      <c r="C128" s="239"/>
      <c r="D128" s="391"/>
      <c r="E128" s="391" t="s">
        <v>1537</v>
      </c>
      <c r="F128" s="391"/>
      <c r="G128" s="1234" t="s">
        <v>3974</v>
      </c>
    </row>
    <row r="129" spans="1:7" s="40" customFormat="1" ht="12" customHeight="1">
      <c r="A129" s="101"/>
      <c r="B129" s="391"/>
      <c r="C129" s="239"/>
      <c r="D129" s="391"/>
      <c r="E129" s="395" t="s">
        <v>1538</v>
      </c>
      <c r="F129" s="401"/>
      <c r="G129" s="1234" t="s">
        <v>3974</v>
      </c>
    </row>
    <row r="130" spans="1:7" s="40" customFormat="1" ht="12" customHeight="1">
      <c r="A130" s="101"/>
      <c r="B130" s="395"/>
      <c r="C130" s="239"/>
      <c r="D130" s="395"/>
      <c r="E130" s="395" t="s">
        <v>3239</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3974</v>
      </c>
    </row>
    <row r="133" spans="1:7" s="40" customFormat="1" ht="12" customHeight="1">
      <c r="A133" s="101"/>
      <c r="B133" s="884"/>
      <c r="C133" s="885"/>
      <c r="D133" s="885"/>
      <c r="E133" s="395" t="s">
        <v>1785</v>
      </c>
      <c r="F133" s="395"/>
      <c r="G133" s="1234" t="s">
        <v>3974</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3309</v>
      </c>
      <c r="F136" s="397"/>
      <c r="G136" s="1234" t="s">
        <v>2104</v>
      </c>
    </row>
    <row r="137" spans="1:7" s="40" customFormat="1" ht="12" customHeight="1">
      <c r="A137" s="101"/>
      <c r="B137" s="587" t="s">
        <v>2882</v>
      </c>
      <c r="C137" s="239"/>
      <c r="D137" s="1251"/>
      <c r="E137" s="881" t="s">
        <v>3933</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3974</v>
      </c>
    </row>
    <row r="140" spans="1:7" s="40" customFormat="1" ht="12" customHeight="1">
      <c r="A140" s="386"/>
      <c r="B140" s="587" t="s">
        <v>3176</v>
      </c>
      <c r="C140" s="404"/>
      <c r="D140" s="391"/>
      <c r="E140" s="392" t="s">
        <v>2373</v>
      </c>
      <c r="F140" s="391"/>
      <c r="G140" s="1234" t="s">
        <v>3974</v>
      </c>
    </row>
    <row r="141" spans="1:7" s="40" customFormat="1" ht="12" customHeight="1">
      <c r="A141" s="101"/>
      <c r="B141" s="239"/>
      <c r="C141" s="391"/>
      <c r="D141" s="391"/>
      <c r="E141" s="391" t="s">
        <v>3090</v>
      </c>
      <c r="F141" s="391"/>
      <c r="G141" s="1234" t="s">
        <v>3974</v>
      </c>
    </row>
    <row r="142" spans="1:7" s="40" customFormat="1" ht="12" customHeight="1">
      <c r="A142" s="101"/>
      <c r="B142" s="391"/>
      <c r="C142" s="391"/>
      <c r="D142" s="391"/>
      <c r="E142" s="391" t="s">
        <v>3606</v>
      </c>
      <c r="F142" s="391"/>
      <c r="G142" s="1234" t="s">
        <v>3974</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3974</v>
      </c>
    </row>
    <row r="145" spans="1:7" s="40" customFormat="1" ht="12" customHeight="1">
      <c r="A145" s="101"/>
      <c r="B145" s="395"/>
      <c r="C145" s="390"/>
      <c r="D145" s="395"/>
      <c r="E145" s="395" t="s">
        <v>3399</v>
      </c>
      <c r="F145" s="395"/>
      <c r="G145" s="1234" t="s">
        <v>3974</v>
      </c>
    </row>
    <row r="146" spans="1:7" s="40" customFormat="1" ht="12" customHeight="1">
      <c r="A146" s="101"/>
      <c r="B146" s="395"/>
      <c r="C146" s="413"/>
      <c r="D146" s="395"/>
      <c r="E146" s="395" t="s">
        <v>678</v>
      </c>
      <c r="F146" s="395"/>
      <c r="G146" s="1234" t="s">
        <v>3974</v>
      </c>
    </row>
    <row r="147" spans="1:7" s="40" customFormat="1" ht="12" customHeight="1">
      <c r="A147" s="101"/>
      <c r="B147" s="395"/>
      <c r="C147" s="395"/>
      <c r="D147" s="414"/>
      <c r="E147" s="395" t="s">
        <v>679</v>
      </c>
      <c r="F147" s="395"/>
      <c r="G147" s="1234" t="s">
        <v>3974</v>
      </c>
    </row>
    <row r="148" spans="1:7" s="40" customFormat="1" ht="12" customHeight="1">
      <c r="A148" s="101"/>
      <c r="B148" s="395"/>
      <c r="C148" s="395"/>
      <c r="D148" s="414"/>
      <c r="E148" s="395" t="s">
        <v>911</v>
      </c>
      <c r="F148" s="395"/>
      <c r="G148" s="1234" t="s">
        <v>3974</v>
      </c>
    </row>
    <row r="149" spans="1:7" s="1246" customFormat="1" ht="12" customHeight="1">
      <c r="A149" s="101"/>
      <c r="B149" s="395"/>
      <c r="C149" s="395"/>
      <c r="D149" s="414"/>
      <c r="E149" s="395" t="s">
        <v>2142</v>
      </c>
      <c r="F149" s="395"/>
      <c r="G149" s="1234" t="s">
        <v>3974</v>
      </c>
    </row>
    <row r="150" spans="1:7" s="40" customFormat="1" ht="12" customHeight="1">
      <c r="A150" s="101"/>
      <c r="B150" s="395"/>
      <c r="C150" s="395"/>
      <c r="D150" s="395"/>
      <c r="E150" s="789" t="s">
        <v>3332</v>
      </c>
      <c r="F150" s="401"/>
      <c r="G150" s="1234" t="s">
        <v>3974</v>
      </c>
    </row>
    <row r="151" spans="1:7" s="40" customFormat="1" ht="12" customHeight="1">
      <c r="A151" s="101"/>
      <c r="B151" s="395"/>
      <c r="C151" s="395"/>
      <c r="D151" s="395"/>
      <c r="E151" s="789" t="s">
        <v>3697</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3974</v>
      </c>
    </row>
    <row r="159" spans="1:7" s="40" customFormat="1" ht="12" customHeight="1">
      <c r="A159" s="101"/>
      <c r="B159" s="239"/>
      <c r="C159" s="239"/>
      <c r="D159" s="239"/>
      <c r="E159" s="395" t="s">
        <v>3095</v>
      </c>
      <c r="F159" s="391"/>
      <c r="G159" s="1234" t="s">
        <v>3974</v>
      </c>
    </row>
    <row r="160" spans="1:7" s="40" customFormat="1" ht="12" customHeight="1">
      <c r="A160" s="101"/>
      <c r="B160" s="239"/>
      <c r="C160" s="239"/>
      <c r="D160" s="239"/>
      <c r="E160" s="395" t="s">
        <v>3125</v>
      </c>
      <c r="F160" s="391"/>
      <c r="G160" s="1234" t="s">
        <v>3974</v>
      </c>
    </row>
    <row r="161" spans="1:7" s="40" customFormat="1" ht="12" customHeight="1">
      <c r="A161" s="101"/>
      <c r="B161" s="239"/>
      <c r="C161" s="395"/>
      <c r="D161" s="395"/>
      <c r="E161" s="395" t="s">
        <v>2056</v>
      </c>
      <c r="F161" s="391"/>
      <c r="G161" s="1234" t="s">
        <v>3974</v>
      </c>
    </row>
    <row r="162" spans="1:7" s="40" customFormat="1" ht="12" customHeight="1">
      <c r="A162" s="101"/>
      <c r="B162" s="395"/>
      <c r="C162" s="395"/>
      <c r="D162" s="395"/>
      <c r="E162" s="395" t="s">
        <v>2057</v>
      </c>
      <c r="F162" s="391"/>
      <c r="G162" s="1234" t="s">
        <v>3974</v>
      </c>
    </row>
    <row r="163" spans="1:7" s="40" customFormat="1" ht="12" customHeight="1">
      <c r="A163" s="101"/>
      <c r="B163" s="395"/>
      <c r="C163" s="395"/>
      <c r="D163" s="395"/>
      <c r="E163" s="395" t="s">
        <v>3121</v>
      </c>
      <c r="F163" s="391"/>
      <c r="G163" s="1234" t="s">
        <v>3974</v>
      </c>
    </row>
    <row r="164" spans="1:7" s="40" customFormat="1" ht="12" customHeight="1">
      <c r="A164" s="101"/>
      <c r="B164" s="395"/>
      <c r="C164" s="395"/>
      <c r="D164" s="395"/>
      <c r="E164" s="395" t="s">
        <v>3122</v>
      </c>
      <c r="F164" s="391"/>
      <c r="G164" s="1234" t="s">
        <v>3974</v>
      </c>
    </row>
    <row r="165" spans="1:7" s="40" customFormat="1" ht="12" customHeight="1">
      <c r="A165" s="101"/>
      <c r="B165" s="395"/>
      <c r="C165" s="395"/>
      <c r="D165" s="395"/>
      <c r="E165" s="395" t="s">
        <v>2054</v>
      </c>
      <c r="F165" s="391"/>
      <c r="G165" s="1234" t="s">
        <v>3974</v>
      </c>
    </row>
    <row r="166" spans="1:7" s="40" customFormat="1" ht="12" customHeight="1">
      <c r="A166" s="101"/>
      <c r="B166" s="789"/>
      <c r="C166" s="413"/>
      <c r="D166" s="395"/>
      <c r="E166" s="396" t="s">
        <v>2681</v>
      </c>
      <c r="F166" s="391"/>
      <c r="G166" s="1234" t="s">
        <v>3974</v>
      </c>
    </row>
    <row r="167" spans="1:7" s="40" customFormat="1" ht="6" customHeight="1">
      <c r="A167" s="97"/>
      <c r="B167" s="393"/>
      <c r="C167" s="393"/>
      <c r="D167" s="393"/>
      <c r="E167" s="393"/>
      <c r="F167" s="394"/>
      <c r="G167" s="312"/>
    </row>
    <row r="168" spans="1:7" s="40" customFormat="1" ht="12.6" customHeight="1">
      <c r="A168" s="101"/>
      <c r="B168" s="407" t="s">
        <v>3274</v>
      </c>
      <c r="C168" s="1254"/>
      <c r="D168" s="1255"/>
      <c r="E168" s="1236"/>
      <c r="F168" s="391"/>
      <c r="G168" s="103"/>
    </row>
    <row r="169" spans="1:7" s="40" customFormat="1" ht="12" customHeight="1">
      <c r="A169" s="386">
        <v>19</v>
      </c>
      <c r="B169" s="1237" t="s">
        <v>945</v>
      </c>
      <c r="C169" s="239"/>
      <c r="D169" s="1236"/>
      <c r="E169" s="397" t="s">
        <v>3275</v>
      </c>
      <c r="F169" s="391"/>
      <c r="G169" s="1234" t="s">
        <v>3974</v>
      </c>
    </row>
    <row r="170" spans="1:7" s="40" customFormat="1" ht="12" customHeight="1">
      <c r="A170" s="101"/>
      <c r="B170" s="239"/>
      <c r="C170" s="789"/>
      <c r="D170" s="1236"/>
      <c r="E170" s="881" t="s">
        <v>807</v>
      </c>
      <c r="F170" s="883"/>
      <c r="G170" s="1234" t="s">
        <v>3974</v>
      </c>
    </row>
    <row r="171" spans="1:7" s="40" customFormat="1" ht="12" customHeight="1">
      <c r="A171" s="101"/>
      <c r="B171" s="400"/>
      <c r="C171" s="1236"/>
      <c r="D171" s="1236"/>
      <c r="E171" s="397" t="s">
        <v>36</v>
      </c>
      <c r="F171" s="391"/>
      <c r="G171" s="1234" t="s">
        <v>3974</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3698</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3908</v>
      </c>
      <c r="F175" s="883"/>
      <c r="G175" s="1234" t="s">
        <v>3974</v>
      </c>
    </row>
    <row r="176" spans="1:7" s="40" customFormat="1" ht="11.25" customHeight="1">
      <c r="A176" s="386"/>
      <c r="B176" s="1257"/>
      <c r="C176" s="239"/>
      <c r="D176" s="1237"/>
      <c r="E176" s="881" t="s">
        <v>590</v>
      </c>
      <c r="F176" s="883"/>
      <c r="G176" s="1234" t="s">
        <v>3974</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3659</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3673</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3247</v>
      </c>
      <c r="C189" s="1237"/>
      <c r="D189" s="1237"/>
      <c r="E189" s="881" t="s">
        <v>3910</v>
      </c>
      <c r="F189" s="883"/>
      <c r="G189" s="1234" t="s">
        <v>2104</v>
      </c>
    </row>
    <row r="190" spans="1:7" s="40" customFormat="1" ht="12" customHeight="1">
      <c r="A190" s="101"/>
      <c r="B190" s="1237"/>
      <c r="C190" s="239"/>
      <c r="D190" s="1237"/>
      <c r="E190" s="1236" t="s">
        <v>3674</v>
      </c>
      <c r="G190" s="1234" t="s">
        <v>2104</v>
      </c>
    </row>
    <row r="191" spans="1:7" s="40" customFormat="1" ht="12" customHeight="1">
      <c r="A191" s="386"/>
      <c r="B191" s="1258"/>
      <c r="C191" s="1237"/>
      <c r="D191" s="1237"/>
      <c r="E191" s="881" t="s">
        <v>3911</v>
      </c>
      <c r="F191" s="1112"/>
      <c r="G191" s="1234" t="s">
        <v>2104</v>
      </c>
    </row>
    <row r="192" spans="1:7" s="40" customFormat="1" ht="12" customHeight="1">
      <c r="A192" s="388"/>
      <c r="B192" s="1258"/>
      <c r="C192" s="1237"/>
      <c r="D192" s="1237"/>
      <c r="E192" s="881" t="s">
        <v>3675</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3974</v>
      </c>
    </row>
    <row r="195" spans="1:7" s="40" customFormat="1" ht="26.25" customHeight="1">
      <c r="A195" s="101"/>
      <c r="B195" s="1237"/>
      <c r="C195" s="239"/>
      <c r="D195" s="1237"/>
      <c r="E195" s="1260" t="s">
        <v>3909</v>
      </c>
      <c r="F195" s="1261"/>
      <c r="G195" s="1234" t="s">
        <v>3974</v>
      </c>
    </row>
    <row r="196" spans="1:7" s="40" customFormat="1" ht="6" customHeight="1">
      <c r="A196" s="97"/>
      <c r="B196" s="393"/>
      <c r="C196" s="1237"/>
      <c r="D196" s="1237"/>
      <c r="E196" s="1236"/>
      <c r="F196" s="395"/>
      <c r="G196" s="395"/>
    </row>
    <row r="197" spans="1:7" s="40" customFormat="1" ht="12" customHeight="1">
      <c r="A197" s="386">
        <v>25</v>
      </c>
      <c r="B197" s="1237" t="s">
        <v>3608</v>
      </c>
      <c r="C197" s="239"/>
      <c r="D197" s="1237"/>
      <c r="E197" s="1236" t="s">
        <v>1523</v>
      </c>
      <c r="F197" s="395"/>
      <c r="G197" s="1234" t="s">
        <v>3974</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3310</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3311</v>
      </c>
      <c r="F202" s="1268"/>
      <c r="G202" s="1234" t="s">
        <v>2104</v>
      </c>
    </row>
    <row r="203" spans="1:7" s="40" customFormat="1" ht="12" customHeight="1">
      <c r="A203" s="101"/>
      <c r="C203" s="1236"/>
      <c r="D203" s="1237"/>
      <c r="E203" s="1236" t="s">
        <v>3312</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3521</v>
      </c>
      <c r="F205" s="395"/>
      <c r="G205" s="1234" t="s">
        <v>2104</v>
      </c>
    </row>
    <row r="206" spans="1:7" s="40" customFormat="1" ht="12" customHeight="1">
      <c r="A206" s="101"/>
      <c r="B206" s="239"/>
      <c r="C206" s="1236"/>
      <c r="D206" s="1237"/>
      <c r="E206" s="1236" t="s">
        <v>3163</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3607</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3281</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3144</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3680</v>
      </c>
      <c r="F227" s="821"/>
      <c r="G227" s="1234" t="s">
        <v>2104</v>
      </c>
    </row>
    <row r="228" spans="1:7" s="40" customFormat="1" ht="26.25" customHeight="1">
      <c r="A228" s="388"/>
      <c r="B228" s="239"/>
      <c r="C228" s="239"/>
      <c r="D228" s="1237"/>
      <c r="E228" s="881" t="s">
        <v>3681</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4119</v>
      </c>
      <c r="F230" s="1271"/>
      <c r="G230" s="1234" t="s">
        <v>3974</v>
      </c>
    </row>
    <row r="231" spans="1:7" s="40" customFormat="1" ht="12.6" customHeight="1">
      <c r="A231" s="101"/>
      <c r="C231" s="1272" t="s">
        <v>946</v>
      </c>
      <c r="D231" s="1112"/>
      <c r="E231" s="1273" t="s">
        <v>4118</v>
      </c>
      <c r="F231" s="1273"/>
      <c r="G231" s="1274" t="s">
        <v>3974</v>
      </c>
    </row>
    <row r="232" spans="1:7" s="40" customFormat="1" ht="12.6" customHeight="1">
      <c r="A232" s="101"/>
      <c r="C232" s="1272"/>
      <c r="D232" s="1112"/>
      <c r="E232" s="1273" t="s">
        <v>4115</v>
      </c>
      <c r="F232" s="1273"/>
      <c r="G232" s="1274" t="s">
        <v>3974</v>
      </c>
    </row>
    <row r="233" spans="1:7" s="40" customFormat="1" ht="12.6" customHeight="1">
      <c r="A233" s="101"/>
      <c r="C233" s="1272"/>
      <c r="D233" s="1112"/>
      <c r="E233" s="1273" t="s">
        <v>4116</v>
      </c>
      <c r="F233" s="1273"/>
      <c r="G233" s="1274" t="s">
        <v>3974</v>
      </c>
    </row>
    <row r="234" spans="1:7" s="40" customFormat="1" ht="12.6" customHeight="1">
      <c r="A234" s="101"/>
      <c r="C234" s="1272"/>
      <c r="D234" s="1112"/>
      <c r="E234" s="1273" t="s">
        <v>4117</v>
      </c>
      <c r="F234" s="1273"/>
      <c r="G234" s="1274" t="s">
        <v>3974</v>
      </c>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3437</v>
      </c>
      <c r="C237" s="239"/>
      <c r="D237" s="391"/>
      <c r="E237" s="1236" t="s">
        <v>3604</v>
      </c>
      <c r="F237" s="397"/>
      <c r="G237" s="1234" t="s">
        <v>3974</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3609</v>
      </c>
      <c r="F241" s="957"/>
      <c r="G241" s="1234" t="s">
        <v>3974</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3912</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2012-028 Veranda at Groveway, Roswell, Fulton County</v>
      </c>
      <c r="B1" s="1002"/>
      <c r="C1" s="1002"/>
      <c r="D1" s="1002"/>
      <c r="E1" s="1002"/>
      <c r="F1" s="1002"/>
      <c r="G1" s="1002"/>
      <c r="H1" s="1002"/>
      <c r="I1" s="1002"/>
      <c r="J1" s="1002"/>
      <c r="K1" s="1002"/>
      <c r="L1" s="1002"/>
      <c r="M1" s="1002"/>
      <c r="N1" s="1002"/>
      <c r="O1" s="1002"/>
      <c r="P1" s="1003"/>
      <c r="T1" s="1081" t="str">
        <f>A1</f>
        <v>PART SIX - PROJECTED REVENUES &amp; EXPENSES  -  2012-028 Veranda at Groveway, Roswell, Fulton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3330</v>
      </c>
      <c r="C3" s="2"/>
      <c r="E3" s="186" t="s">
        <v>3886</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3422</v>
      </c>
      <c r="FC3" s="773" t="s">
        <v>3423</v>
      </c>
      <c r="FD3" s="773" t="s">
        <v>3424</v>
      </c>
      <c r="FE3" s="773" t="s">
        <v>3425</v>
      </c>
      <c r="FF3" s="775"/>
      <c r="FG3" s="775"/>
      <c r="FH3" s="775"/>
      <c r="FI3" s="775"/>
      <c r="FJ3" s="775"/>
      <c r="FK3" s="773" t="s">
        <v>673</v>
      </c>
      <c r="FL3" s="773" t="s">
        <v>3422</v>
      </c>
      <c r="FM3" s="773" t="s">
        <v>3423</v>
      </c>
      <c r="FN3" s="773" t="s">
        <v>3424</v>
      </c>
      <c r="FO3" s="773" t="s">
        <v>3425</v>
      </c>
      <c r="FP3" s="773" t="s">
        <v>673</v>
      </c>
      <c r="FQ3" s="773" t="s">
        <v>3422</v>
      </c>
      <c r="FR3" s="773" t="s">
        <v>3423</v>
      </c>
      <c r="FS3" s="773" t="s">
        <v>3424</v>
      </c>
      <c r="FT3" s="773" t="s">
        <v>3425</v>
      </c>
      <c r="FU3" s="773" t="s">
        <v>673</v>
      </c>
      <c r="FV3" s="773" t="s">
        <v>3422</v>
      </c>
      <c r="FW3" s="773" t="s">
        <v>3423</v>
      </c>
      <c r="FX3" s="773" t="s">
        <v>3424</v>
      </c>
      <c r="FY3" s="773" t="s">
        <v>3425</v>
      </c>
      <c r="FZ3" s="773" t="s">
        <v>673</v>
      </c>
      <c r="GA3" s="773" t="s">
        <v>3422</v>
      </c>
      <c r="GB3" s="773" t="s">
        <v>3423</v>
      </c>
      <c r="GC3" s="773" t="s">
        <v>3424</v>
      </c>
      <c r="GD3" s="773" t="s">
        <v>3425</v>
      </c>
      <c r="GE3" s="773" t="s">
        <v>673</v>
      </c>
      <c r="GF3" s="773" t="s">
        <v>3422</v>
      </c>
      <c r="GG3" s="773" t="s">
        <v>3423</v>
      </c>
      <c r="GH3" s="773" t="s">
        <v>3424</v>
      </c>
      <c r="GI3" s="773" t="s">
        <v>3425</v>
      </c>
      <c r="GJ3" s="773" t="s">
        <v>673</v>
      </c>
      <c r="GK3" s="773" t="s">
        <v>3422</v>
      </c>
      <c r="GL3" s="773" t="s">
        <v>3423</v>
      </c>
      <c r="GM3" s="773" t="s">
        <v>3424</v>
      </c>
      <c r="GN3" s="773" t="s">
        <v>3425</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3228</v>
      </c>
      <c r="AC4" s="1084" t="s">
        <v>3229</v>
      </c>
      <c r="AD4" s="1084" t="s">
        <v>3230</v>
      </c>
      <c r="AE4" s="1084" t="s">
        <v>3231</v>
      </c>
      <c r="AF4" s="1084" t="s">
        <v>1414</v>
      </c>
      <c r="AG4" s="1084" t="s">
        <v>3232</v>
      </c>
      <c r="AH4" s="1084" t="s">
        <v>3233</v>
      </c>
      <c r="AI4" s="1084" t="s">
        <v>3234</v>
      </c>
      <c r="AJ4" s="1084" t="s">
        <v>3235</v>
      </c>
      <c r="AK4" s="1084" t="s">
        <v>140</v>
      </c>
      <c r="AL4" s="1084" t="s">
        <v>3236</v>
      </c>
      <c r="AM4" s="1084" t="s">
        <v>3237</v>
      </c>
      <c r="AN4" s="1084" t="s">
        <v>3238</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3412</v>
      </c>
      <c r="BU4" s="1084" t="s">
        <v>3413</v>
      </c>
      <c r="BV4" s="1084" t="s">
        <v>3414</v>
      </c>
      <c r="BW4" s="1084" t="s">
        <v>3415</v>
      </c>
      <c r="BX4" s="1084" t="s">
        <v>3416</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3411</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3107</v>
      </c>
      <c r="EM4" s="1083" t="s">
        <v>3108</v>
      </c>
      <c r="EN4" s="1083" t="s">
        <v>3109</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3536</v>
      </c>
      <c r="GQ4" s="1083" t="s">
        <v>3537</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7"/>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8" t="s">
        <v>3984</v>
      </c>
      <c r="J6" s="851" t="s">
        <v>3384</v>
      </c>
      <c r="N6" s="1087" t="str">
        <f>'Part I-Project Information'!$J$26</f>
        <v>Atlanta-Sandy Springs-Marietta</v>
      </c>
      <c r="O6" s="1087"/>
      <c r="P6" s="672">
        <f>VLOOKUP('Part I-Project Information'!$J$26,'DCA Underwriting Assumptions'!$C$84:$D$194,2)</f>
        <v>69300</v>
      </c>
      <c r="Q6" s="769"/>
      <c r="R6" s="1089" t="s">
        <v>3973</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3385</v>
      </c>
      <c r="K7" s="2"/>
      <c r="L7" s="2"/>
      <c r="M7" s="2"/>
      <c r="N7" s="37"/>
      <c r="O7" s="37"/>
      <c r="P7" s="817"/>
      <c r="Q7" s="817"/>
      <c r="R7" s="818"/>
      <c r="S7" s="819" t="s">
        <v>3970</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3360</v>
      </c>
      <c r="H8" s="851" t="s">
        <v>3358</v>
      </c>
      <c r="I8" s="851" t="s">
        <v>1284</v>
      </c>
      <c r="J8" s="851" t="s">
        <v>3386</v>
      </c>
      <c r="K8" s="1085" t="s">
        <v>170</v>
      </c>
      <c r="L8" s="1085"/>
      <c r="M8" s="851" t="s">
        <v>3331</v>
      </c>
      <c r="N8" s="851" t="s">
        <v>768</v>
      </c>
      <c r="O8" s="851" t="s">
        <v>457</v>
      </c>
      <c r="P8" s="1088" t="s">
        <v>1551</v>
      </c>
      <c r="Q8" s="1088"/>
      <c r="R8" s="852" t="s">
        <v>3969</v>
      </c>
      <c r="S8" s="852" t="s">
        <v>3971</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3422</v>
      </c>
      <c r="EX8" s="776" t="s">
        <v>3423</v>
      </c>
      <c r="EY8" s="776" t="s">
        <v>3424</v>
      </c>
      <c r="EZ8" s="776" t="s">
        <v>3425</v>
      </c>
      <c r="FA8" s="1083" t="s">
        <v>3502</v>
      </c>
      <c r="FB8" s="1083" t="s">
        <v>3502</v>
      </c>
      <c r="FC8" s="1083" t="s">
        <v>3502</v>
      </c>
      <c r="FD8" s="1083" t="s">
        <v>3502</v>
      </c>
      <c r="FE8" s="1083" t="s">
        <v>3502</v>
      </c>
      <c r="FF8" s="776" t="s">
        <v>673</v>
      </c>
      <c r="FG8" s="776" t="s">
        <v>3422</v>
      </c>
      <c r="FH8" s="776" t="s">
        <v>3423</v>
      </c>
      <c r="FI8" s="776" t="s">
        <v>3424</v>
      </c>
      <c r="FJ8" s="776" t="s">
        <v>3425</v>
      </c>
      <c r="FK8" s="1083" t="s">
        <v>3504</v>
      </c>
      <c r="FL8" s="1083" t="s">
        <v>3504</v>
      </c>
      <c r="FM8" s="1083" t="s">
        <v>3504</v>
      </c>
      <c r="FN8" s="1083" t="s">
        <v>3504</v>
      </c>
      <c r="FO8" s="1083" t="s">
        <v>3504</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3359</v>
      </c>
      <c r="I9" s="851" t="s">
        <v>1285</v>
      </c>
      <c r="J9" s="758" t="s">
        <v>422</v>
      </c>
      <c r="K9" s="851" t="s">
        <v>2131</v>
      </c>
      <c r="L9" s="851" t="s">
        <v>775</v>
      </c>
      <c r="M9" s="851" t="s">
        <v>2068</v>
      </c>
      <c r="N9" s="851" t="s">
        <v>1863</v>
      </c>
      <c r="O9" s="851" t="s">
        <v>458</v>
      </c>
      <c r="P9" s="852" t="s">
        <v>1549</v>
      </c>
      <c r="Q9" s="852" t="s">
        <v>1550</v>
      </c>
      <c r="R9" s="852" t="s">
        <v>2070</v>
      </c>
      <c r="S9" s="852" t="s">
        <v>3972</v>
      </c>
      <c r="T9" s="954" t="s">
        <v>2716</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3501</v>
      </c>
      <c r="EX9" s="776" t="s">
        <v>3501</v>
      </c>
      <c r="EY9" s="776" t="s">
        <v>3501</v>
      </c>
      <c r="EZ9" s="776" t="s">
        <v>3501</v>
      </c>
      <c r="FA9" s="1083"/>
      <c r="FB9" s="1083"/>
      <c r="FC9" s="1083"/>
      <c r="FD9" s="1083"/>
      <c r="FE9" s="1083"/>
      <c r="FF9" s="776" t="s">
        <v>3503</v>
      </c>
      <c r="FG9" s="776" t="s">
        <v>3503</v>
      </c>
      <c r="FH9" s="776" t="s">
        <v>3503</v>
      </c>
      <c r="FI9" s="776" t="s">
        <v>3503</v>
      </c>
      <c r="FJ9" s="776" t="s">
        <v>3503</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9" t="s">
        <v>127</v>
      </c>
      <c r="C10" s="1520">
        <v>1</v>
      </c>
      <c r="D10" s="1521">
        <v>1</v>
      </c>
      <c r="E10" s="1522">
        <v>3</v>
      </c>
      <c r="F10" s="1522">
        <v>735</v>
      </c>
      <c r="G10" s="1522">
        <v>641</v>
      </c>
      <c r="H10" s="1522">
        <v>0</v>
      </c>
      <c r="I10" s="1522">
        <v>0</v>
      </c>
      <c r="J10" s="1523" t="s">
        <v>4050</v>
      </c>
      <c r="K10" s="224">
        <f>MAX(0,H10-I10)</f>
        <v>0</v>
      </c>
      <c r="L10" s="224">
        <f t="shared" ref="L10:L47" si="0">MAX(0,E10*K10)</f>
        <v>0</v>
      </c>
      <c r="M10" s="1524" t="s">
        <v>3984</v>
      </c>
      <c r="N10" s="1524" t="s">
        <v>4008</v>
      </c>
      <c r="O10" s="1524" t="s">
        <v>3211</v>
      </c>
      <c r="P10" s="673">
        <f>IF(H10="","",H10*12/0.3)</f>
        <v>0</v>
      </c>
      <c r="Q10" s="674">
        <f>IF(H10="","",P10/($P$6*VLOOKUP(C10,'DCA Underwriting Assumptions'!$J$84:$K$89,2,FALSE)))</f>
        <v>0</v>
      </c>
      <c r="R10" s="820"/>
      <c r="S10" s="674"/>
      <c r="T10" s="1465"/>
      <c r="U10" s="1466"/>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3</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f>IF(OR(AND($C10=1,$J10="PHA Oper Sub",$B10="50% AMI",NOT($M10="Common")),AND($C10=1,$J10="PHA Oper Sub",$B10="HOME 50% AMI",NOT($M10="Common"))),$E10,"")</f>
        <v>3</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2205</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f t="shared" ref="CT10:CT47" si="47">IF(AND(C10=1,NOT(J10=""),NOT($J10=0),NOT(M10="Common")),E10*F10,"")</f>
        <v>2205</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3</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3</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3</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5" t="s">
        <v>127</v>
      </c>
      <c r="C11" s="1526">
        <v>2</v>
      </c>
      <c r="D11" s="1527">
        <v>2</v>
      </c>
      <c r="E11" s="1528">
        <v>1</v>
      </c>
      <c r="F11" s="1528">
        <v>1090</v>
      </c>
      <c r="G11" s="1528">
        <v>768</v>
      </c>
      <c r="H11" s="1528">
        <v>0</v>
      </c>
      <c r="I11" s="1528">
        <v>0</v>
      </c>
      <c r="J11" s="1529" t="s">
        <v>4050</v>
      </c>
      <c r="K11" s="225">
        <f t="shared" ref="K11:K27" si="172">MAX(0,H11-I11)</f>
        <v>0</v>
      </c>
      <c r="L11" s="225">
        <f t="shared" si="0"/>
        <v>0</v>
      </c>
      <c r="M11" s="1530" t="s">
        <v>3984</v>
      </c>
      <c r="N11" s="1530" t="s">
        <v>4008</v>
      </c>
      <c r="O11" s="1530" t="s">
        <v>3211</v>
      </c>
      <c r="P11" s="673">
        <f>IF(H11="","",H11*12/0.3)</f>
        <v>0</v>
      </c>
      <c r="Q11" s="674">
        <f>IF(H11="","",P11/($P$6*VLOOKUP(C11,'DCA Underwriting Assumptions'!$J$84:$K$89,2,FALSE)))</f>
        <v>0</v>
      </c>
      <c r="R11" s="820"/>
      <c r="S11" s="674"/>
      <c r="T11" s="1467"/>
      <c r="U11" s="1468"/>
      <c r="V11" s="757" t="str">
        <f t="shared" si="1"/>
        <v/>
      </c>
      <c r="W11" s="757" t="str">
        <f t="shared" si="2"/>
        <v/>
      </c>
      <c r="X11" s="757" t="str">
        <f t="shared" si="3"/>
        <v/>
      </c>
      <c r="Y11" s="757" t="str">
        <f t="shared" si="4"/>
        <v/>
      </c>
      <c r="Z11" s="757" t="str">
        <f t="shared" si="5"/>
        <v/>
      </c>
      <c r="AA11" s="757" t="str">
        <f t="shared" si="6"/>
        <v/>
      </c>
      <c r="AB11" s="757" t="str">
        <f t="shared" si="7"/>
        <v/>
      </c>
      <c r="AC11" s="757">
        <f t="shared" si="8"/>
        <v>1</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f t="shared" ref="BL11:BL47" si="195">IF(OR(AND($C11=2,$J11="PHA Oper Sub",$B11="50% AMI",NOT($M11="Common")),AND($C11=2,$J11="PHA Oper Sub",$B11="HOME 50% AMI",NOT($M11="Common"))),$E11,"")</f>
        <v>1</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1090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f t="shared" si="48"/>
        <v>1090</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1</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1</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1</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5"/>
      <c r="C12" s="1526"/>
      <c r="D12" s="1527"/>
      <c r="E12" s="1528"/>
      <c r="F12" s="1528"/>
      <c r="G12" s="1528"/>
      <c r="H12" s="1528"/>
      <c r="I12" s="1528"/>
      <c r="J12" s="1529"/>
      <c r="K12" s="225">
        <f t="shared" si="172"/>
        <v>0</v>
      </c>
      <c r="L12" s="225">
        <f t="shared" si="0"/>
        <v>0</v>
      </c>
      <c r="M12" s="1530" t="s">
        <v>3984</v>
      </c>
      <c r="N12" s="1530" t="s">
        <v>4008</v>
      </c>
      <c r="O12" s="1530" t="s">
        <v>3211</v>
      </c>
      <c r="P12" s="673" t="str">
        <f>IF(H12="","",H12*12/0.3)</f>
        <v/>
      </c>
      <c r="Q12" s="674" t="str">
        <f>IF(H12="","",P12/($P$6*VLOOKUP(C12,'DCA Underwriting Assumptions'!$J$84:$K$89,2,FALSE)))</f>
        <v/>
      </c>
      <c r="R12" s="820"/>
      <c r="S12" s="674"/>
      <c r="T12" s="1467"/>
      <c r="U12" s="1468"/>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5" t="s">
        <v>127</v>
      </c>
      <c r="C13" s="1526">
        <v>1</v>
      </c>
      <c r="D13" s="1527">
        <v>1</v>
      </c>
      <c r="E13" s="1528">
        <v>17</v>
      </c>
      <c r="F13" s="1528">
        <v>735</v>
      </c>
      <c r="G13" s="1528">
        <v>641</v>
      </c>
      <c r="H13" s="1528">
        <v>641</v>
      </c>
      <c r="I13" s="1528">
        <v>152</v>
      </c>
      <c r="J13" s="1529"/>
      <c r="K13" s="225">
        <f t="shared" si="172"/>
        <v>489</v>
      </c>
      <c r="L13" s="225">
        <f t="shared" si="0"/>
        <v>8313</v>
      </c>
      <c r="M13" s="1530" t="s">
        <v>3984</v>
      </c>
      <c r="N13" s="1530" t="s">
        <v>4008</v>
      </c>
      <c r="O13" s="1530" t="s">
        <v>3211</v>
      </c>
      <c r="P13" s="673">
        <f>IF(H13="","",H13*12/0.3)</f>
        <v>25640</v>
      </c>
      <c r="Q13" s="674">
        <f>IF(H13="","",P13/($P$6*VLOOKUP(C13,'DCA Underwriting Assumptions'!$J$84:$K$89,2,FALSE)))</f>
        <v>0.49331409331409332</v>
      </c>
      <c r="R13" s="820"/>
      <c r="S13" s="674"/>
      <c r="T13" s="1467"/>
      <c r="U13" s="1468"/>
      <c r="V13" s="757" t="str">
        <f t="shared" si="1"/>
        <v/>
      </c>
      <c r="W13" s="757" t="str">
        <f t="shared" si="2"/>
        <v/>
      </c>
      <c r="X13" s="757" t="str">
        <f t="shared" si="3"/>
        <v/>
      </c>
      <c r="Y13" s="757" t="str">
        <f t="shared" si="4"/>
        <v/>
      </c>
      <c r="Z13" s="757" t="str">
        <f t="shared" si="5"/>
        <v/>
      </c>
      <c r="AA13" s="757" t="str">
        <f t="shared" si="6"/>
        <v/>
      </c>
      <c r="AB13" s="757">
        <f t="shared" si="7"/>
        <v>17</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t="str">
        <f t="shared" si="29"/>
        <v/>
      </c>
      <c r="CC13" s="757" t="str">
        <f t="shared" si="30"/>
        <v/>
      </c>
      <c r="CD13" s="757" t="str">
        <f t="shared" si="31"/>
        <v/>
      </c>
      <c r="CE13" s="757">
        <f t="shared" si="32"/>
        <v>12495</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f t="shared" si="57"/>
        <v>17</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17</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f t="shared" si="142"/>
        <v>17</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5" t="s">
        <v>127</v>
      </c>
      <c r="C14" s="1526">
        <v>2</v>
      </c>
      <c r="D14" s="1527">
        <v>2</v>
      </c>
      <c r="E14" s="1528">
        <v>4</v>
      </c>
      <c r="F14" s="1528">
        <v>1090</v>
      </c>
      <c r="G14" s="1528">
        <v>768</v>
      </c>
      <c r="H14" s="1528">
        <v>768</v>
      </c>
      <c r="I14" s="1528">
        <v>195</v>
      </c>
      <c r="J14" s="1529"/>
      <c r="K14" s="225">
        <f t="shared" si="172"/>
        <v>573</v>
      </c>
      <c r="L14" s="225">
        <f t="shared" si="0"/>
        <v>2292</v>
      </c>
      <c r="M14" s="1530" t="s">
        <v>3984</v>
      </c>
      <c r="N14" s="1530" t="s">
        <v>4008</v>
      </c>
      <c r="O14" s="1530" t="s">
        <v>3211</v>
      </c>
      <c r="P14" s="673">
        <f>IF(H14="","",H14*12/0.3)</f>
        <v>30720</v>
      </c>
      <c r="Q14" s="674">
        <f>IF(H14="","",P14/($P$6*VLOOKUP(C14,'DCA Underwriting Assumptions'!$J$84:$K$89,2,FALSE)))</f>
        <v>0.49254449254449256</v>
      </c>
      <c r="R14" s="820"/>
      <c r="S14" s="674"/>
      <c r="T14" s="1467"/>
      <c r="U14" s="1468"/>
      <c r="V14" s="757" t="str">
        <f t="shared" si="1"/>
        <v/>
      </c>
      <c r="W14" s="757" t="str">
        <f t="shared" si="2"/>
        <v/>
      </c>
      <c r="X14" s="757" t="str">
        <f t="shared" si="3"/>
        <v/>
      </c>
      <c r="Y14" s="757" t="str">
        <f t="shared" si="4"/>
        <v/>
      </c>
      <c r="Z14" s="757" t="str">
        <f t="shared" si="5"/>
        <v/>
      </c>
      <c r="AA14" s="757" t="str">
        <f t="shared" si="6"/>
        <v/>
      </c>
      <c r="AB14" s="757" t="str">
        <f t="shared" si="7"/>
        <v/>
      </c>
      <c r="AC14" s="757">
        <f t="shared" si="8"/>
        <v>4</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f t="shared" si="33"/>
        <v>4360</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4</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4</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4</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5"/>
      <c r="C15" s="1526"/>
      <c r="D15" s="1527"/>
      <c r="E15" s="1528"/>
      <c r="F15" s="1528"/>
      <c r="G15" s="1528"/>
      <c r="H15" s="1528"/>
      <c r="I15" s="1528"/>
      <c r="J15" s="1529"/>
      <c r="K15" s="225">
        <f t="shared" si="172"/>
        <v>0</v>
      </c>
      <c r="L15" s="225">
        <f t="shared" si="0"/>
        <v>0</v>
      </c>
      <c r="M15" s="1530"/>
      <c r="N15" s="1530"/>
      <c r="O15" s="1530"/>
      <c r="P15" s="673" t="str">
        <f t="shared" ref="P15:P47" si="203">IF(H15="","",H15*12/0.3)</f>
        <v/>
      </c>
      <c r="Q15" s="674" t="str">
        <f>IF(H15="","",P15/($P$6*VLOOKUP(C15,'DCA Underwriting Assumptions'!$J$84:$K$89,2,FALSE)))</f>
        <v/>
      </c>
      <c r="R15" s="820"/>
      <c r="S15" s="674"/>
      <c r="T15" s="1467"/>
      <c r="U15" s="1468"/>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5" t="s">
        <v>1670</v>
      </c>
      <c r="C16" s="1526">
        <v>1</v>
      </c>
      <c r="D16" s="1527">
        <v>1</v>
      </c>
      <c r="E16" s="1528">
        <v>54</v>
      </c>
      <c r="F16" s="1528">
        <v>735</v>
      </c>
      <c r="G16" s="1528">
        <v>769</v>
      </c>
      <c r="H16" s="1528">
        <v>769</v>
      </c>
      <c r="I16" s="1528">
        <v>152</v>
      </c>
      <c r="J16" s="1529"/>
      <c r="K16" s="225">
        <f t="shared" si="172"/>
        <v>617</v>
      </c>
      <c r="L16" s="225">
        <f t="shared" si="0"/>
        <v>33318</v>
      </c>
      <c r="M16" s="1530" t="s">
        <v>3984</v>
      </c>
      <c r="N16" s="1530" t="s">
        <v>4008</v>
      </c>
      <c r="O16" s="1530" t="s">
        <v>3211</v>
      </c>
      <c r="P16" s="673">
        <f t="shared" si="203"/>
        <v>30760</v>
      </c>
      <c r="Q16" s="674">
        <f>IF(H16="","",P16/($P$6*VLOOKUP(C16,'DCA Underwriting Assumptions'!$J$84:$K$89,2,FALSE)))</f>
        <v>0.59182299182299181</v>
      </c>
      <c r="R16" s="820"/>
      <c r="S16" s="674"/>
      <c r="T16" s="1467"/>
      <c r="U16" s="1468"/>
      <c r="V16" s="757" t="str">
        <f t="shared" si="1"/>
        <v/>
      </c>
      <c r="W16" s="757">
        <f t="shared" si="2"/>
        <v>54</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f t="shared" si="27"/>
        <v>39690</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f t="shared" si="57"/>
        <v>54</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f t="shared" si="102"/>
        <v>54</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f t="shared" si="142"/>
        <v>54</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5" t="s">
        <v>1670</v>
      </c>
      <c r="C17" s="1526">
        <v>2</v>
      </c>
      <c r="D17" s="1527">
        <v>2</v>
      </c>
      <c r="E17" s="1528">
        <v>5</v>
      </c>
      <c r="F17" s="1528">
        <v>1090</v>
      </c>
      <c r="G17" s="1528">
        <v>923</v>
      </c>
      <c r="H17" s="1528">
        <v>923</v>
      </c>
      <c r="I17" s="1528">
        <v>195</v>
      </c>
      <c r="J17" s="1529"/>
      <c r="K17" s="225">
        <f t="shared" si="172"/>
        <v>728</v>
      </c>
      <c r="L17" s="225">
        <f t="shared" si="0"/>
        <v>3640</v>
      </c>
      <c r="M17" s="1530" t="s">
        <v>3984</v>
      </c>
      <c r="N17" s="1530" t="s">
        <v>4008</v>
      </c>
      <c r="O17" s="1530" t="s">
        <v>3211</v>
      </c>
      <c r="P17" s="673">
        <f t="shared" si="203"/>
        <v>36920</v>
      </c>
      <c r="Q17" s="674">
        <f>IF(H17="","",P17/($P$6*VLOOKUP(C17,'DCA Underwriting Assumptions'!$J$84:$K$89,2,FALSE)))</f>
        <v>0.5919512586179253</v>
      </c>
      <c r="R17" s="820"/>
      <c r="S17" s="674"/>
      <c r="T17" s="1467"/>
      <c r="U17" s="1468"/>
      <c r="V17" s="757" t="str">
        <f t="shared" si="1"/>
        <v/>
      </c>
      <c r="W17" s="757" t="str">
        <f t="shared" si="2"/>
        <v/>
      </c>
      <c r="X17" s="757">
        <f t="shared" si="3"/>
        <v>5</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f t="shared" si="28"/>
        <v>5450</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f t="shared" si="58"/>
        <v>5</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f t="shared" si="103"/>
        <v>5</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f t="shared" si="143"/>
        <v>5</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5"/>
      <c r="C18" s="1526"/>
      <c r="D18" s="1527"/>
      <c r="E18" s="1528"/>
      <c r="F18" s="1528"/>
      <c r="G18" s="1528"/>
      <c r="H18" s="1528"/>
      <c r="I18" s="1528"/>
      <c r="J18" s="1529"/>
      <c r="K18" s="225">
        <f t="shared" si="172"/>
        <v>0</v>
      </c>
      <c r="L18" s="225">
        <f t="shared" si="0"/>
        <v>0</v>
      </c>
      <c r="M18" s="1530"/>
      <c r="N18" s="1530"/>
      <c r="O18" s="1530"/>
      <c r="P18" s="673" t="str">
        <f t="shared" si="203"/>
        <v/>
      </c>
      <c r="Q18" s="674" t="str">
        <f>IF(H18="","",P18/($P$6*VLOOKUP(C18,'DCA Underwriting Assumptions'!$J$84:$K$89,2,FALSE)))</f>
        <v/>
      </c>
      <c r="R18" s="820"/>
      <c r="S18" s="674"/>
      <c r="T18" s="1467"/>
      <c r="U18" s="1468"/>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5" t="s">
        <v>370</v>
      </c>
      <c r="C19" s="1526">
        <v>1</v>
      </c>
      <c r="D19" s="1527">
        <v>1</v>
      </c>
      <c r="E19" s="1528">
        <v>6</v>
      </c>
      <c r="F19" s="1528">
        <v>735</v>
      </c>
      <c r="G19" s="1528">
        <v>0</v>
      </c>
      <c r="H19" s="1528">
        <v>780</v>
      </c>
      <c r="I19" s="1528"/>
      <c r="J19" s="1529"/>
      <c r="K19" s="225">
        <f t="shared" si="172"/>
        <v>780</v>
      </c>
      <c r="L19" s="225">
        <f t="shared" si="0"/>
        <v>4680</v>
      </c>
      <c r="M19" s="1530" t="s">
        <v>3984</v>
      </c>
      <c r="N19" s="1530" t="s">
        <v>4008</v>
      </c>
      <c r="O19" s="1530" t="s">
        <v>3211</v>
      </c>
      <c r="P19" s="673">
        <f t="shared" si="203"/>
        <v>31200</v>
      </c>
      <c r="Q19" s="674">
        <f>IF(H19="","",P19/($P$6*VLOOKUP(C19,'DCA Underwriting Assumptions'!$J$84:$K$89,2,FALSE)))</f>
        <v>0.60028860028860032</v>
      </c>
      <c r="R19" s="820"/>
      <c r="S19" s="674"/>
      <c r="T19" s="1467"/>
      <c r="U19" s="1468"/>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f t="shared" si="17"/>
        <v>6</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f t="shared" si="42"/>
        <v>4410</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f t="shared" si="62"/>
        <v>6</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f t="shared" si="102"/>
        <v>6</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f t="shared" si="142"/>
        <v>6</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5" t="s">
        <v>370</v>
      </c>
      <c r="C20" s="1526">
        <v>2</v>
      </c>
      <c r="D20" s="1527">
        <v>2</v>
      </c>
      <c r="E20" s="1528">
        <v>10</v>
      </c>
      <c r="F20" s="1528">
        <v>1090</v>
      </c>
      <c r="G20" s="1528">
        <v>0</v>
      </c>
      <c r="H20" s="1528">
        <v>936</v>
      </c>
      <c r="I20" s="1528"/>
      <c r="J20" s="1529"/>
      <c r="K20" s="225">
        <f t="shared" si="172"/>
        <v>936</v>
      </c>
      <c r="L20" s="225">
        <f t="shared" si="0"/>
        <v>9360</v>
      </c>
      <c r="M20" s="1530" t="s">
        <v>3984</v>
      </c>
      <c r="N20" s="1530" t="s">
        <v>4008</v>
      </c>
      <c r="O20" s="1530" t="s">
        <v>3211</v>
      </c>
      <c r="P20" s="673">
        <f t="shared" si="203"/>
        <v>37440</v>
      </c>
      <c r="Q20" s="674">
        <f>IF(H20="","",P20/($P$6*VLOOKUP(C20,'DCA Underwriting Assumptions'!$J$84:$K$89,2,FALSE)))</f>
        <v>0.60028860028860032</v>
      </c>
      <c r="R20" s="820"/>
      <c r="S20" s="674"/>
      <c r="T20" s="1467"/>
      <c r="U20" s="1468"/>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f t="shared" si="18"/>
        <v>10</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f t="shared" si="43"/>
        <v>10900</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f t="shared" si="63"/>
        <v>10</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f t="shared" si="103"/>
        <v>10</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f t="shared" si="143"/>
        <v>10</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5" t="s">
        <v>2626</v>
      </c>
      <c r="C21" s="1526"/>
      <c r="D21" s="1527"/>
      <c r="E21" s="1528"/>
      <c r="F21" s="1528"/>
      <c r="G21" s="1528"/>
      <c r="H21" s="1528"/>
      <c r="I21" s="1528"/>
      <c r="J21" s="1529"/>
      <c r="K21" s="225">
        <f t="shared" si="172"/>
        <v>0</v>
      </c>
      <c r="L21" s="225">
        <f t="shared" si="0"/>
        <v>0</v>
      </c>
      <c r="M21" s="1530"/>
      <c r="N21" s="1530"/>
      <c r="O21" s="1530"/>
      <c r="P21" s="673" t="str">
        <f t="shared" si="203"/>
        <v/>
      </c>
      <c r="Q21" s="674" t="str">
        <f>IF(H21="","",P21/($P$6*VLOOKUP(C21,'DCA Underwriting Assumptions'!$J$84:$K$89,2,FALSE)))</f>
        <v/>
      </c>
      <c r="R21" s="820"/>
      <c r="S21" s="674"/>
      <c r="T21" s="1467"/>
      <c r="U21" s="1468"/>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5" t="s">
        <v>2626</v>
      </c>
      <c r="C22" s="1526"/>
      <c r="D22" s="1527"/>
      <c r="E22" s="1528"/>
      <c r="F22" s="1528"/>
      <c r="G22" s="1528"/>
      <c r="H22" s="1528"/>
      <c r="I22" s="1528"/>
      <c r="J22" s="1529"/>
      <c r="K22" s="225">
        <f t="shared" si="172"/>
        <v>0</v>
      </c>
      <c r="L22" s="225">
        <f t="shared" si="0"/>
        <v>0</v>
      </c>
      <c r="M22" s="1530"/>
      <c r="N22" s="1530"/>
      <c r="O22" s="1530"/>
      <c r="P22" s="673" t="str">
        <f t="shared" si="203"/>
        <v/>
      </c>
      <c r="Q22" s="674" t="str">
        <f>IF(H22="","",P22/($P$6*VLOOKUP(C22,'DCA Underwriting Assumptions'!$J$84:$K$89,2,FALSE)))</f>
        <v/>
      </c>
      <c r="R22" s="820"/>
      <c r="S22" s="674"/>
      <c r="T22" s="1467"/>
      <c r="U22" s="1468"/>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5" t="s">
        <v>2626</v>
      </c>
      <c r="C23" s="1526"/>
      <c r="D23" s="1527"/>
      <c r="E23" s="1528"/>
      <c r="F23" s="1528"/>
      <c r="G23" s="1528"/>
      <c r="H23" s="1528"/>
      <c r="I23" s="1528"/>
      <c r="J23" s="1529"/>
      <c r="K23" s="225">
        <f t="shared" si="172"/>
        <v>0</v>
      </c>
      <c r="L23" s="225">
        <f t="shared" si="0"/>
        <v>0</v>
      </c>
      <c r="M23" s="1530"/>
      <c r="N23" s="1530"/>
      <c r="O23" s="1530"/>
      <c r="P23" s="673" t="str">
        <f t="shared" si="203"/>
        <v/>
      </c>
      <c r="Q23" s="674" t="str">
        <f>IF(H23="","",P23/($P$6*VLOOKUP(C23,'DCA Underwriting Assumptions'!$J$84:$K$89,2,FALSE)))</f>
        <v/>
      </c>
      <c r="R23" s="820"/>
      <c r="S23" s="674"/>
      <c r="T23" s="1467"/>
      <c r="U23" s="1468"/>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5" t="s">
        <v>2626</v>
      </c>
      <c r="C24" s="1526"/>
      <c r="D24" s="1527"/>
      <c r="E24" s="1528"/>
      <c r="F24" s="1528"/>
      <c r="G24" s="1528"/>
      <c r="H24" s="1528"/>
      <c r="I24" s="1528"/>
      <c r="J24" s="1529"/>
      <c r="K24" s="225">
        <f t="shared" si="172"/>
        <v>0</v>
      </c>
      <c r="L24" s="225">
        <f t="shared" si="0"/>
        <v>0</v>
      </c>
      <c r="M24" s="1530"/>
      <c r="N24" s="1530"/>
      <c r="O24" s="1530"/>
      <c r="P24" s="673" t="str">
        <f t="shared" si="203"/>
        <v/>
      </c>
      <c r="Q24" s="674" t="str">
        <f>IF(H24="","",P24/($P$6*VLOOKUP(C24,'DCA Underwriting Assumptions'!$J$84:$K$89,2,FALSE)))</f>
        <v/>
      </c>
      <c r="R24" s="820"/>
      <c r="S24" s="674"/>
      <c r="T24" s="1467"/>
      <c r="U24" s="1468"/>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5" t="s">
        <v>2626</v>
      </c>
      <c r="C25" s="1526"/>
      <c r="D25" s="1527"/>
      <c r="E25" s="1528"/>
      <c r="F25" s="1528"/>
      <c r="G25" s="1528"/>
      <c r="H25" s="1528"/>
      <c r="I25" s="1528"/>
      <c r="J25" s="1529"/>
      <c r="K25" s="225">
        <f t="shared" si="172"/>
        <v>0</v>
      </c>
      <c r="L25" s="225">
        <f t="shared" si="0"/>
        <v>0</v>
      </c>
      <c r="M25" s="1530"/>
      <c r="N25" s="1530"/>
      <c r="O25" s="1530"/>
      <c r="P25" s="673" t="str">
        <f t="shared" si="203"/>
        <v/>
      </c>
      <c r="Q25" s="674" t="str">
        <f>IF(H25="","",P25/($P$6*VLOOKUP(C25,'DCA Underwriting Assumptions'!$J$84:$K$89,2,FALSE)))</f>
        <v/>
      </c>
      <c r="R25" s="820"/>
      <c r="S25" s="674"/>
      <c r="T25" s="1467"/>
      <c r="U25" s="1468"/>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5" t="s">
        <v>2626</v>
      </c>
      <c r="C26" s="1526"/>
      <c r="D26" s="1527"/>
      <c r="E26" s="1528"/>
      <c r="F26" s="1528"/>
      <c r="G26" s="1528"/>
      <c r="H26" s="1528"/>
      <c r="I26" s="1528"/>
      <c r="J26" s="1529"/>
      <c r="K26" s="225">
        <f t="shared" si="172"/>
        <v>0</v>
      </c>
      <c r="L26" s="225">
        <f t="shared" si="0"/>
        <v>0</v>
      </c>
      <c r="M26" s="1530"/>
      <c r="N26" s="1530"/>
      <c r="O26" s="1530"/>
      <c r="P26" s="673" t="str">
        <f t="shared" si="203"/>
        <v/>
      </c>
      <c r="Q26" s="674" t="str">
        <f>IF(H26="","",P26/($P$6*VLOOKUP(C26,'DCA Underwriting Assumptions'!$J$84:$K$89,2,FALSE)))</f>
        <v/>
      </c>
      <c r="R26" s="820"/>
      <c r="S26" s="674"/>
      <c r="T26" s="1467"/>
      <c r="U26" s="1468"/>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5" t="s">
        <v>2626</v>
      </c>
      <c r="C27" s="1526"/>
      <c r="D27" s="1527"/>
      <c r="E27" s="1528"/>
      <c r="F27" s="1528"/>
      <c r="G27" s="1528"/>
      <c r="H27" s="1528"/>
      <c r="I27" s="1528"/>
      <c r="J27" s="1529"/>
      <c r="K27" s="225">
        <f t="shared" si="172"/>
        <v>0</v>
      </c>
      <c r="L27" s="225">
        <f t="shared" si="0"/>
        <v>0</v>
      </c>
      <c r="M27" s="1530"/>
      <c r="N27" s="1530"/>
      <c r="O27" s="1530"/>
      <c r="P27" s="673" t="str">
        <f t="shared" si="203"/>
        <v/>
      </c>
      <c r="Q27" s="674" t="str">
        <f>IF(H27="","",P27/($P$6*VLOOKUP(C27,'DCA Underwriting Assumptions'!$J$84:$K$89,2,FALSE)))</f>
        <v/>
      </c>
      <c r="R27" s="820"/>
      <c r="S27" s="674"/>
      <c r="T27" s="1467"/>
      <c r="U27" s="1468"/>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5" t="s">
        <v>2626</v>
      </c>
      <c r="C28" s="1526"/>
      <c r="D28" s="1527"/>
      <c r="E28" s="1528"/>
      <c r="F28" s="1528"/>
      <c r="G28" s="1528"/>
      <c r="H28" s="1528"/>
      <c r="I28" s="1528"/>
      <c r="J28" s="1529"/>
      <c r="K28" s="225">
        <f>MAX(0,H28-I28)</f>
        <v>0</v>
      </c>
      <c r="L28" s="225">
        <f t="shared" si="0"/>
        <v>0</v>
      </c>
      <c r="M28" s="1530"/>
      <c r="N28" s="1530"/>
      <c r="O28" s="1530"/>
      <c r="P28" s="673" t="str">
        <f t="shared" si="203"/>
        <v/>
      </c>
      <c r="Q28" s="674" t="str">
        <f>IF(H28="","",P28/($P$6*VLOOKUP(C28,'DCA Underwriting Assumptions'!$J$84:$K$89,2,FALSE)))</f>
        <v/>
      </c>
      <c r="R28" s="820"/>
      <c r="S28" s="674"/>
      <c r="T28" s="1467"/>
      <c r="U28" s="1468"/>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5" t="s">
        <v>2626</v>
      </c>
      <c r="C29" s="1526"/>
      <c r="D29" s="1527"/>
      <c r="E29" s="1528"/>
      <c r="F29" s="1528"/>
      <c r="G29" s="1528"/>
      <c r="H29" s="1528"/>
      <c r="I29" s="1528"/>
      <c r="J29" s="1529"/>
      <c r="K29" s="225">
        <f t="shared" ref="K29:K47" si="204">MAX(0,H29-I29)</f>
        <v>0</v>
      </c>
      <c r="L29" s="225">
        <f t="shared" si="0"/>
        <v>0</v>
      </c>
      <c r="M29" s="1530"/>
      <c r="N29" s="1530"/>
      <c r="O29" s="1530"/>
      <c r="P29" s="673" t="str">
        <f t="shared" si="203"/>
        <v/>
      </c>
      <c r="Q29" s="674" t="str">
        <f>IF(H29="","",P29/($P$6*VLOOKUP(C29,'DCA Underwriting Assumptions'!$J$84:$K$89,2,FALSE)))</f>
        <v/>
      </c>
      <c r="R29" s="820"/>
      <c r="S29" s="674"/>
      <c r="T29" s="1467"/>
      <c r="U29" s="1468"/>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5" t="s">
        <v>2626</v>
      </c>
      <c r="C30" s="1526"/>
      <c r="D30" s="1527"/>
      <c r="E30" s="1528"/>
      <c r="F30" s="1528"/>
      <c r="G30" s="1528"/>
      <c r="H30" s="1528"/>
      <c r="I30" s="1528"/>
      <c r="J30" s="1529"/>
      <c r="K30" s="225">
        <f t="shared" si="204"/>
        <v>0</v>
      </c>
      <c r="L30" s="225">
        <f t="shared" si="0"/>
        <v>0</v>
      </c>
      <c r="M30" s="1530"/>
      <c r="N30" s="1530"/>
      <c r="O30" s="1530"/>
      <c r="P30" s="673" t="str">
        <f t="shared" si="203"/>
        <v/>
      </c>
      <c r="Q30" s="674" t="str">
        <f>IF(H30="","",P30/($P$6*VLOOKUP(C30,'DCA Underwriting Assumptions'!$J$84:$K$89,2,FALSE)))</f>
        <v/>
      </c>
      <c r="R30" s="820"/>
      <c r="S30" s="674"/>
      <c r="T30" s="1467"/>
      <c r="U30" s="1468"/>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5" t="s">
        <v>2626</v>
      </c>
      <c r="C31" s="1526"/>
      <c r="D31" s="1527"/>
      <c r="E31" s="1528"/>
      <c r="F31" s="1528"/>
      <c r="G31" s="1528"/>
      <c r="H31" s="1528"/>
      <c r="I31" s="1528"/>
      <c r="J31" s="1529"/>
      <c r="K31" s="225">
        <f t="shared" si="204"/>
        <v>0</v>
      </c>
      <c r="L31" s="225">
        <f t="shared" si="0"/>
        <v>0</v>
      </c>
      <c r="M31" s="1530"/>
      <c r="N31" s="1530"/>
      <c r="O31" s="1530"/>
      <c r="P31" s="673" t="str">
        <f t="shared" si="203"/>
        <v/>
      </c>
      <c r="Q31" s="674" t="str">
        <f>IF(H31="","",P31/($P$6*VLOOKUP(C31,'DCA Underwriting Assumptions'!$J$84:$K$89,2,FALSE)))</f>
        <v/>
      </c>
      <c r="R31" s="820"/>
      <c r="S31" s="674"/>
      <c r="T31" s="1467"/>
      <c r="U31" s="1468"/>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5" t="s">
        <v>2626</v>
      </c>
      <c r="C32" s="1526"/>
      <c r="D32" s="1527"/>
      <c r="E32" s="1528"/>
      <c r="F32" s="1528"/>
      <c r="G32" s="1528"/>
      <c r="H32" s="1528"/>
      <c r="I32" s="1528"/>
      <c r="J32" s="1529"/>
      <c r="K32" s="225">
        <f t="shared" si="204"/>
        <v>0</v>
      </c>
      <c r="L32" s="225">
        <f t="shared" si="0"/>
        <v>0</v>
      </c>
      <c r="M32" s="1530"/>
      <c r="N32" s="1530"/>
      <c r="O32" s="1530"/>
      <c r="P32" s="673" t="str">
        <f t="shared" si="203"/>
        <v/>
      </c>
      <c r="Q32" s="674" t="str">
        <f>IF(H32="","",P32/($P$6*VLOOKUP(C32,'DCA Underwriting Assumptions'!$J$84:$K$89,2,FALSE)))</f>
        <v/>
      </c>
      <c r="R32" s="820"/>
      <c r="S32" s="674"/>
      <c r="T32" s="1467"/>
      <c r="U32" s="1468"/>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5" t="s">
        <v>2626</v>
      </c>
      <c r="C33" s="1526"/>
      <c r="D33" s="1527"/>
      <c r="E33" s="1528"/>
      <c r="F33" s="1528"/>
      <c r="G33" s="1528"/>
      <c r="H33" s="1528"/>
      <c r="I33" s="1528"/>
      <c r="J33" s="1529"/>
      <c r="K33" s="225">
        <f t="shared" si="204"/>
        <v>0</v>
      </c>
      <c r="L33" s="225">
        <f t="shared" si="0"/>
        <v>0</v>
      </c>
      <c r="M33" s="1530"/>
      <c r="N33" s="1530"/>
      <c r="O33" s="1530"/>
      <c r="P33" s="673" t="str">
        <f t="shared" si="203"/>
        <v/>
      </c>
      <c r="Q33" s="674" t="str">
        <f>IF(H33="","",P33/($P$6*VLOOKUP(C33,'DCA Underwriting Assumptions'!$J$84:$K$89,2,FALSE)))</f>
        <v/>
      </c>
      <c r="R33" s="820"/>
      <c r="S33" s="674"/>
      <c r="T33" s="1467"/>
      <c r="U33" s="1468"/>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5" t="s">
        <v>2626</v>
      </c>
      <c r="C34" s="1526"/>
      <c r="D34" s="1527"/>
      <c r="E34" s="1528"/>
      <c r="F34" s="1528"/>
      <c r="G34" s="1528"/>
      <c r="H34" s="1528"/>
      <c r="I34" s="1528"/>
      <c r="J34" s="1529"/>
      <c r="K34" s="225">
        <f t="shared" si="204"/>
        <v>0</v>
      </c>
      <c r="L34" s="225">
        <f t="shared" si="0"/>
        <v>0</v>
      </c>
      <c r="M34" s="1530"/>
      <c r="N34" s="1530"/>
      <c r="O34" s="1530"/>
      <c r="P34" s="673" t="str">
        <f t="shared" si="203"/>
        <v/>
      </c>
      <c r="Q34" s="674" t="str">
        <f>IF(H34="","",P34/($P$6*VLOOKUP(C34,'DCA Underwriting Assumptions'!$J$84:$K$89,2,FALSE)))</f>
        <v/>
      </c>
      <c r="R34" s="820"/>
      <c r="S34" s="674"/>
      <c r="T34" s="1467"/>
      <c r="U34" s="1468"/>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5" t="s">
        <v>2626</v>
      </c>
      <c r="C35" s="1526"/>
      <c r="D35" s="1527"/>
      <c r="E35" s="1528"/>
      <c r="F35" s="1528"/>
      <c r="G35" s="1528"/>
      <c r="H35" s="1528"/>
      <c r="I35" s="1528"/>
      <c r="J35" s="1529"/>
      <c r="K35" s="225">
        <f t="shared" si="204"/>
        <v>0</v>
      </c>
      <c r="L35" s="225">
        <f t="shared" si="0"/>
        <v>0</v>
      </c>
      <c r="M35" s="1530"/>
      <c r="N35" s="1530"/>
      <c r="O35" s="1530"/>
      <c r="P35" s="673" t="str">
        <f t="shared" si="203"/>
        <v/>
      </c>
      <c r="Q35" s="674" t="str">
        <f>IF(H35="","",P35/($P$6*VLOOKUP(C35,'DCA Underwriting Assumptions'!$J$84:$K$89,2,FALSE)))</f>
        <v/>
      </c>
      <c r="R35" s="820"/>
      <c r="S35" s="674"/>
      <c r="T35" s="1467"/>
      <c r="U35" s="1468"/>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5" t="s">
        <v>2626</v>
      </c>
      <c r="C36" s="1526"/>
      <c r="D36" s="1527"/>
      <c r="E36" s="1528"/>
      <c r="F36" s="1528"/>
      <c r="G36" s="1528"/>
      <c r="H36" s="1528"/>
      <c r="I36" s="1528"/>
      <c r="J36" s="1529"/>
      <c r="K36" s="225">
        <f t="shared" si="204"/>
        <v>0</v>
      </c>
      <c r="L36" s="225">
        <f t="shared" si="0"/>
        <v>0</v>
      </c>
      <c r="M36" s="1530"/>
      <c r="N36" s="1530"/>
      <c r="O36" s="1530"/>
      <c r="P36" s="673" t="str">
        <f t="shared" si="203"/>
        <v/>
      </c>
      <c r="Q36" s="674" t="str">
        <f>IF(H36="","",P36/($P$6*VLOOKUP(C36,'DCA Underwriting Assumptions'!$J$84:$K$89,2,FALSE)))</f>
        <v/>
      </c>
      <c r="R36" s="820"/>
      <c r="S36" s="674"/>
      <c r="T36" s="1467"/>
      <c r="U36" s="1468"/>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5" t="s">
        <v>2626</v>
      </c>
      <c r="C37" s="1526"/>
      <c r="D37" s="1527"/>
      <c r="E37" s="1528"/>
      <c r="F37" s="1528"/>
      <c r="G37" s="1528"/>
      <c r="H37" s="1528"/>
      <c r="I37" s="1528"/>
      <c r="J37" s="1529"/>
      <c r="K37" s="225">
        <f t="shared" si="204"/>
        <v>0</v>
      </c>
      <c r="L37" s="225">
        <f t="shared" si="0"/>
        <v>0</v>
      </c>
      <c r="M37" s="1530"/>
      <c r="N37" s="1530"/>
      <c r="O37" s="1530"/>
      <c r="P37" s="673" t="str">
        <f t="shared" si="203"/>
        <v/>
      </c>
      <c r="Q37" s="674" t="str">
        <f>IF(H37="","",P37/($P$6*VLOOKUP(C37,'DCA Underwriting Assumptions'!$J$84:$K$89,2,FALSE)))</f>
        <v/>
      </c>
      <c r="R37" s="820"/>
      <c r="S37" s="674"/>
      <c r="T37" s="1467"/>
      <c r="U37" s="1468"/>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5" t="s">
        <v>2626</v>
      </c>
      <c r="C38" s="1526"/>
      <c r="D38" s="1527"/>
      <c r="E38" s="1528"/>
      <c r="F38" s="1528"/>
      <c r="G38" s="1528"/>
      <c r="H38" s="1528"/>
      <c r="I38" s="1528"/>
      <c r="J38" s="1529"/>
      <c r="K38" s="225">
        <f>MAX(0,H38-I38)</f>
        <v>0</v>
      </c>
      <c r="L38" s="225">
        <f t="shared" si="0"/>
        <v>0</v>
      </c>
      <c r="M38" s="1530"/>
      <c r="N38" s="1530"/>
      <c r="O38" s="1530"/>
      <c r="P38" s="673" t="str">
        <f t="shared" si="203"/>
        <v/>
      </c>
      <c r="Q38" s="674" t="str">
        <f>IF(H38="","",P38/($P$6*VLOOKUP(C38,'DCA Underwriting Assumptions'!$J$84:$K$89,2,FALSE)))</f>
        <v/>
      </c>
      <c r="R38" s="820"/>
      <c r="S38" s="674"/>
      <c r="T38" s="1467"/>
      <c r="U38" s="1468"/>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5" t="s">
        <v>2626</v>
      </c>
      <c r="C39" s="1526"/>
      <c r="D39" s="1527"/>
      <c r="E39" s="1528"/>
      <c r="F39" s="1528"/>
      <c r="G39" s="1528"/>
      <c r="H39" s="1528"/>
      <c r="I39" s="1528"/>
      <c r="J39" s="1529"/>
      <c r="K39" s="225">
        <f t="shared" ref="K39:K46" si="205">MAX(0,H39-I39)</f>
        <v>0</v>
      </c>
      <c r="L39" s="225">
        <f t="shared" si="0"/>
        <v>0</v>
      </c>
      <c r="M39" s="1530"/>
      <c r="N39" s="1530"/>
      <c r="O39" s="1530"/>
      <c r="P39" s="673" t="str">
        <f t="shared" si="203"/>
        <v/>
      </c>
      <c r="Q39" s="674" t="str">
        <f>IF(H39="","",P39/($P$6*VLOOKUP(C39,'DCA Underwriting Assumptions'!$J$84:$K$89,2,FALSE)))</f>
        <v/>
      </c>
      <c r="R39" s="820"/>
      <c r="S39" s="674"/>
      <c r="T39" s="1467"/>
      <c r="U39" s="1468"/>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5" t="s">
        <v>2626</v>
      </c>
      <c r="C40" s="1526"/>
      <c r="D40" s="1527"/>
      <c r="E40" s="1528"/>
      <c r="F40" s="1528"/>
      <c r="G40" s="1528"/>
      <c r="H40" s="1528"/>
      <c r="I40" s="1528"/>
      <c r="J40" s="1529"/>
      <c r="K40" s="225">
        <f t="shared" si="205"/>
        <v>0</v>
      </c>
      <c r="L40" s="225">
        <f t="shared" si="0"/>
        <v>0</v>
      </c>
      <c r="M40" s="1530"/>
      <c r="N40" s="1530"/>
      <c r="O40" s="1530"/>
      <c r="P40" s="673" t="str">
        <f t="shared" si="203"/>
        <v/>
      </c>
      <c r="Q40" s="674" t="str">
        <f>IF(H40="","",P40/($P$6*VLOOKUP(C40,'DCA Underwriting Assumptions'!$J$84:$K$89,2,FALSE)))</f>
        <v/>
      </c>
      <c r="R40" s="820"/>
      <c r="S40" s="674"/>
      <c r="T40" s="1467"/>
      <c r="U40" s="1468"/>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5" t="s">
        <v>2626</v>
      </c>
      <c r="C41" s="1526"/>
      <c r="D41" s="1527"/>
      <c r="E41" s="1528"/>
      <c r="F41" s="1528"/>
      <c r="G41" s="1528"/>
      <c r="H41" s="1528"/>
      <c r="I41" s="1528"/>
      <c r="J41" s="1529"/>
      <c r="K41" s="225">
        <f t="shared" si="205"/>
        <v>0</v>
      </c>
      <c r="L41" s="225">
        <f t="shared" si="0"/>
        <v>0</v>
      </c>
      <c r="M41" s="1530"/>
      <c r="N41" s="1530"/>
      <c r="O41" s="1530"/>
      <c r="P41" s="673" t="str">
        <f t="shared" si="203"/>
        <v/>
      </c>
      <c r="Q41" s="674" t="str">
        <f>IF(H41="","",P41/($P$6*VLOOKUP(C41,'DCA Underwriting Assumptions'!$J$84:$K$89,2,FALSE)))</f>
        <v/>
      </c>
      <c r="R41" s="820"/>
      <c r="S41" s="674"/>
      <c r="T41" s="1467"/>
      <c r="U41" s="1468"/>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5" t="s">
        <v>2626</v>
      </c>
      <c r="C42" s="1526"/>
      <c r="D42" s="1527"/>
      <c r="E42" s="1528"/>
      <c r="F42" s="1528"/>
      <c r="G42" s="1528"/>
      <c r="H42" s="1528"/>
      <c r="I42" s="1528"/>
      <c r="J42" s="1529"/>
      <c r="K42" s="225">
        <f t="shared" si="205"/>
        <v>0</v>
      </c>
      <c r="L42" s="225">
        <f t="shared" si="0"/>
        <v>0</v>
      </c>
      <c r="M42" s="1530"/>
      <c r="N42" s="1530"/>
      <c r="O42" s="1530"/>
      <c r="P42" s="673" t="str">
        <f t="shared" si="203"/>
        <v/>
      </c>
      <c r="Q42" s="674" t="str">
        <f>IF(H42="","",P42/($P$6*VLOOKUP(C42,'DCA Underwriting Assumptions'!$J$84:$K$89,2,FALSE)))</f>
        <v/>
      </c>
      <c r="R42" s="820"/>
      <c r="S42" s="674"/>
      <c r="T42" s="1467"/>
      <c r="U42" s="1468"/>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5" t="s">
        <v>2626</v>
      </c>
      <c r="C43" s="1526"/>
      <c r="D43" s="1527"/>
      <c r="E43" s="1528"/>
      <c r="F43" s="1528"/>
      <c r="G43" s="1528"/>
      <c r="H43" s="1528"/>
      <c r="I43" s="1528"/>
      <c r="J43" s="1529"/>
      <c r="K43" s="225">
        <f t="shared" si="205"/>
        <v>0</v>
      </c>
      <c r="L43" s="225">
        <f t="shared" si="0"/>
        <v>0</v>
      </c>
      <c r="M43" s="1530"/>
      <c r="N43" s="1530"/>
      <c r="O43" s="1530"/>
      <c r="P43" s="673" t="str">
        <f t="shared" si="203"/>
        <v/>
      </c>
      <c r="Q43" s="674" t="str">
        <f>IF(H43="","",P43/($P$6*VLOOKUP(C43,'DCA Underwriting Assumptions'!$J$84:$K$89,2,FALSE)))</f>
        <v/>
      </c>
      <c r="R43" s="820"/>
      <c r="S43" s="674"/>
      <c r="T43" s="1467"/>
      <c r="U43" s="1468"/>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5" t="s">
        <v>2626</v>
      </c>
      <c r="C44" s="1526"/>
      <c r="D44" s="1527"/>
      <c r="E44" s="1528"/>
      <c r="F44" s="1528"/>
      <c r="G44" s="1528"/>
      <c r="H44" s="1528"/>
      <c r="I44" s="1528"/>
      <c r="J44" s="1529"/>
      <c r="K44" s="225">
        <f t="shared" si="205"/>
        <v>0</v>
      </c>
      <c r="L44" s="225">
        <f t="shared" si="0"/>
        <v>0</v>
      </c>
      <c r="M44" s="1530"/>
      <c r="N44" s="1530"/>
      <c r="O44" s="1530"/>
      <c r="P44" s="673" t="str">
        <f t="shared" si="203"/>
        <v/>
      </c>
      <c r="Q44" s="674" t="str">
        <f>IF(H44="","",P44/($P$6*VLOOKUP(C44,'DCA Underwriting Assumptions'!$J$84:$K$89,2,FALSE)))</f>
        <v/>
      </c>
      <c r="R44" s="820"/>
      <c r="S44" s="674"/>
      <c r="T44" s="1467"/>
      <c r="U44" s="1468"/>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5" t="s">
        <v>2626</v>
      </c>
      <c r="C45" s="1526"/>
      <c r="D45" s="1527"/>
      <c r="E45" s="1528"/>
      <c r="F45" s="1528"/>
      <c r="G45" s="1528"/>
      <c r="H45" s="1528"/>
      <c r="I45" s="1528"/>
      <c r="J45" s="1529"/>
      <c r="K45" s="225">
        <f t="shared" si="205"/>
        <v>0</v>
      </c>
      <c r="L45" s="225">
        <f t="shared" si="0"/>
        <v>0</v>
      </c>
      <c r="M45" s="1530"/>
      <c r="N45" s="1530"/>
      <c r="O45" s="1530"/>
      <c r="P45" s="673" t="str">
        <f t="shared" si="203"/>
        <v/>
      </c>
      <c r="Q45" s="674" t="str">
        <f>IF(H45="","",P45/($P$6*VLOOKUP(C45,'DCA Underwriting Assumptions'!$J$84:$K$89,2,FALSE)))</f>
        <v/>
      </c>
      <c r="R45" s="820"/>
      <c r="S45" s="674"/>
      <c r="T45" s="1467"/>
      <c r="U45" s="1468"/>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5" t="s">
        <v>2626</v>
      </c>
      <c r="C46" s="1526"/>
      <c r="D46" s="1527"/>
      <c r="E46" s="1528"/>
      <c r="F46" s="1528"/>
      <c r="G46" s="1528"/>
      <c r="H46" s="1528"/>
      <c r="I46" s="1528"/>
      <c r="J46" s="1529"/>
      <c r="K46" s="225">
        <f t="shared" si="205"/>
        <v>0</v>
      </c>
      <c r="L46" s="225">
        <f t="shared" si="0"/>
        <v>0</v>
      </c>
      <c r="M46" s="1530"/>
      <c r="N46" s="1530"/>
      <c r="O46" s="1530"/>
      <c r="P46" s="673" t="str">
        <f t="shared" si="203"/>
        <v/>
      </c>
      <c r="Q46" s="674" t="str">
        <f>IF(H46="","",P46/($P$6*VLOOKUP(C46,'DCA Underwriting Assumptions'!$J$84:$K$89,2,FALSE)))</f>
        <v/>
      </c>
      <c r="R46" s="820"/>
      <c r="S46" s="674"/>
      <c r="T46" s="1467"/>
      <c r="U46" s="1468"/>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31" t="s">
        <v>2626</v>
      </c>
      <c r="C47" s="1532"/>
      <c r="D47" s="1533"/>
      <c r="E47" s="1534"/>
      <c r="F47" s="1534"/>
      <c r="G47" s="1534"/>
      <c r="H47" s="1534"/>
      <c r="I47" s="1534"/>
      <c r="J47" s="1535"/>
      <c r="K47" s="226">
        <f t="shared" si="204"/>
        <v>0</v>
      </c>
      <c r="L47" s="226">
        <f t="shared" si="0"/>
        <v>0</v>
      </c>
      <c r="M47" s="1536"/>
      <c r="N47" s="1536"/>
      <c r="O47" s="1536"/>
      <c r="P47" s="673" t="str">
        <f t="shared" si="203"/>
        <v/>
      </c>
      <c r="Q47" s="674" t="str">
        <f>IF(H47="","",P47/($P$6*VLOOKUP(C47,'DCA Underwriting Assumptions'!$J$84:$K$89,2,FALSE)))</f>
        <v/>
      </c>
      <c r="R47" s="820"/>
      <c r="S47" s="674"/>
      <c r="T47" s="1470"/>
      <c r="U47" s="1471"/>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100</v>
      </c>
      <c r="F48" s="172">
        <f>(E10*F10+E11*F11+E12*F12+E13*F13+E14*F14+E15*F15+E16*F16+E17*F17+E18*F18+E19*F19+E20*F20+E21*F21+E22*F22+E23*F23+E24*F24+E25*F25+E26*F26+E27*F27+E28*F28+E29*F29+E30*F30+E31*F31+E32*F32+E33*F33+E34*F34+E35*F35+E36*F36+E37*F37+E38*F38+E39*F39+E40*F40+E41*F41+E42*F42+E43*F43+E44*F44+E45*F45+E46*F46+E47*F47)</f>
        <v>80600</v>
      </c>
      <c r="G48" s="163"/>
      <c r="H48" s="164"/>
      <c r="I48" s="164"/>
      <c r="J48" s="164"/>
      <c r="K48" s="15" t="s">
        <v>1869</v>
      </c>
      <c r="L48" s="170">
        <f>SUM(L10:L47)</f>
        <v>61603</v>
      </c>
      <c r="M48" s="2"/>
      <c r="N48" s="40"/>
      <c r="O48" s="2"/>
      <c r="P48" s="676"/>
      <c r="Q48" s="676"/>
      <c r="R48" s="676"/>
      <c r="S48" s="676"/>
      <c r="T48" s="675"/>
      <c r="U48" s="677"/>
      <c r="V48" s="779">
        <f t="shared" ref="V48:CK48" si="206">SUM(V10:V47)</f>
        <v>0</v>
      </c>
      <c r="W48" s="779">
        <f t="shared" si="206"/>
        <v>54</v>
      </c>
      <c r="X48" s="779">
        <f t="shared" si="206"/>
        <v>5</v>
      </c>
      <c r="Y48" s="779">
        <f t="shared" si="206"/>
        <v>0</v>
      </c>
      <c r="Z48" s="779">
        <f t="shared" si="206"/>
        <v>0</v>
      </c>
      <c r="AA48" s="779">
        <f t="shared" si="206"/>
        <v>0</v>
      </c>
      <c r="AB48" s="779">
        <f t="shared" si="206"/>
        <v>20</v>
      </c>
      <c r="AC48" s="779">
        <f t="shared" si="206"/>
        <v>5</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6</v>
      </c>
      <c r="AM48" s="779">
        <f t="shared" si="206"/>
        <v>10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3</v>
      </c>
      <c r="BL48" s="779">
        <f t="shared" si="207"/>
        <v>1</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39690</v>
      </c>
      <c r="CA48" s="779">
        <f t="shared" si="206"/>
        <v>5450</v>
      </c>
      <c r="CB48" s="779">
        <f t="shared" si="206"/>
        <v>0</v>
      </c>
      <c r="CC48" s="779">
        <f t="shared" si="206"/>
        <v>0</v>
      </c>
      <c r="CD48" s="779">
        <f t="shared" si="206"/>
        <v>0</v>
      </c>
      <c r="CE48" s="779">
        <f t="shared" si="206"/>
        <v>14700</v>
      </c>
      <c r="CF48" s="779">
        <f t="shared" si="206"/>
        <v>5450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4410</v>
      </c>
      <c r="CP48" s="779">
        <f t="shared" si="208"/>
        <v>10900</v>
      </c>
      <c r="CQ48" s="779">
        <f t="shared" si="208"/>
        <v>0</v>
      </c>
      <c r="CR48" s="779">
        <f t="shared" si="208"/>
        <v>0</v>
      </c>
      <c r="CS48" s="779">
        <f t="shared" si="208"/>
        <v>0</v>
      </c>
      <c r="CT48" s="779">
        <f t="shared" si="208"/>
        <v>2205</v>
      </c>
      <c r="CU48" s="779">
        <f t="shared" si="208"/>
        <v>1090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74</v>
      </c>
      <c r="DE48" s="779">
        <f t="shared" si="208"/>
        <v>10</v>
      </c>
      <c r="DF48" s="779">
        <f t="shared" si="208"/>
        <v>0</v>
      </c>
      <c r="DG48" s="779">
        <f t="shared" si="208"/>
        <v>0</v>
      </c>
      <c r="DH48" s="779">
        <f t="shared" si="208"/>
        <v>0</v>
      </c>
      <c r="DI48" s="779">
        <f t="shared" si="208"/>
        <v>6</v>
      </c>
      <c r="DJ48" s="779">
        <f t="shared" si="208"/>
        <v>10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80</v>
      </c>
      <c r="EX48" s="779">
        <f t="shared" si="209"/>
        <v>20</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80</v>
      </c>
      <c r="GL48" s="779">
        <f t="shared" si="209"/>
        <v>20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739236</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3669</v>
      </c>
      <c r="B51" s="1537"/>
      <c r="C51" s="1537"/>
      <c r="D51" s="1537"/>
      <c r="E51" s="1537"/>
      <c r="F51" s="1537"/>
      <c r="G51" s="1537"/>
      <c r="H51" s="1537"/>
      <c r="I51" s="1537"/>
      <c r="J51" s="1537"/>
      <c r="K51" s="1537"/>
      <c r="L51" s="1537"/>
      <c r="M51" s="1537"/>
      <c r="N51" s="1537"/>
      <c r="O51" s="1537"/>
      <c r="P51" s="1537"/>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7"/>
      <c r="B52" s="1537"/>
      <c r="C52" s="1537"/>
      <c r="D52" s="1537"/>
      <c r="E52" s="1537"/>
      <c r="F52" s="1537"/>
      <c r="G52" s="1537"/>
      <c r="H52" s="1537"/>
      <c r="I52" s="1537"/>
      <c r="J52" s="1537"/>
      <c r="K52" s="1537"/>
      <c r="L52" s="1537"/>
      <c r="M52" s="1537"/>
      <c r="N52" s="1537"/>
      <c r="O52" s="1537"/>
      <c r="P52" s="1537"/>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54</v>
      </c>
      <c r="J56" s="380">
        <f>X48</f>
        <v>5</v>
      </c>
      <c r="K56" s="380">
        <f>Y48</f>
        <v>0</v>
      </c>
      <c r="L56" s="380">
        <f>Z48</f>
        <v>0</v>
      </c>
      <c r="M56" s="380">
        <f t="shared" ref="M56:M62" si="211">SUM(H56:L56)</f>
        <v>59</v>
      </c>
      <c r="N56" s="1095" t="s">
        <v>1382</v>
      </c>
      <c r="O56" s="1096"/>
      <c r="P56" s="850"/>
      <c r="Q56" s="643">
        <f t="shared" ref="Q56:Q62" si="212">ABS(M56-AF56)</f>
        <v>59</v>
      </c>
      <c r="R56" s="643"/>
      <c r="S56" s="643"/>
      <c r="T56" s="1465"/>
      <c r="U56" s="1466"/>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20</v>
      </c>
      <c r="J57" s="381">
        <f>AC48</f>
        <v>5</v>
      </c>
      <c r="K57" s="381">
        <f>AD48</f>
        <v>0</v>
      </c>
      <c r="L57" s="381">
        <f>AE48</f>
        <v>0</v>
      </c>
      <c r="M57" s="381">
        <f t="shared" si="211"/>
        <v>25</v>
      </c>
      <c r="N57" s="1095"/>
      <c r="O57" s="1096"/>
      <c r="P57" s="850"/>
      <c r="Q57" s="643">
        <f t="shared" si="212"/>
        <v>25</v>
      </c>
      <c r="R57" s="643"/>
      <c r="S57" s="643"/>
      <c r="T57" s="1467"/>
      <c r="U57" s="1468"/>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74</v>
      </c>
      <c r="J58" s="382">
        <f>SUM(J56:J57)</f>
        <v>10</v>
      </c>
      <c r="K58" s="382">
        <f>SUM(K56:K57)</f>
        <v>0</v>
      </c>
      <c r="L58" s="382">
        <f>SUM(L56:L57)</f>
        <v>0</v>
      </c>
      <c r="M58" s="382">
        <f t="shared" si="211"/>
        <v>84</v>
      </c>
      <c r="N58" s="385"/>
      <c r="O58" s="110"/>
      <c r="Q58" s="643">
        <f t="shared" si="212"/>
        <v>84</v>
      </c>
      <c r="R58" s="643"/>
      <c r="S58" s="643"/>
      <c r="T58" s="1467"/>
      <c r="U58" s="1468"/>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6</v>
      </c>
      <c r="J59" s="382">
        <f>AM48</f>
        <v>10</v>
      </c>
      <c r="K59" s="382">
        <f>AN48</f>
        <v>0</v>
      </c>
      <c r="L59" s="382">
        <f>AO48</f>
        <v>0</v>
      </c>
      <c r="M59" s="382">
        <f t="shared" si="211"/>
        <v>16</v>
      </c>
      <c r="N59" s="65"/>
      <c r="O59" s="110"/>
      <c r="Q59" s="643">
        <f t="shared" si="212"/>
        <v>16</v>
      </c>
      <c r="R59" s="643"/>
      <c r="S59" s="643"/>
      <c r="T59" s="1467"/>
      <c r="U59" s="1468"/>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80</v>
      </c>
      <c r="J60" s="382">
        <f>SUM(J58:J59)</f>
        <v>20</v>
      </c>
      <c r="K60" s="382">
        <f>SUM(K58:K59)</f>
        <v>0</v>
      </c>
      <c r="L60" s="382">
        <f>SUM(L58:L59)</f>
        <v>0</v>
      </c>
      <c r="M60" s="382">
        <f t="shared" si="211"/>
        <v>100</v>
      </c>
      <c r="N60" s="65"/>
      <c r="O60" s="110"/>
      <c r="Q60" s="643">
        <f t="shared" si="212"/>
        <v>100</v>
      </c>
      <c r="R60" s="643"/>
      <c r="S60" s="643"/>
      <c r="T60" s="1467"/>
      <c r="U60" s="1468"/>
      <c r="V60" s="783"/>
      <c r="W60" s="783"/>
      <c r="X60" s="783"/>
      <c r="Y60" s="783"/>
      <c r="Z60" s="784"/>
      <c r="AA60" s="785"/>
      <c r="AB60" s="785"/>
      <c r="AC60" s="785"/>
      <c r="AD60" s="785"/>
      <c r="AE60" s="785"/>
      <c r="AF60" s="785"/>
      <c r="AG60" s="754"/>
      <c r="AH60" s="769"/>
      <c r="GW60" s="781"/>
      <c r="HL60" s="757"/>
    </row>
    <row r="61" spans="1:221" ht="12" customHeight="1">
      <c r="A61" s="1090"/>
      <c r="B61" s="1090"/>
      <c r="C61" s="2" t="s">
        <v>3522</v>
      </c>
      <c r="D61" s="2"/>
      <c r="E61" s="2"/>
      <c r="F61" s="2"/>
      <c r="G61" s="44"/>
      <c r="H61" s="382">
        <f>BT48</f>
        <v>0</v>
      </c>
      <c r="I61" s="382">
        <f>BU48</f>
        <v>0</v>
      </c>
      <c r="J61" s="382">
        <f>BV48</f>
        <v>0</v>
      </c>
      <c r="K61" s="382">
        <f>BW48</f>
        <v>0</v>
      </c>
      <c r="L61" s="382">
        <f>BX48</f>
        <v>0</v>
      </c>
      <c r="M61" s="382">
        <f t="shared" si="211"/>
        <v>0</v>
      </c>
      <c r="N61" s="62" t="s">
        <v>3112</v>
      </c>
      <c r="O61" s="110"/>
      <c r="Q61" s="643">
        <f t="shared" si="212"/>
        <v>0</v>
      </c>
      <c r="R61" s="643"/>
      <c r="S61" s="643"/>
      <c r="T61" s="1467"/>
      <c r="U61" s="1468"/>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80</v>
      </c>
      <c r="J62" s="382">
        <f>SUM(J60:J61)</f>
        <v>20</v>
      </c>
      <c r="K62" s="382">
        <f>SUM(K60:K61)</f>
        <v>0</v>
      </c>
      <c r="L62" s="382">
        <f>SUM(L60:L61)</f>
        <v>0</v>
      </c>
      <c r="M62" s="382">
        <f t="shared" si="211"/>
        <v>100</v>
      </c>
      <c r="O62" s="110"/>
      <c r="Q62" s="643">
        <f t="shared" si="212"/>
        <v>100</v>
      </c>
      <c r="R62" s="643"/>
      <c r="S62" s="643"/>
      <c r="T62" s="1470"/>
      <c r="U62" s="1471"/>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5"/>
      <c r="U64" s="1466"/>
      <c r="V64" s="783"/>
      <c r="W64" s="783"/>
      <c r="X64" s="787"/>
      <c r="Y64" s="783"/>
      <c r="Z64" s="784"/>
      <c r="AA64" s="785"/>
      <c r="AB64" s="785"/>
      <c r="AC64" s="785"/>
      <c r="AD64" s="785"/>
      <c r="AE64" s="785"/>
      <c r="AF64" s="785"/>
      <c r="AG64" s="784"/>
      <c r="AH64" s="769"/>
      <c r="GW64" s="781"/>
      <c r="HL64" s="757"/>
    </row>
    <row r="65" spans="1:220" ht="12" customHeight="1">
      <c r="A65" s="1090"/>
      <c r="B65" s="1090"/>
      <c r="C65" s="44" t="s">
        <v>3523</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7"/>
      <c r="U65" s="1468"/>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70"/>
      <c r="U66" s="1471"/>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5"/>
      <c r="U68" s="1466"/>
      <c r="V68" s="769"/>
      <c r="W68" s="783"/>
      <c r="X68" s="787"/>
      <c r="Y68" s="783"/>
      <c r="Z68" s="784"/>
      <c r="AA68" s="785"/>
      <c r="AB68" s="785"/>
      <c r="AC68" s="785"/>
      <c r="AD68" s="785"/>
      <c r="AE68" s="785"/>
      <c r="AF68" s="785"/>
      <c r="AG68" s="784"/>
      <c r="AH68" s="769"/>
      <c r="GW68" s="781"/>
      <c r="HL68" s="757"/>
    </row>
    <row r="69" spans="1:220" ht="12" customHeight="1">
      <c r="A69" s="1090"/>
      <c r="B69" s="1090"/>
      <c r="C69" s="44" t="s">
        <v>3523</v>
      </c>
      <c r="D69" s="2"/>
      <c r="E69" s="149"/>
      <c r="F69" s="2"/>
      <c r="G69" s="44" t="s">
        <v>127</v>
      </c>
      <c r="H69" s="381">
        <f>BJ48</f>
        <v>0</v>
      </c>
      <c r="I69" s="381">
        <f>BK48</f>
        <v>3</v>
      </c>
      <c r="J69" s="381">
        <f>BL48</f>
        <v>1</v>
      </c>
      <c r="K69" s="381">
        <f>BM48</f>
        <v>0</v>
      </c>
      <c r="L69" s="381">
        <f>BN48</f>
        <v>0</v>
      </c>
      <c r="M69" s="383">
        <f>SUM(H69:L69)</f>
        <v>4</v>
      </c>
      <c r="N69" s="62"/>
      <c r="O69" s="110"/>
      <c r="Q69" s="643">
        <f>ABS(M69-AF69)</f>
        <v>4</v>
      </c>
      <c r="R69" s="643"/>
      <c r="S69" s="643"/>
      <c r="T69" s="1467"/>
      <c r="U69" s="1468"/>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3</v>
      </c>
      <c r="J70" s="382">
        <f>SUM(J68:J69)</f>
        <v>1</v>
      </c>
      <c r="K70" s="382">
        <f>SUM(K68:K69)</f>
        <v>0</v>
      </c>
      <c r="L70" s="382">
        <f>SUM(L68:L69)</f>
        <v>0</v>
      </c>
      <c r="M70" s="382">
        <f>SUM(H70:L70)</f>
        <v>4</v>
      </c>
      <c r="N70" s="62"/>
      <c r="O70" s="110"/>
      <c r="Q70" s="643">
        <f>ABS(M70-AF70)</f>
        <v>4</v>
      </c>
      <c r="R70" s="643"/>
      <c r="S70" s="643"/>
      <c r="T70" s="1470"/>
      <c r="U70" s="1471"/>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3211</v>
      </c>
      <c r="F72" s="2"/>
      <c r="G72" s="44" t="s">
        <v>2014</v>
      </c>
      <c r="H72" s="380">
        <f>DC48</f>
        <v>0</v>
      </c>
      <c r="I72" s="380">
        <f>DD48</f>
        <v>74</v>
      </c>
      <c r="J72" s="380">
        <f>DE48</f>
        <v>10</v>
      </c>
      <c r="K72" s="380">
        <f>DF48</f>
        <v>0</v>
      </c>
      <c r="L72" s="380">
        <f>DG48</f>
        <v>0</v>
      </c>
      <c r="M72" s="380">
        <f t="shared" ref="M72:M82" si="213">SUM(H72:L72)</f>
        <v>84</v>
      </c>
      <c r="N72" s="31"/>
      <c r="O72" s="110"/>
      <c r="Q72" s="643">
        <f t="shared" ref="Q72:Q80" si="214">ABS(M72-AF72)</f>
        <v>84</v>
      </c>
      <c r="R72" s="643"/>
      <c r="S72" s="643"/>
      <c r="T72" s="1465"/>
      <c r="U72" s="1466"/>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6</v>
      </c>
      <c r="J73" s="384">
        <f>DJ48</f>
        <v>10</v>
      </c>
      <c r="K73" s="384">
        <f>DK48</f>
        <v>0</v>
      </c>
      <c r="L73" s="384">
        <f>DL48</f>
        <v>0</v>
      </c>
      <c r="M73" s="384">
        <f t="shared" si="213"/>
        <v>16</v>
      </c>
      <c r="N73" s="65"/>
      <c r="O73" s="110"/>
      <c r="Q73" s="643">
        <f t="shared" si="214"/>
        <v>16</v>
      </c>
      <c r="R73" s="643"/>
      <c r="S73" s="643"/>
      <c r="T73" s="1467"/>
      <c r="U73" s="1468"/>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80</v>
      </c>
      <c r="J74" s="382">
        <f>SUM(J72:J73)+DO48</f>
        <v>20</v>
      </c>
      <c r="K74" s="382">
        <f>SUM(K72:K73)+DP48</f>
        <v>0</v>
      </c>
      <c r="L74" s="382">
        <f>SUM(L72:L73)+DQ48</f>
        <v>0</v>
      </c>
      <c r="M74" s="382">
        <f t="shared" si="213"/>
        <v>100</v>
      </c>
      <c r="N74" s="62"/>
      <c r="O74" s="110"/>
      <c r="Q74" s="643">
        <f t="shared" si="214"/>
        <v>100</v>
      </c>
      <c r="R74" s="643"/>
      <c r="S74" s="643"/>
      <c r="T74" s="1467"/>
      <c r="U74" s="1468"/>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3027</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7"/>
      <c r="U75" s="1468"/>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7"/>
      <c r="U76" s="1468"/>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7"/>
      <c r="U77" s="1468"/>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67"/>
      <c r="U78" s="1468"/>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7"/>
      <c r="U79" s="1468"/>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7"/>
      <c r="U80" s="1468"/>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8"/>
      <c r="I81" s="1538"/>
      <c r="J81" s="1538"/>
      <c r="K81" s="1538"/>
      <c r="L81" s="1538"/>
      <c r="M81" s="380">
        <f t="shared" si="213"/>
        <v>0</v>
      </c>
      <c r="N81" s="31"/>
      <c r="O81" s="110"/>
      <c r="T81" s="1467"/>
      <c r="U81" s="1468"/>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9"/>
      <c r="I82" s="1539"/>
      <c r="J82" s="1539"/>
      <c r="K82" s="1539"/>
      <c r="L82" s="1539"/>
      <c r="M82" s="384">
        <f t="shared" si="213"/>
        <v>0</v>
      </c>
      <c r="N82" s="65"/>
      <c r="O82" s="110"/>
      <c r="T82" s="1470"/>
      <c r="U82" s="1471"/>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80</v>
      </c>
      <c r="J84" s="380">
        <f t="shared" si="215"/>
        <v>20</v>
      </c>
      <c r="K84" s="380">
        <f t="shared" si="215"/>
        <v>0</v>
      </c>
      <c r="L84" s="380">
        <f t="shared" si="215"/>
        <v>0</v>
      </c>
      <c r="M84" s="380">
        <f>SUM(H84:L84)</f>
        <v>100</v>
      </c>
      <c r="N84" s="31"/>
      <c r="O84" s="110"/>
      <c r="Q84" s="643">
        <f>ABS(M84-AF84)</f>
        <v>100</v>
      </c>
      <c r="R84" s="643"/>
      <c r="S84" s="643"/>
      <c r="T84" s="1465"/>
      <c r="U84" s="1466"/>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3643</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7"/>
      <c r="U85" s="1468"/>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3644</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7"/>
      <c r="U86" s="1468"/>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3646</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7"/>
      <c r="U87" s="1468"/>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3645</v>
      </c>
      <c r="H88" s="383">
        <f>GJ48</f>
        <v>0</v>
      </c>
      <c r="I88" s="383">
        <f t="shared" ref="I88:L88" si="220">GK48</f>
        <v>80</v>
      </c>
      <c r="J88" s="383">
        <f t="shared" si="220"/>
        <v>20</v>
      </c>
      <c r="K88" s="383">
        <f t="shared" si="220"/>
        <v>0</v>
      </c>
      <c r="L88" s="383">
        <f t="shared" si="220"/>
        <v>0</v>
      </c>
      <c r="M88" s="383">
        <f t="shared" si="217"/>
        <v>100</v>
      </c>
      <c r="N88" s="31"/>
      <c r="O88" s="110"/>
      <c r="Q88" s="643"/>
      <c r="R88" s="643"/>
      <c r="S88" s="643"/>
      <c r="T88" s="1467"/>
      <c r="U88" s="1468"/>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7"/>
      <c r="U89" s="1468"/>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7"/>
      <c r="U90" s="1468"/>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7"/>
      <c r="U91" s="1468"/>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70"/>
      <c r="U92" s="1471"/>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3056</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1670</v>
      </c>
      <c r="H94" s="221">
        <f>BY48</f>
        <v>0</v>
      </c>
      <c r="I94" s="221">
        <f>BZ48</f>
        <v>39690</v>
      </c>
      <c r="J94" s="221">
        <f>CA48</f>
        <v>5450</v>
      </c>
      <c r="K94" s="221">
        <f>CB48</f>
        <v>0</v>
      </c>
      <c r="L94" s="221">
        <f>CC48</f>
        <v>0</v>
      </c>
      <c r="M94" s="221">
        <f t="shared" ref="M94:M100" si="221">SUM(H94:L94)</f>
        <v>45140</v>
      </c>
      <c r="O94" s="110"/>
      <c r="Q94" s="643">
        <f t="shared" ref="Q94:Q100" si="222">ABS(M94-AF94)</f>
        <v>45140</v>
      </c>
      <c r="R94" s="643"/>
      <c r="S94" s="643"/>
      <c r="T94" s="1465"/>
      <c r="U94" s="1466"/>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14700</v>
      </c>
      <c r="J95" s="223">
        <f>CF48</f>
        <v>5450</v>
      </c>
      <c r="K95" s="223">
        <f>CG48</f>
        <v>0</v>
      </c>
      <c r="L95" s="223">
        <f>CH48</f>
        <v>0</v>
      </c>
      <c r="M95" s="223">
        <f t="shared" si="221"/>
        <v>20150</v>
      </c>
      <c r="N95" s="6"/>
      <c r="O95" s="110"/>
      <c r="Q95" s="643">
        <f t="shared" si="222"/>
        <v>20150</v>
      </c>
      <c r="R95" s="643"/>
      <c r="S95" s="643"/>
      <c r="T95" s="1467"/>
      <c r="U95" s="1468"/>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54390</v>
      </c>
      <c r="J96" s="220">
        <f>SUM(J94:J95)</f>
        <v>10900</v>
      </c>
      <c r="K96" s="220">
        <f>SUM(K94:K95)</f>
        <v>0</v>
      </c>
      <c r="L96" s="220">
        <f>SUM(L94:L95)</f>
        <v>0</v>
      </c>
      <c r="M96" s="220">
        <f t="shared" si="221"/>
        <v>65290</v>
      </c>
      <c r="N96" s="6"/>
      <c r="O96" s="110"/>
      <c r="Q96" s="643">
        <f t="shared" si="222"/>
        <v>65290</v>
      </c>
      <c r="R96" s="643"/>
      <c r="S96" s="643"/>
      <c r="T96" s="1467"/>
      <c r="U96" s="1468"/>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4410</v>
      </c>
      <c r="J97" s="220">
        <f>CP48</f>
        <v>10900</v>
      </c>
      <c r="K97" s="220">
        <f>CQ48</f>
        <v>0</v>
      </c>
      <c r="L97" s="220">
        <f>CR48</f>
        <v>0</v>
      </c>
      <c r="M97" s="220">
        <f t="shared" si="221"/>
        <v>15310</v>
      </c>
      <c r="O97" s="110"/>
      <c r="Q97" s="643">
        <f t="shared" si="222"/>
        <v>15310</v>
      </c>
      <c r="R97" s="643"/>
      <c r="S97" s="643"/>
      <c r="T97" s="1467"/>
      <c r="U97" s="1468"/>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58800</v>
      </c>
      <c r="J98" s="220">
        <f>SUM(J96:J97)</f>
        <v>21800</v>
      </c>
      <c r="K98" s="220">
        <f>SUM(K96:K97)</f>
        <v>0</v>
      </c>
      <c r="L98" s="220">
        <f>SUM(L96:L97)</f>
        <v>0</v>
      </c>
      <c r="M98" s="220">
        <f t="shared" si="221"/>
        <v>80600</v>
      </c>
      <c r="O98" s="110"/>
      <c r="Q98" s="643">
        <f t="shared" si="222"/>
        <v>80600</v>
      </c>
      <c r="R98" s="643"/>
      <c r="S98" s="643"/>
      <c r="T98" s="1467"/>
      <c r="U98" s="1468"/>
      <c r="V98" s="783"/>
      <c r="W98" s="783"/>
      <c r="X98" s="783"/>
      <c r="Y98" s="783"/>
      <c r="Z98" s="783"/>
      <c r="AA98" s="785"/>
      <c r="AB98" s="785"/>
      <c r="AC98" s="785"/>
      <c r="AD98" s="785"/>
      <c r="AE98" s="785"/>
      <c r="AF98" s="785"/>
      <c r="AG98" s="780"/>
      <c r="AH98" s="769"/>
      <c r="GW98" s="781"/>
      <c r="HL98" s="757"/>
    </row>
    <row r="99" spans="1:222" ht="12" customHeight="1">
      <c r="C99" s="6" t="s">
        <v>3522</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7"/>
      <c r="U99" s="1468"/>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58800</v>
      </c>
      <c r="J100" s="220">
        <f>SUM(J98:J99)</f>
        <v>21800</v>
      </c>
      <c r="K100" s="220">
        <f>SUM(K98:K99)</f>
        <v>0</v>
      </c>
      <c r="L100" s="220">
        <f>SUM(L98:L99)</f>
        <v>0</v>
      </c>
      <c r="M100" s="220">
        <f t="shared" si="221"/>
        <v>80600</v>
      </c>
      <c r="O100" s="110"/>
      <c r="Q100" s="643">
        <f t="shared" si="222"/>
        <v>80600</v>
      </c>
      <c r="R100" s="643"/>
      <c r="S100" s="643"/>
      <c r="T100" s="1470"/>
      <c r="U100" s="1471"/>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40">
        <v>14784.720000000001</v>
      </c>
      <c r="H104" s="1541"/>
      <c r="I104" s="147" t="s">
        <v>3961</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3198</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42">
        <v>29520</v>
      </c>
      <c r="H109" s="1542">
        <v>30110.400000000001</v>
      </c>
      <c r="I109" s="1542">
        <v>30712.608000000004</v>
      </c>
      <c r="J109" s="1542">
        <v>31326.860160000004</v>
      </c>
      <c r="K109" s="1542">
        <v>31953.397363200005</v>
      </c>
      <c r="L109" s="1542">
        <v>32592.465310464006</v>
      </c>
      <c r="M109" s="1542">
        <v>33244.314616673284</v>
      </c>
      <c r="N109" s="1542">
        <v>33909.200909006751</v>
      </c>
      <c r="O109" s="1542">
        <v>34587.384927186889</v>
      </c>
      <c r="P109" s="1542">
        <v>35279.132625730628</v>
      </c>
      <c r="T109" s="1465"/>
      <c r="U109" s="1466"/>
    </row>
    <row r="110" spans="1:222" ht="15" customHeight="1">
      <c r="B110" s="9" t="s">
        <v>1137</v>
      </c>
      <c r="C110" s="1543"/>
      <c r="D110" s="1544"/>
      <c r="E110" s="1544"/>
      <c r="F110" s="1545"/>
      <c r="G110" s="1546"/>
      <c r="H110" s="1546"/>
      <c r="I110" s="1546"/>
      <c r="J110" s="1546"/>
      <c r="K110" s="1547"/>
      <c r="L110" s="1546"/>
      <c r="M110" s="1546"/>
      <c r="N110" s="1546"/>
      <c r="O110" s="1546"/>
      <c r="P110" s="1546"/>
      <c r="T110" s="1467"/>
      <c r="U110" s="1468"/>
    </row>
    <row r="111" spans="1:222" ht="15" customHeight="1">
      <c r="C111" s="118" t="s">
        <v>1422</v>
      </c>
      <c r="G111" s="39">
        <f t="shared" ref="G111:P111" si="223">SUM(G109:G110)</f>
        <v>29520</v>
      </c>
      <c r="H111" s="39">
        <f t="shared" si="223"/>
        <v>30110.400000000001</v>
      </c>
      <c r="I111" s="39">
        <f t="shared" si="223"/>
        <v>30712.608000000004</v>
      </c>
      <c r="J111" s="39">
        <f t="shared" si="223"/>
        <v>31326.860160000004</v>
      </c>
      <c r="K111" s="39">
        <f t="shared" si="223"/>
        <v>31953.397363200005</v>
      </c>
      <c r="L111" s="39">
        <f t="shared" si="223"/>
        <v>32592.465310464006</v>
      </c>
      <c r="M111" s="39">
        <f t="shared" si="223"/>
        <v>33244.314616673284</v>
      </c>
      <c r="N111" s="39">
        <f t="shared" si="223"/>
        <v>33909.200909006751</v>
      </c>
      <c r="O111" s="39">
        <f t="shared" si="223"/>
        <v>34587.384927186889</v>
      </c>
      <c r="P111" s="39">
        <f t="shared" si="223"/>
        <v>35279.132625730628</v>
      </c>
      <c r="T111" s="1470"/>
      <c r="U111" s="1471"/>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42"/>
      <c r="H114" s="1542"/>
      <c r="I114" s="1542"/>
      <c r="J114" s="1542"/>
      <c r="K114" s="1548"/>
      <c r="L114" s="1542"/>
      <c r="M114" s="1542"/>
      <c r="N114" s="1542"/>
      <c r="O114" s="1542"/>
      <c r="P114" s="1542"/>
      <c r="T114" s="1467"/>
      <c r="U114" s="1468"/>
    </row>
    <row r="115" spans="2:21" ht="15" customHeight="1">
      <c r="B115" s="9" t="s">
        <v>1137</v>
      </c>
      <c r="C115" s="1543"/>
      <c r="D115" s="1544"/>
      <c r="E115" s="1544"/>
      <c r="F115" s="1545"/>
      <c r="G115" s="1546"/>
      <c r="H115" s="1546"/>
      <c r="I115" s="1546"/>
      <c r="J115" s="1546"/>
      <c r="K115" s="1547"/>
      <c r="L115" s="1546"/>
      <c r="M115" s="1546"/>
      <c r="N115" s="1546"/>
      <c r="O115" s="1546"/>
      <c r="P115" s="1546"/>
      <c r="T115" s="1467"/>
      <c r="U115" s="1468"/>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70"/>
      <c r="U116" s="1471"/>
    </row>
    <row r="117" spans="2:21" ht="42.6" customHeight="1">
      <c r="B117" s="16"/>
      <c r="G117" s="42"/>
      <c r="P117" s="9"/>
      <c r="T117" s="236" t="s">
        <v>3670</v>
      </c>
    </row>
    <row r="118" spans="2:21" ht="13.9" customHeight="1">
      <c r="B118" s="554" t="s">
        <v>3198</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42">
        <v>35984.715278245239</v>
      </c>
      <c r="H119" s="1542">
        <v>36704.409583810142</v>
      </c>
      <c r="I119" s="1542">
        <v>37438.497775486343</v>
      </c>
      <c r="J119" s="1542">
        <v>38187.267730996071</v>
      </c>
      <c r="K119" s="1542">
        <v>38951.013085615996</v>
      </c>
      <c r="L119" s="1542">
        <v>39730.033347328317</v>
      </c>
      <c r="M119" s="1542">
        <v>40524.634014274881</v>
      </c>
      <c r="N119" s="1542">
        <v>41335.126694560378</v>
      </c>
      <c r="O119" s="1542">
        <v>42161.829228451585</v>
      </c>
      <c r="P119" s="1542">
        <v>43005.065813020614</v>
      </c>
      <c r="T119" s="1465"/>
      <c r="U119" s="1466"/>
    </row>
    <row r="120" spans="2:21" ht="15" customHeight="1">
      <c r="B120" s="9" t="s">
        <v>1137</v>
      </c>
      <c r="C120" s="1543"/>
      <c r="D120" s="1544"/>
      <c r="E120" s="1544"/>
      <c r="F120" s="1545"/>
      <c r="G120" s="1546"/>
      <c r="H120" s="1546"/>
      <c r="I120" s="1546"/>
      <c r="J120" s="1546"/>
      <c r="K120" s="1547"/>
      <c r="L120" s="1546"/>
      <c r="M120" s="1546"/>
      <c r="N120" s="1546"/>
      <c r="O120" s="1546"/>
      <c r="P120" s="1546"/>
      <c r="T120" s="1467"/>
      <c r="U120" s="1468"/>
    </row>
    <row r="121" spans="2:21" ht="15" customHeight="1">
      <c r="C121" s="118" t="s">
        <v>1422</v>
      </c>
      <c r="G121" s="39">
        <f t="shared" ref="G121:P121" si="225">SUM(G119:G120)</f>
        <v>35984.715278245239</v>
      </c>
      <c r="H121" s="39">
        <f t="shared" si="225"/>
        <v>36704.409583810142</v>
      </c>
      <c r="I121" s="39">
        <f t="shared" si="225"/>
        <v>37438.497775486343</v>
      </c>
      <c r="J121" s="39">
        <f t="shared" si="225"/>
        <v>38187.267730996071</v>
      </c>
      <c r="K121" s="39">
        <f t="shared" si="225"/>
        <v>38951.013085615996</v>
      </c>
      <c r="L121" s="39">
        <f t="shared" si="225"/>
        <v>39730.033347328317</v>
      </c>
      <c r="M121" s="39">
        <f t="shared" si="225"/>
        <v>40524.634014274881</v>
      </c>
      <c r="N121" s="39">
        <f t="shared" si="225"/>
        <v>41335.126694560378</v>
      </c>
      <c r="O121" s="39">
        <f t="shared" si="225"/>
        <v>42161.829228451585</v>
      </c>
      <c r="P121" s="39">
        <f t="shared" si="225"/>
        <v>43005.065813020614</v>
      </c>
      <c r="T121" s="1470"/>
      <c r="U121" s="1471"/>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42"/>
      <c r="H124" s="1542"/>
      <c r="I124" s="1542"/>
      <c r="J124" s="1542"/>
      <c r="K124" s="1548"/>
      <c r="L124" s="1542"/>
      <c r="M124" s="1542"/>
      <c r="N124" s="1542"/>
      <c r="O124" s="1542"/>
      <c r="P124" s="1542"/>
      <c r="T124" s="1467"/>
      <c r="U124" s="1468"/>
    </row>
    <row r="125" spans="2:21" ht="15" customHeight="1">
      <c r="B125" s="9" t="s">
        <v>1137</v>
      </c>
      <c r="C125" s="1543"/>
      <c r="D125" s="1544"/>
      <c r="E125" s="1544"/>
      <c r="F125" s="1545"/>
      <c r="G125" s="1546"/>
      <c r="H125" s="1546"/>
      <c r="I125" s="1546"/>
      <c r="J125" s="1546"/>
      <c r="K125" s="1547"/>
      <c r="L125" s="1546"/>
      <c r="M125" s="1546"/>
      <c r="N125" s="1546"/>
      <c r="O125" s="1546"/>
      <c r="P125" s="1546"/>
      <c r="T125" s="1467"/>
      <c r="U125" s="1468"/>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70"/>
      <c r="U126" s="1471"/>
    </row>
    <row r="127" spans="2:21" ht="42.6" customHeight="1">
      <c r="B127" s="16"/>
      <c r="G127" s="42"/>
      <c r="P127" s="9"/>
      <c r="T127" s="236" t="s">
        <v>3671</v>
      </c>
    </row>
    <row r="128" spans="2:21" ht="13.9" customHeight="1">
      <c r="B128" s="554" t="s">
        <v>3198</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42">
        <v>43865.167129281028</v>
      </c>
      <c r="H129" s="1542">
        <v>44742.470471866647</v>
      </c>
      <c r="I129" s="1542">
        <v>45637.319881303978</v>
      </c>
      <c r="J129" s="1542">
        <v>46550.066278930055</v>
      </c>
      <c r="K129" s="1542">
        <v>47481.067604508658</v>
      </c>
      <c r="L129" s="1542">
        <v>48430.688956598831</v>
      </c>
      <c r="M129" s="1542">
        <v>49399.302735730809</v>
      </c>
      <c r="N129" s="1542">
        <v>50387.288790445426</v>
      </c>
      <c r="O129" s="1542">
        <v>51395.034566254333</v>
      </c>
      <c r="P129" s="1542">
        <v>52422.935257579418</v>
      </c>
      <c r="T129" s="1465"/>
      <c r="U129" s="1466"/>
    </row>
    <row r="130" spans="1:255" ht="15" customHeight="1">
      <c r="B130" s="9" t="s">
        <v>1137</v>
      </c>
      <c r="C130" s="1543"/>
      <c r="D130" s="1544"/>
      <c r="E130" s="1544"/>
      <c r="F130" s="1545"/>
      <c r="G130" s="1546"/>
      <c r="H130" s="1546"/>
      <c r="I130" s="1546"/>
      <c r="J130" s="1546"/>
      <c r="K130" s="1547"/>
      <c r="L130" s="1546"/>
      <c r="M130" s="1546"/>
      <c r="N130" s="1546"/>
      <c r="O130" s="1546"/>
      <c r="P130" s="1546"/>
      <c r="T130" s="1467"/>
      <c r="U130" s="1468"/>
    </row>
    <row r="131" spans="1:255" ht="15" customHeight="1">
      <c r="C131" s="118" t="s">
        <v>1422</v>
      </c>
      <c r="G131" s="39">
        <f t="shared" ref="G131:P131" si="227">SUM(G129:G130)</f>
        <v>43865.167129281028</v>
      </c>
      <c r="H131" s="39">
        <f t="shared" si="227"/>
        <v>44742.470471866647</v>
      </c>
      <c r="I131" s="39">
        <f t="shared" si="227"/>
        <v>45637.319881303978</v>
      </c>
      <c r="J131" s="39">
        <f t="shared" si="227"/>
        <v>46550.066278930055</v>
      </c>
      <c r="K131" s="39">
        <f t="shared" si="227"/>
        <v>47481.067604508658</v>
      </c>
      <c r="L131" s="39">
        <f t="shared" si="227"/>
        <v>48430.688956598831</v>
      </c>
      <c r="M131" s="39">
        <f t="shared" si="227"/>
        <v>49399.302735730809</v>
      </c>
      <c r="N131" s="39">
        <f t="shared" si="227"/>
        <v>50387.288790445426</v>
      </c>
      <c r="O131" s="39">
        <f t="shared" si="227"/>
        <v>51395.034566254333</v>
      </c>
      <c r="P131" s="39">
        <f t="shared" si="227"/>
        <v>52422.935257579418</v>
      </c>
      <c r="T131" s="1470"/>
      <c r="U131" s="1471"/>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42"/>
      <c r="H134" s="1542"/>
      <c r="I134" s="1542"/>
      <c r="J134" s="1542"/>
      <c r="K134" s="1548"/>
      <c r="L134" s="1542"/>
      <c r="M134" s="1542"/>
      <c r="N134" s="1542"/>
      <c r="O134" s="1542"/>
      <c r="P134" s="1542"/>
      <c r="T134" s="1467"/>
      <c r="U134" s="1468"/>
    </row>
    <row r="135" spans="1:255" ht="15" customHeight="1">
      <c r="B135" s="9" t="s">
        <v>1137</v>
      </c>
      <c r="C135" s="1543"/>
      <c r="D135" s="1544"/>
      <c r="E135" s="1544"/>
      <c r="F135" s="1545"/>
      <c r="G135" s="1546"/>
      <c r="H135" s="1546"/>
      <c r="I135" s="1546"/>
      <c r="J135" s="1546"/>
      <c r="K135" s="1547"/>
      <c r="L135" s="1546"/>
      <c r="M135" s="1546"/>
      <c r="N135" s="1546"/>
      <c r="O135" s="1546"/>
      <c r="P135" s="1546"/>
      <c r="T135" s="1467"/>
      <c r="U135" s="1468"/>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70"/>
      <c r="U136" s="1471"/>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2716</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5"/>
      <c r="U140" s="1466"/>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3089</v>
      </c>
      <c r="C141" s="2"/>
      <c r="D141" s="2"/>
      <c r="E141" s="2"/>
      <c r="F141" s="1549">
        <v>65000</v>
      </c>
      <c r="G141" s="1550"/>
      <c r="H141" s="2"/>
      <c r="I141" s="2" t="s">
        <v>1946</v>
      </c>
      <c r="J141" s="2"/>
      <c r="K141" s="1549"/>
      <c r="L141" s="1550"/>
      <c r="M141" s="2"/>
      <c r="N141" s="2" t="s">
        <v>1423</v>
      </c>
      <c r="O141" s="2"/>
      <c r="P141" s="1551">
        <v>62952</v>
      </c>
      <c r="T141" s="1467"/>
      <c r="U141" s="1468"/>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9">
        <v>34247</v>
      </c>
      <c r="G142" s="1550"/>
      <c r="H142" s="2"/>
      <c r="I142" s="2" t="s">
        <v>1947</v>
      </c>
      <c r="J142" s="2"/>
      <c r="K142" s="1549"/>
      <c r="L142" s="1550"/>
      <c r="M142" s="2"/>
      <c r="N142" s="2" t="s">
        <v>182</v>
      </c>
      <c r="O142" s="2"/>
      <c r="P142" s="1551">
        <v>21880</v>
      </c>
      <c r="T142" s="1467"/>
      <c r="U142" s="1468"/>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9">
        <v>5000</v>
      </c>
      <c r="G143" s="1550"/>
      <c r="H143" s="2"/>
      <c r="I143" s="2"/>
      <c r="J143" s="169" t="s">
        <v>230</v>
      </c>
      <c r="K143" s="1091">
        <f>SUM(K141:L142)</f>
        <v>0</v>
      </c>
      <c r="L143" s="1092"/>
      <c r="M143" s="2"/>
      <c r="N143" s="1552" t="s">
        <v>57</v>
      </c>
      <c r="O143" s="1553"/>
      <c r="P143" s="1554"/>
      <c r="T143" s="1467"/>
      <c r="U143" s="1468"/>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5" t="s">
        <v>57</v>
      </c>
      <c r="C144" s="1556"/>
      <c r="D144" s="1556"/>
      <c r="E144" s="1557"/>
      <c r="F144" s="1558"/>
      <c r="G144" s="1559"/>
      <c r="H144" s="2"/>
      <c r="I144" s="2"/>
      <c r="J144" s="2"/>
      <c r="K144" s="2"/>
      <c r="L144" s="2"/>
      <c r="M144" s="2"/>
      <c r="N144" s="13" t="s">
        <v>230</v>
      </c>
      <c r="O144" s="2"/>
      <c r="P144" s="633">
        <f>SUM(P141:P143)</f>
        <v>84832</v>
      </c>
      <c r="T144" s="1467"/>
      <c r="U144" s="1468"/>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104247</v>
      </c>
      <c r="G145" s="1092"/>
      <c r="H145" s="2"/>
      <c r="I145" s="2"/>
      <c r="J145" s="14"/>
      <c r="K145" s="2"/>
      <c r="L145" s="2"/>
      <c r="M145" s="2"/>
      <c r="N145" s="2"/>
      <c r="O145" s="2"/>
      <c r="P145" s="2"/>
      <c r="T145" s="1467"/>
      <c r="U145" s="1468"/>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7"/>
      <c r="U146" s="1468"/>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47499</v>
      </c>
      <c r="T147" s="1467"/>
      <c r="U147" s="1468"/>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9">
        <v>5000</v>
      </c>
      <c r="G148" s="1550"/>
      <c r="H148" s="2"/>
      <c r="I148" s="2" t="s">
        <v>2211</v>
      </c>
      <c r="J148" s="2"/>
      <c r="K148" s="1560">
        <v>8500</v>
      </c>
      <c r="L148" s="1561"/>
      <c r="M148" s="2"/>
      <c r="N148" s="595">
        <f>+P147/(M62*0.93)</f>
        <v>510.74193548387098</v>
      </c>
      <c r="O148" s="30" t="s">
        <v>3586</v>
      </c>
      <c r="P148" s="2"/>
      <c r="T148" s="1467"/>
      <c r="U148" s="1468"/>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9">
        <v>2900</v>
      </c>
      <c r="G149" s="1550"/>
      <c r="H149" s="2"/>
      <c r="I149" s="2" t="s">
        <v>2934</v>
      </c>
      <c r="J149" s="2"/>
      <c r="K149" s="1562">
        <v>10000</v>
      </c>
      <c r="L149" s="1563"/>
      <c r="M149" s="2"/>
      <c r="N149" s="595">
        <f>+P147/(M62*0.93)/12</f>
        <v>42.561827956989248</v>
      </c>
      <c r="O149" s="30" t="s">
        <v>3587</v>
      </c>
      <c r="P149" s="2"/>
      <c r="T149" s="1467"/>
      <c r="U149" s="1468"/>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9"/>
      <c r="G150" s="1550"/>
      <c r="H150" s="2"/>
      <c r="I150" s="2" t="s">
        <v>2212</v>
      </c>
      <c r="J150" s="2"/>
      <c r="K150" s="1562">
        <v>10000</v>
      </c>
      <c r="L150" s="1563"/>
      <c r="M150" s="2"/>
      <c r="N150" s="2"/>
      <c r="O150" s="2"/>
      <c r="P150" s="2"/>
      <c r="T150" s="1467"/>
      <c r="U150" s="1468"/>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3263</v>
      </c>
      <c r="C151" s="2"/>
      <c r="D151" s="10"/>
      <c r="E151" s="2"/>
      <c r="F151" s="1549">
        <v>3000</v>
      </c>
      <c r="G151" s="1550"/>
      <c r="H151" s="2"/>
      <c r="I151" s="1552" t="s">
        <v>57</v>
      </c>
      <c r="J151" s="1553"/>
      <c r="K151" s="1560"/>
      <c r="L151" s="1561"/>
      <c r="M151" s="2"/>
      <c r="N151" s="1103" t="s">
        <v>3463</v>
      </c>
      <c r="O151" s="1104"/>
      <c r="P151" s="1104"/>
      <c r="T151" s="1467"/>
      <c r="U151" s="1468"/>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9">
        <v>8500</v>
      </c>
      <c r="G152" s="1550"/>
      <c r="H152" s="2"/>
      <c r="I152" s="11"/>
      <c r="J152" s="13" t="s">
        <v>230</v>
      </c>
      <c r="K152" s="1099">
        <f>SUM(K148:K151)</f>
        <v>28500</v>
      </c>
      <c r="L152" s="1100"/>
      <c r="M152" s="2"/>
      <c r="N152" s="1104"/>
      <c r="O152" s="1104"/>
      <c r="P152" s="1104"/>
      <c r="T152" s="1470"/>
      <c r="U152" s="1471"/>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5" t="s">
        <v>4062</v>
      </c>
      <c r="C153" s="1556"/>
      <c r="D153" s="1556"/>
      <c r="E153" s="1557"/>
      <c r="F153" s="1558">
        <v>5000</v>
      </c>
      <c r="G153" s="1559"/>
      <c r="H153" s="2"/>
      <c r="I153" s="2"/>
      <c r="J153" s="14"/>
      <c r="K153" s="2"/>
      <c r="L153" s="2"/>
      <c r="M153" s="2"/>
      <c r="N153" s="2"/>
      <c r="O153" s="2"/>
      <c r="P153" s="2"/>
      <c r="T153" s="1465"/>
      <c r="U153" s="1466"/>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24400</v>
      </c>
      <c r="G154" s="1092"/>
      <c r="H154" s="2"/>
      <c r="I154" s="2"/>
      <c r="J154" s="14"/>
      <c r="K154" s="2"/>
      <c r="L154" s="2"/>
      <c r="M154" s="2"/>
      <c r="N154" s="2"/>
      <c r="O154" s="2"/>
      <c r="P154" s="2"/>
      <c r="T154" s="1467"/>
      <c r="U154" s="1468"/>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7"/>
      <c r="U155" s="1468"/>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3315</v>
      </c>
      <c r="K156" s="2"/>
      <c r="L156" s="2"/>
      <c r="M156" s="2"/>
      <c r="N156" s="11" t="s">
        <v>3079</v>
      </c>
      <c r="O156" s="6"/>
      <c r="P156" s="6"/>
      <c r="T156" s="1467"/>
      <c r="U156" s="1468"/>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4">
        <v>12237</v>
      </c>
      <c r="G157" s="1565"/>
      <c r="H157" s="2"/>
      <c r="I157" s="2" t="s">
        <v>1936</v>
      </c>
      <c r="J157" s="630">
        <f>K157/12/$M$62</f>
        <v>14.166666666666668</v>
      </c>
      <c r="K157" s="1562">
        <v>17000</v>
      </c>
      <c r="L157" s="1563"/>
      <c r="M157" s="2"/>
      <c r="N157" s="364">
        <f>+$P$157/$M$62</f>
        <v>4187.1499999999996</v>
      </c>
      <c r="O157" s="30" t="s">
        <v>1974</v>
      </c>
      <c r="P157" s="631">
        <f>F145+F154+F165+K143+K152+K162+P144+P147</f>
        <v>418715</v>
      </c>
      <c r="T157" s="1467"/>
      <c r="U157" s="1468"/>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4">
        <v>25000</v>
      </c>
      <c r="G158" s="1565"/>
      <c r="H158" s="2"/>
      <c r="I158" s="2" t="s">
        <v>1937</v>
      </c>
      <c r="J158" s="630">
        <f>K158/12/$M$62</f>
        <v>0</v>
      </c>
      <c r="K158" s="1562"/>
      <c r="L158" s="1563"/>
      <c r="M158" s="2"/>
      <c r="N158" s="2"/>
      <c r="O158" s="2"/>
      <c r="P158" s="2"/>
      <c r="T158" s="1467"/>
      <c r="U158" s="1468"/>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4">
        <v>8000</v>
      </c>
      <c r="G159" s="1565"/>
      <c r="H159" s="2"/>
      <c r="I159" s="2" t="s">
        <v>3314</v>
      </c>
      <c r="J159" s="630">
        <f>K159/12/$M$62</f>
        <v>20.833333333333336</v>
      </c>
      <c r="K159" s="1562">
        <v>25000</v>
      </c>
      <c r="L159" s="1563"/>
      <c r="M159" s="2"/>
      <c r="N159" s="2"/>
      <c r="O159" s="2"/>
      <c r="P159" s="2"/>
      <c r="T159" s="1467"/>
      <c r="U159" s="1468"/>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9">
        <v>2500</v>
      </c>
      <c r="G160" s="1550"/>
      <c r="H160" s="2"/>
      <c r="I160" s="2" t="s">
        <v>1939</v>
      </c>
      <c r="J160" s="2"/>
      <c r="K160" s="1562">
        <v>12000</v>
      </c>
      <c r="L160" s="1563"/>
      <c r="M160" s="2"/>
      <c r="N160" s="11" t="s">
        <v>1796</v>
      </c>
      <c r="O160" s="11"/>
      <c r="P160" s="632">
        <f>P161*M62</f>
        <v>40372</v>
      </c>
      <c r="T160" s="1467"/>
      <c r="U160" s="1468"/>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9">
        <v>5000</v>
      </c>
      <c r="G161" s="1550"/>
      <c r="H161" s="2"/>
      <c r="I161" s="1552" t="s">
        <v>4005</v>
      </c>
      <c r="J161" s="1553"/>
      <c r="K161" s="1560">
        <v>3000</v>
      </c>
      <c r="L161" s="1561"/>
      <c r="M161" s="2"/>
      <c r="N161" s="30" t="s">
        <v>639</v>
      </c>
      <c r="O161" s="2"/>
      <c r="P161" s="1566">
        <v>403.72</v>
      </c>
      <c r="T161" s="1467"/>
      <c r="U161" s="1468"/>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9">
        <v>15000</v>
      </c>
      <c r="G162" s="1550"/>
      <c r="H162" s="2"/>
      <c r="I162" s="2"/>
      <c r="J162" s="13" t="s">
        <v>230</v>
      </c>
      <c r="K162" s="1099">
        <f>SUM(K157:K161)</f>
        <v>57000</v>
      </c>
      <c r="L162" s="1100"/>
      <c r="M162" s="2"/>
      <c r="N162" s="2"/>
      <c r="O162" s="2"/>
      <c r="T162" s="1467"/>
      <c r="U162" s="1468"/>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9">
        <v>2500</v>
      </c>
      <c r="G163" s="1550"/>
      <c r="H163" s="2"/>
      <c r="I163" s="2"/>
      <c r="J163" s="14"/>
      <c r="K163" s="2"/>
      <c r="L163" s="2"/>
      <c r="M163" s="2"/>
      <c r="N163" s="2"/>
      <c r="O163" s="2"/>
      <c r="T163" s="1467"/>
      <c r="U163" s="1468"/>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5" t="s">
        <v>4004</v>
      </c>
      <c r="C164" s="1556"/>
      <c r="D164" s="1556"/>
      <c r="E164" s="1557"/>
      <c r="F164" s="1558">
        <v>2000</v>
      </c>
      <c r="G164" s="1559"/>
      <c r="H164" s="2"/>
      <c r="I164" s="2"/>
      <c r="J164" s="14"/>
      <c r="K164" s="2"/>
      <c r="L164" s="2"/>
      <c r="M164" s="2"/>
      <c r="N164" s="11" t="s">
        <v>3080</v>
      </c>
      <c r="O164" s="11"/>
      <c r="P164" s="11"/>
      <c r="T164" s="1467"/>
      <c r="U164" s="1468"/>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72237</v>
      </c>
      <c r="G165" s="1102"/>
      <c r="H165" s="2"/>
      <c r="I165" s="2"/>
      <c r="J165" s="14"/>
      <c r="K165" s="2"/>
      <c r="L165" s="2"/>
      <c r="M165" s="2"/>
      <c r="N165" s="2"/>
      <c r="O165" s="2"/>
      <c r="P165" s="631">
        <f>P157+P160</f>
        <v>459087</v>
      </c>
      <c r="T165" s="1470"/>
      <c r="U165" s="1471"/>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52.25" customHeight="1">
      <c r="A168" s="1363" t="s">
        <v>4104</v>
      </c>
      <c r="B168" s="1364"/>
      <c r="C168" s="1364"/>
      <c r="D168" s="1364"/>
      <c r="E168" s="1364"/>
      <c r="F168" s="1364"/>
      <c r="G168" s="1364"/>
      <c r="H168" s="1364"/>
      <c r="I168" s="1364"/>
      <c r="J168" s="1365"/>
      <c r="K168" s="1366"/>
      <c r="L168" s="1367"/>
      <c r="M168" s="1367"/>
      <c r="N168" s="1367"/>
      <c r="O168" s="1367"/>
      <c r="P168" s="1368"/>
      <c r="T168" s="952" t="s">
        <v>3964</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2012-028 Veranda at Groveway, Roswell, Fulton County</v>
      </c>
      <c r="B1" s="1108"/>
      <c r="C1" s="1108"/>
      <c r="D1" s="1108"/>
      <c r="E1" s="1108"/>
      <c r="F1" s="1108"/>
      <c r="G1" s="1108"/>
      <c r="H1" s="1108"/>
      <c r="I1" s="1108"/>
      <c r="J1" s="1108"/>
      <c r="K1" s="1109"/>
      <c r="L1" s="11"/>
      <c r="M1" s="1105" t="str">
        <f>A1</f>
        <v>PART SEVEN - OPERATING PRO FORMA  -  2012-028 Veranda at Groveway, Roswell, Fulton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3081</v>
      </c>
      <c r="B5" s="105">
        <v>0.02</v>
      </c>
      <c r="C5" s="19"/>
      <c r="D5" s="19" t="s">
        <v>1269</v>
      </c>
      <c r="F5" s="19"/>
      <c r="G5" s="1567">
        <v>7500</v>
      </c>
      <c r="H5" s="128" t="s">
        <v>2784</v>
      </c>
      <c r="K5" s="133">
        <f>IF(($B$14+$B$15+$B$16+$B$17)=0,"",-B28/($B$14+$B$15+$B$16+$B$17))</f>
        <v>1.0263297794505322E-2</v>
      </c>
      <c r="M5" s="1465"/>
      <c r="N5" s="1466"/>
    </row>
    <row r="6" spans="1:15">
      <c r="A6" s="19" t="s">
        <v>3082</v>
      </c>
      <c r="B6" s="105">
        <v>0.03</v>
      </c>
      <c r="C6" s="19"/>
      <c r="D6" s="19" t="s">
        <v>1270</v>
      </c>
      <c r="F6" s="19"/>
      <c r="G6" s="1567">
        <v>0</v>
      </c>
      <c r="H6" s="128" t="s">
        <v>3344</v>
      </c>
      <c r="K6" s="133" t="e">
        <f>IF(($B$14+$B$15+$B$16+$B$17)=0,"",-#REF!/($B$14+$B$15+$B$16+$B$17))</f>
        <v>#REF!</v>
      </c>
      <c r="M6" s="1467"/>
      <c r="N6" s="1468"/>
    </row>
    <row r="7" spans="1:15">
      <c r="A7" s="19" t="s">
        <v>3084</v>
      </c>
      <c r="B7" s="105">
        <v>0.03</v>
      </c>
      <c r="C7" s="19"/>
      <c r="D7" s="107" t="s">
        <v>332</v>
      </c>
      <c r="G7" s="109"/>
      <c r="H7" s="128" t="s">
        <v>3345</v>
      </c>
      <c r="K7" s="133">
        <f>IF(($B$14+$B$15+$B$16+$B$17)=0,"",-B20/($B$14+$B$15+$B$16+$B$17))</f>
        <v>6.4999517592161105E-2</v>
      </c>
      <c r="M7" s="1467"/>
      <c r="N7" s="1468"/>
    </row>
    <row r="8" spans="1:15" ht="13.15" customHeight="1">
      <c r="A8" s="19" t="s">
        <v>3083</v>
      </c>
      <c r="B8" s="1568">
        <v>7.0000000000000007E-2</v>
      </c>
      <c r="C8" s="19"/>
      <c r="D8" s="106" t="s">
        <v>3515</v>
      </c>
      <c r="G8" s="1569"/>
      <c r="H8" s="230" t="s">
        <v>2028</v>
      </c>
      <c r="K8" s="1570"/>
      <c r="M8" s="1467"/>
      <c r="N8" s="1468"/>
    </row>
    <row r="9" spans="1:15">
      <c r="A9" s="19" t="s">
        <v>1992</v>
      </c>
      <c r="B9" s="105">
        <v>0.02</v>
      </c>
      <c r="D9" s="106" t="s">
        <v>2570</v>
      </c>
      <c r="G9" s="1569" t="s">
        <v>3974</v>
      </c>
      <c r="H9" s="230" t="s">
        <v>3320</v>
      </c>
      <c r="K9" s="1571">
        <v>6.5000000000000002E-2</v>
      </c>
      <c r="M9" s="1470"/>
      <c r="N9" s="1471"/>
    </row>
    <row r="10" spans="1:15" ht="13.5" customHeight="1"/>
    <row r="11" spans="1:15">
      <c r="A11" s="16" t="s">
        <v>97</v>
      </c>
      <c r="M11" s="16" t="str">
        <f>A11</f>
        <v>II.  OPERATING PRO FORMA</v>
      </c>
    </row>
    <row r="12" spans="1:15" ht="2.4500000000000002" customHeight="1"/>
    <row r="13" spans="1:15" ht="14.45" customHeight="1">
      <c r="A13" s="16" t="s">
        <v>3483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3672</v>
      </c>
      <c r="N13" s="954"/>
    </row>
    <row r="14" spans="1:15" ht="13.15" customHeight="1">
      <c r="A14" s="21" t="s">
        <v>3382</v>
      </c>
      <c r="B14" s="22">
        <f>'Part VI-Revenues &amp; Expenses'!L49</f>
        <v>739236</v>
      </c>
      <c r="C14" s="22">
        <f t="shared" ref="C14:K14" si="1">$B$14*(1+$B$5)^(C13-1)</f>
        <v>754020.72</v>
      </c>
      <c r="D14" s="22">
        <f t="shared" si="1"/>
        <v>769101.13439999998</v>
      </c>
      <c r="E14" s="22">
        <f t="shared" si="1"/>
        <v>784483.15708799998</v>
      </c>
      <c r="F14" s="22">
        <f t="shared" si="1"/>
        <v>800172.82022976002</v>
      </c>
      <c r="G14" s="22">
        <f t="shared" si="1"/>
        <v>816176.27663435519</v>
      </c>
      <c r="H14" s="22">
        <f t="shared" si="1"/>
        <v>832499.80216704239</v>
      </c>
      <c r="I14" s="22">
        <f t="shared" si="1"/>
        <v>849149.79821038304</v>
      </c>
      <c r="J14" s="22">
        <f t="shared" si="1"/>
        <v>866132.79417459073</v>
      </c>
      <c r="K14" s="23">
        <f t="shared" si="1"/>
        <v>883455.45005808258</v>
      </c>
      <c r="M14" s="1465"/>
      <c r="N14" s="1466"/>
    </row>
    <row r="15" spans="1:15" ht="13.15" customHeight="1">
      <c r="A15" s="24" t="s">
        <v>1519</v>
      </c>
      <c r="B15" s="25">
        <f>MIN(B14*B9,'Part VI-Revenues &amp; Expenses'!G104)</f>
        <v>14784.720000000001</v>
      </c>
      <c r="C15" s="25">
        <f t="shared" ref="C15:K15" si="2">$B$15*(1+$B$5)^(C13-1)</f>
        <v>15080.414400000001</v>
      </c>
      <c r="D15" s="25">
        <f t="shared" si="2"/>
        <v>15382.022688000001</v>
      </c>
      <c r="E15" s="25">
        <f t="shared" si="2"/>
        <v>15689.66314176</v>
      </c>
      <c r="F15" s="25">
        <f t="shared" si="2"/>
        <v>16003.456404595201</v>
      </c>
      <c r="G15" s="25">
        <f t="shared" si="2"/>
        <v>16323.525532687105</v>
      </c>
      <c r="H15" s="25">
        <f t="shared" si="2"/>
        <v>16649.996043340849</v>
      </c>
      <c r="I15" s="25">
        <f t="shared" si="2"/>
        <v>16982.995964207661</v>
      </c>
      <c r="J15" s="25">
        <f t="shared" si="2"/>
        <v>17322.655883491818</v>
      </c>
      <c r="K15" s="26">
        <f t="shared" si="2"/>
        <v>17669.109001161654</v>
      </c>
      <c r="M15" s="1467"/>
      <c r="N15" s="1468"/>
    </row>
    <row r="16" spans="1:15" ht="13.15" customHeight="1">
      <c r="A16" s="24" t="s">
        <v>3383</v>
      </c>
      <c r="B16" s="25">
        <f t="shared" ref="B16:K16" si="3">-(B14+B15)*$B$8</f>
        <v>-52781.450400000002</v>
      </c>
      <c r="C16" s="25">
        <f t="shared" si="3"/>
        <v>-53837.079408000005</v>
      </c>
      <c r="D16" s="25">
        <f t="shared" si="3"/>
        <v>-54913.820996160001</v>
      </c>
      <c r="E16" s="25">
        <f t="shared" si="3"/>
        <v>-56012.097416083205</v>
      </c>
      <c r="F16" s="25">
        <f t="shared" si="3"/>
        <v>-57132.33936440487</v>
      </c>
      <c r="G16" s="25">
        <f t="shared" si="3"/>
        <v>-58274.986151692967</v>
      </c>
      <c r="H16" s="25">
        <f t="shared" si="3"/>
        <v>-59440.485874726837</v>
      </c>
      <c r="I16" s="25">
        <f t="shared" si="3"/>
        <v>-60629.295592221359</v>
      </c>
      <c r="J16" s="25">
        <f t="shared" si="3"/>
        <v>-61841.881504065786</v>
      </c>
      <c r="K16" s="26">
        <f t="shared" si="3"/>
        <v>-63078.719134147104</v>
      </c>
      <c r="M16" s="1467"/>
      <c r="N16" s="1468"/>
    </row>
    <row r="17" spans="1:14" ht="13.15" customHeight="1">
      <c r="A17" s="24" t="s">
        <v>58</v>
      </c>
      <c r="B17" s="25">
        <f>+'Part VI-Revenues &amp; Expenses'!G111</f>
        <v>29520</v>
      </c>
      <c r="C17" s="25">
        <f>+'Part VI-Revenues &amp; Expenses'!H111</f>
        <v>30110.400000000001</v>
      </c>
      <c r="D17" s="25">
        <f>+'Part VI-Revenues &amp; Expenses'!I111</f>
        <v>30712.608000000004</v>
      </c>
      <c r="E17" s="25">
        <f>+'Part VI-Revenues &amp; Expenses'!J111</f>
        <v>31326.860160000004</v>
      </c>
      <c r="F17" s="25">
        <f>+'Part VI-Revenues &amp; Expenses'!K111</f>
        <v>31953.397363200005</v>
      </c>
      <c r="G17" s="25">
        <f>+'Part VI-Revenues &amp; Expenses'!L111</f>
        <v>32592.465310464006</v>
      </c>
      <c r="H17" s="25">
        <f>+'Part VI-Revenues &amp; Expenses'!M111</f>
        <v>33244.314616673284</v>
      </c>
      <c r="I17" s="25">
        <f>+'Part VI-Revenues &amp; Expenses'!N111</f>
        <v>33909.200909006751</v>
      </c>
      <c r="J17" s="25">
        <f>+'Part VI-Revenues &amp; Expenses'!O111</f>
        <v>34587.384927186889</v>
      </c>
      <c r="K17" s="26">
        <f>+'Part VI-Revenues &amp; Expenses'!P111</f>
        <v>35279.132625730628</v>
      </c>
      <c r="M17" s="1467"/>
      <c r="N17" s="1468"/>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7"/>
      <c r="N18" s="1468"/>
    </row>
    <row r="19" spans="1:14" ht="13.15" customHeight="1">
      <c r="A19" s="24" t="s">
        <v>871</v>
      </c>
      <c r="B19" s="25">
        <f>-('Part VI-Revenues &amp; Expenses'!P157-'Part VI-Revenues &amp; Expenses'!P147)</f>
        <v>-371216</v>
      </c>
      <c r="C19" s="25">
        <f t="shared" ref="C19:K19" si="4">$B$19*(1+$B$6)^(C13-1)</f>
        <v>-382352.48</v>
      </c>
      <c r="D19" s="25">
        <f t="shared" si="4"/>
        <v>-393823.05439999996</v>
      </c>
      <c r="E19" s="25">
        <f t="shared" si="4"/>
        <v>-405637.746032</v>
      </c>
      <c r="F19" s="25">
        <f t="shared" si="4"/>
        <v>-417806.87841295998</v>
      </c>
      <c r="G19" s="25">
        <f t="shared" si="4"/>
        <v>-430341.08476534876</v>
      </c>
      <c r="H19" s="25">
        <f t="shared" si="4"/>
        <v>-443251.31730830926</v>
      </c>
      <c r="I19" s="25">
        <f t="shared" si="4"/>
        <v>-456548.85682755854</v>
      </c>
      <c r="J19" s="25">
        <f t="shared" si="4"/>
        <v>-470245.32253238524</v>
      </c>
      <c r="K19" s="26">
        <f t="shared" si="4"/>
        <v>-484352.6822083568</v>
      </c>
      <c r="M19" s="1467"/>
      <c r="N19" s="1468"/>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-47499</v>
      </c>
      <c r="C20" s="25">
        <f>IF(AND('Part VII-Pro Forma'!$G$8="Yes",'Part VII-Pro Forma'!$G$9="Yes"),"Choose One!",IF('Part VII-Pro Forma'!$G$8="Yes",ROUND((-$K$8*(1+'Part VII-Pro Forma'!$B$6)^('Part VII-Pro Forma'!C13-1)),),IF('Part VII-Pro Forma'!$G$9="Yes",ROUND((-(SUM(C14:C17)*'Part VII-Pro Forma'!$K$9)),),"Choose mgt fee")))</f>
        <v>-48449</v>
      </c>
      <c r="D20" s="25">
        <f>IF(AND('Part VII-Pro Forma'!$G$8="Yes",'Part VII-Pro Forma'!$G$9="Yes"),"Choose One!",IF('Part VII-Pro Forma'!$G$8="Yes",ROUND((-$K$8*(1+'Part VII-Pro Forma'!$B$6)^('Part VII-Pro Forma'!D13-1)),),IF('Part VII-Pro Forma'!$G$9="Yes",ROUND((-(SUM(D14:D17)*'Part VII-Pro Forma'!$K$9)),),"Choose mgt fee")))</f>
        <v>-49418</v>
      </c>
      <c r="E20" s="25">
        <f>IF(AND('Part VII-Pro Forma'!$G$8="Yes",'Part VII-Pro Forma'!$G$9="Yes"),"Choose One!",IF('Part VII-Pro Forma'!$G$8="Yes",ROUND((-$K$8*(1+'Part VII-Pro Forma'!$B$6)^('Part VII-Pro Forma'!E13-1)),),IF('Part VII-Pro Forma'!$G$9="Yes",ROUND((-(SUM(E14:E17)*'Part VII-Pro Forma'!$K$9)),),"Choose mgt fee")))</f>
        <v>-50407</v>
      </c>
      <c r="F20" s="25">
        <f>IF(AND('Part VII-Pro Forma'!$G$8="Yes",'Part VII-Pro Forma'!$G$9="Yes"),"Choose One!",IF('Part VII-Pro Forma'!$G$8="Yes",ROUND((-$K$8*(1+'Part VII-Pro Forma'!$B$6)^('Part VII-Pro Forma'!F13-1)),),IF('Part VII-Pro Forma'!$G$9="Yes",ROUND((-(SUM(F14:F17)*'Part VII-Pro Forma'!$K$9)),),"Choose mgt fee")))</f>
        <v>-51415</v>
      </c>
      <c r="G20" s="25">
        <f>IF(AND('Part VII-Pro Forma'!$G$8="Yes",'Part VII-Pro Forma'!$G$9="Yes"),"Choose One!",IF('Part VII-Pro Forma'!$G$8="Yes",ROUND((-$K$8*(1+'Part VII-Pro Forma'!$B$6)^('Part VII-Pro Forma'!G13-1)),),IF('Part VII-Pro Forma'!$G$9="Yes",ROUND((-(SUM(G14:G17)*'Part VII-Pro Forma'!$K$9)),),"Choose mgt fee")))</f>
        <v>-52443</v>
      </c>
      <c r="H20" s="25">
        <f>IF(AND('Part VII-Pro Forma'!$G$8="Yes",'Part VII-Pro Forma'!$G$9="Yes"),"Choose One!",IF('Part VII-Pro Forma'!$G$8="Yes",ROUND((-$K$8*(1+'Part VII-Pro Forma'!$B$6)^('Part VII-Pro Forma'!H13-1)),),IF('Part VII-Pro Forma'!$G$9="Yes",ROUND((-(SUM(H14:H17)*'Part VII-Pro Forma'!$K$9)),),"Choose mgt fee")))</f>
        <v>-53492</v>
      </c>
      <c r="I20" s="25">
        <f>IF(AND('Part VII-Pro Forma'!$G$8="Yes",'Part VII-Pro Forma'!$G$9="Yes"),"Choose One!",IF('Part VII-Pro Forma'!$G$8="Yes",ROUND((-$K$8*(1+'Part VII-Pro Forma'!$B$6)^('Part VII-Pro Forma'!I13-1)),),IF('Part VII-Pro Forma'!$G$9="Yes",ROUND((-(SUM(I14:I17)*'Part VII-Pro Forma'!$K$9)),),"Choose mgt fee")))</f>
        <v>-54562</v>
      </c>
      <c r="J20" s="25">
        <f>IF(AND('Part VII-Pro Forma'!$G$8="Yes",'Part VII-Pro Forma'!$G$9="Yes"),"Choose One!",IF('Part VII-Pro Forma'!$G$8="Yes",ROUND((-$K$8*(1+'Part VII-Pro Forma'!$B$6)^('Part VII-Pro Forma'!J13-1)),),IF('Part VII-Pro Forma'!$G$9="Yes",ROUND((-(SUM(J14:J17)*'Part VII-Pro Forma'!$K$9)),),"Choose mgt fee")))</f>
        <v>-55653</v>
      </c>
      <c r="K20" s="25">
        <f>IF(AND('Part VII-Pro Forma'!$G$8="Yes",'Part VII-Pro Forma'!$G$9="Yes"),"Choose One!",IF('Part VII-Pro Forma'!$G$8="Yes",ROUND((-$K$8*(1+'Part VII-Pro Forma'!$B$6)^('Part VII-Pro Forma'!K13-1)),),IF('Part VII-Pro Forma'!$G$9="Yes",ROUND((-(SUM(K14:K17)*'Part VII-Pro Forma'!$K$9)),),"Choose mgt fee")))</f>
        <v>-56766</v>
      </c>
      <c r="M20" s="1467"/>
      <c r="N20" s="1468"/>
    </row>
    <row r="21" spans="1:14" ht="13.15" customHeight="1">
      <c r="A21" s="24" t="s">
        <v>1739</v>
      </c>
      <c r="B21" s="25">
        <f>-('Part VI-Revenues &amp; Expenses'!P160)</f>
        <v>-40372</v>
      </c>
      <c r="C21" s="25">
        <f t="shared" ref="C21:K21" si="5">$B$21*(1+$B$7)^(C13-1)</f>
        <v>-41583.160000000003</v>
      </c>
      <c r="D21" s="25">
        <f t="shared" si="5"/>
        <v>-42830.654799999997</v>
      </c>
      <c r="E21" s="25">
        <f t="shared" si="5"/>
        <v>-44115.574443999998</v>
      </c>
      <c r="F21" s="25">
        <f t="shared" si="5"/>
        <v>-45439.041677319998</v>
      </c>
      <c r="G21" s="25">
        <f t="shared" si="5"/>
        <v>-46802.212927639594</v>
      </c>
      <c r="H21" s="25">
        <f t="shared" si="5"/>
        <v>-48206.279315468782</v>
      </c>
      <c r="I21" s="25">
        <f t="shared" si="5"/>
        <v>-49652.46769493285</v>
      </c>
      <c r="J21" s="25">
        <f t="shared" si="5"/>
        <v>-51142.041725780829</v>
      </c>
      <c r="K21" s="26">
        <f t="shared" si="5"/>
        <v>-52676.30297755426</v>
      </c>
      <c r="M21" s="1467"/>
      <c r="N21" s="1468"/>
    </row>
    <row r="22" spans="1:14" ht="13.15" customHeight="1">
      <c r="A22" s="24" t="s">
        <v>1740</v>
      </c>
      <c r="B22" s="25">
        <f t="shared" ref="B22:K22" si="6">SUM(B14:B21)</f>
        <v>271672.2696</v>
      </c>
      <c r="C22" s="25">
        <f t="shared" si="6"/>
        <v>272989.814992</v>
      </c>
      <c r="D22" s="25">
        <f t="shared" si="6"/>
        <v>274210.23489183997</v>
      </c>
      <c r="E22" s="25">
        <f t="shared" si="6"/>
        <v>275327.26249767689</v>
      </c>
      <c r="F22" s="25">
        <f t="shared" si="6"/>
        <v>276336.41454287025</v>
      </c>
      <c r="G22" s="25">
        <f t="shared" si="6"/>
        <v>277230.98363282502</v>
      </c>
      <c r="H22" s="25">
        <f t="shared" si="6"/>
        <v>278004.03032855171</v>
      </c>
      <c r="I22" s="25">
        <f t="shared" si="6"/>
        <v>278649.3749688848</v>
      </c>
      <c r="J22" s="25">
        <f t="shared" si="6"/>
        <v>279160.58922303759</v>
      </c>
      <c r="K22" s="26">
        <f t="shared" si="6"/>
        <v>279529.9873649166</v>
      </c>
      <c r="M22" s="1467"/>
      <c r="N22" s="1468"/>
    </row>
    <row r="23" spans="1:14" ht="13.15" customHeight="1">
      <c r="A23" s="678" t="s">
        <v>2195</v>
      </c>
      <c r="B23" s="1572">
        <v>-200651.85875759448</v>
      </c>
      <c r="C23" s="1572">
        <v>-200463.9169807586</v>
      </c>
      <c r="D23" s="1572">
        <v>-200268.80498221022</v>
      </c>
      <c r="E23" s="1572">
        <v>-200066.24920872308</v>
      </c>
      <c r="F23" s="1572">
        <v>-199855.96567066171</v>
      </c>
      <c r="G23" s="1572">
        <v>-199637.80350000001</v>
      </c>
      <c r="H23" s="1572">
        <v>-199411.16999999998</v>
      </c>
      <c r="I23" s="1572">
        <v>-199175.88750000001</v>
      </c>
      <c r="J23" s="1572">
        <v>-198931.6275</v>
      </c>
      <c r="K23" s="1572">
        <v>-198678.05249999999</v>
      </c>
      <c r="M23" s="1467"/>
      <c r="N23" s="1468"/>
    </row>
    <row r="24" spans="1:14" ht="13.15" customHeight="1">
      <c r="A24" s="678" t="s">
        <v>2196</v>
      </c>
      <c r="B24" s="1573">
        <v>-14559.184222693129</v>
      </c>
      <c r="C24" s="1573">
        <v>-14867.809092304486</v>
      </c>
      <c r="D24" s="1573">
        <v>-15157.993131474097</v>
      </c>
      <c r="E24" s="1573">
        <v>-15428.507724235529</v>
      </c>
      <c r="F24" s="1573">
        <v>-15678.49201880275</v>
      </c>
      <c r="G24" s="1573">
        <v>-15906.601927229127</v>
      </c>
      <c r="H24" s="1573">
        <v>-16111.536367353105</v>
      </c>
      <c r="I24" s="1573">
        <v>-16292.064931121382</v>
      </c>
      <c r="J24" s="1573">
        <v>-16446.937153222705</v>
      </c>
      <c r="K24" s="1573">
        <v>-16574.646647307902</v>
      </c>
      <c r="M24" s="1467"/>
      <c r="N24" s="1468"/>
    </row>
    <row r="25" spans="1:14" ht="13.15" customHeight="1">
      <c r="A25" s="678" t="s">
        <v>2197</v>
      </c>
      <c r="B25" s="1573">
        <v>0</v>
      </c>
      <c r="C25" s="1573">
        <v>0</v>
      </c>
      <c r="D25" s="1573">
        <v>0</v>
      </c>
      <c r="E25" s="1573">
        <v>0</v>
      </c>
      <c r="F25" s="1573">
        <v>0</v>
      </c>
      <c r="G25" s="1573">
        <v>0</v>
      </c>
      <c r="H25" s="1573">
        <v>0</v>
      </c>
      <c r="I25" s="1573">
        <v>0</v>
      </c>
      <c r="J25" s="1573">
        <v>0</v>
      </c>
      <c r="K25" s="1573">
        <v>0</v>
      </c>
      <c r="M25" s="1467"/>
      <c r="N25" s="1468"/>
    </row>
    <row r="26" spans="1:14" ht="13.15" customHeight="1">
      <c r="A26" s="24" t="s">
        <v>1266</v>
      </c>
      <c r="B26" s="1573">
        <v>0</v>
      </c>
      <c r="C26" s="1573">
        <v>0</v>
      </c>
      <c r="D26" s="1573">
        <v>0</v>
      </c>
      <c r="E26" s="1573">
        <v>0</v>
      </c>
      <c r="F26" s="1573">
        <v>0</v>
      </c>
      <c r="G26" s="1573">
        <v>0</v>
      </c>
      <c r="H26" s="1573">
        <v>0</v>
      </c>
      <c r="I26" s="1573">
        <v>0</v>
      </c>
      <c r="J26" s="1573">
        <v>0</v>
      </c>
      <c r="K26" s="1573">
        <v>0</v>
      </c>
      <c r="M26" s="1467"/>
      <c r="N26" s="1468"/>
    </row>
    <row r="27" spans="1:14" ht="13.15" customHeight="1">
      <c r="A27" s="24" t="s">
        <v>1241</v>
      </c>
      <c r="B27" s="1574"/>
      <c r="C27" s="1574"/>
      <c r="D27" s="1574"/>
      <c r="E27" s="1574"/>
      <c r="F27" s="1574"/>
      <c r="G27" s="1574"/>
      <c r="H27" s="1574"/>
      <c r="I27" s="1574"/>
      <c r="J27" s="1574"/>
      <c r="K27" s="1574"/>
      <c r="M27" s="1467"/>
      <c r="N27" s="1468"/>
    </row>
    <row r="28" spans="1:14" ht="13.15" customHeight="1">
      <c r="A28" s="24" t="s">
        <v>1686</v>
      </c>
      <c r="B28" s="1573">
        <v>-7500</v>
      </c>
      <c r="C28" s="1573">
        <v>-7725</v>
      </c>
      <c r="D28" s="1573">
        <v>-7956.75</v>
      </c>
      <c r="E28" s="1573">
        <v>-8195.4524999999994</v>
      </c>
      <c r="F28" s="1573">
        <v>-8441.3160749999988</v>
      </c>
      <c r="G28" s="1573">
        <v>-8694.5555572499998</v>
      </c>
      <c r="H28" s="1573">
        <v>-8955.3922239674994</v>
      </c>
      <c r="I28" s="1573">
        <v>-9224.0539906865251</v>
      </c>
      <c r="J28" s="1573">
        <v>-9500.7756104071213</v>
      </c>
      <c r="K28" s="1573">
        <v>-9785.7988787193353</v>
      </c>
      <c r="M28" s="1467"/>
      <c r="N28" s="1468"/>
    </row>
    <row r="29" spans="1:14" ht="13.15" customHeight="1">
      <c r="A29" s="24" t="s">
        <v>1741</v>
      </c>
      <c r="B29" s="1575">
        <v>-13525.877281010475</v>
      </c>
      <c r="C29" s="1575">
        <v>-13525.877281010475</v>
      </c>
      <c r="D29" s="1575">
        <v>-13525.877281010475</v>
      </c>
      <c r="E29" s="1575">
        <v>-13525.877281010475</v>
      </c>
      <c r="F29" s="1575">
        <v>-13525.877281010475</v>
      </c>
      <c r="G29" s="1575">
        <v>-13525.877281010475</v>
      </c>
      <c r="H29" s="1575">
        <v>-13525.877281010475</v>
      </c>
      <c r="I29" s="1575">
        <v>-13525.877281010475</v>
      </c>
      <c r="J29" s="1575">
        <v>-13525.877281010475</v>
      </c>
      <c r="K29" s="1575">
        <v>-13525.877281010475</v>
      </c>
      <c r="M29" s="1467"/>
      <c r="N29" s="1468"/>
    </row>
    <row r="30" spans="1:14" ht="13.15" customHeight="1">
      <c r="A30" s="24" t="s">
        <v>1687</v>
      </c>
      <c r="B30" s="25">
        <f t="shared" ref="B30:K30" si="7">SUM(B22:B29)</f>
        <v>35435.349338701912</v>
      </c>
      <c r="C30" s="25">
        <f t="shared" si="7"/>
        <v>36407.211637926433</v>
      </c>
      <c r="D30" s="25">
        <f t="shared" si="7"/>
        <v>37300.809497145179</v>
      </c>
      <c r="E30" s="25">
        <f t="shared" si="7"/>
        <v>38111.175783707804</v>
      </c>
      <c r="F30" s="25">
        <f t="shared" si="7"/>
        <v>38834.763497395325</v>
      </c>
      <c r="G30" s="25">
        <f t="shared" si="7"/>
        <v>39466.145367335412</v>
      </c>
      <c r="H30" s="25">
        <f t="shared" si="7"/>
        <v>40000.054456220649</v>
      </c>
      <c r="I30" s="25">
        <f t="shared" si="7"/>
        <v>40431.491266066412</v>
      </c>
      <c r="J30" s="25">
        <f t="shared" si="7"/>
        <v>40755.371678397278</v>
      </c>
      <c r="K30" s="26">
        <f t="shared" si="7"/>
        <v>40965.612057878898</v>
      </c>
      <c r="M30" s="1467"/>
      <c r="N30" s="1468"/>
    </row>
    <row r="31" spans="1:14" ht="13.15" customHeight="1">
      <c r="A31" s="24" t="str">
        <f>IF('Part III A-Sources of Funds'!$E$32 = "Neither", "", "DCR Mortgage A")</f>
        <v>DCR Mortgage A</v>
      </c>
      <c r="B31" s="27">
        <f>IF(B23=0,"",-B22/B23)</f>
        <v>1.3539484322854172</v>
      </c>
      <c r="C31" s="27">
        <f t="shared" ref="C31:K31" si="8">IF(C23=0,"",-C22/C23)</f>
        <v>1.3617902867686795</v>
      </c>
      <c r="D31" s="27">
        <f t="shared" si="8"/>
        <v>1.3692109208730632</v>
      </c>
      <c r="E31" s="27">
        <f t="shared" si="8"/>
        <v>1.3761804581563193</v>
      </c>
      <c r="F31" s="27">
        <f t="shared" si="8"/>
        <v>1.3826778380898521</v>
      </c>
      <c r="G31" s="27">
        <f t="shared" si="8"/>
        <v>1.3886697748246113</v>
      </c>
      <c r="H31" s="27">
        <f t="shared" si="8"/>
        <v>1.3941246637716018</v>
      </c>
      <c r="I31" s="27">
        <f t="shared" si="8"/>
        <v>1.399011589537337</v>
      </c>
      <c r="J31" s="27">
        <f t="shared" si="8"/>
        <v>1.4032991773670458</v>
      </c>
      <c r="K31" s="28">
        <f t="shared" si="8"/>
        <v>1.4069495037199271</v>
      </c>
      <c r="M31" s="1467"/>
      <c r="N31" s="1468"/>
    </row>
    <row r="32" spans="1:14" ht="13.15" customHeight="1">
      <c r="A32" s="24" t="str">
        <f>IF('Part III A-Sources of Funds'!$E$32 = "Neither", "", "DCR Mortgage B")</f>
        <v>DCR Mortgage B</v>
      </c>
      <c r="B32" s="27">
        <f t="shared" ref="B32:K32" si="9">IF(OR(B24=0,AND(B24=0,B23=0)),"",-B22/(B23+B24))</f>
        <v>1.2623528320750901</v>
      </c>
      <c r="C32" s="27">
        <f t="shared" si="9"/>
        <v>1.2677640214492742</v>
      </c>
      <c r="D32" s="27">
        <f t="shared" si="9"/>
        <v>1.2728696582452785</v>
      </c>
      <c r="E32" s="27">
        <f t="shared" si="9"/>
        <v>1.2776517926296111</v>
      </c>
      <c r="F32" s="27">
        <f t="shared" si="9"/>
        <v>1.2820985447301767</v>
      </c>
      <c r="G32" s="27">
        <f t="shared" si="9"/>
        <v>1.2861896511919544</v>
      </c>
      <c r="H32" s="27">
        <f t="shared" si="9"/>
        <v>1.2899059918758664</v>
      </c>
      <c r="I32" s="27">
        <f t="shared" si="9"/>
        <v>1.29322886222702</v>
      </c>
      <c r="J32" s="27">
        <f t="shared" si="9"/>
        <v>1.2961391477026007</v>
      </c>
      <c r="K32" s="28">
        <f t="shared" si="9"/>
        <v>1.2986131578011972</v>
      </c>
      <c r="M32" s="1467"/>
      <c r="N32" s="1468"/>
    </row>
    <row r="33" spans="1:14" ht="13.15" customHeight="1">
      <c r="A33" s="24" t="str">
        <f>IF('Part III A-Sources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67"/>
      <c r="N33" s="1468"/>
    </row>
    <row r="34" spans="1:14" ht="13.15" customHeight="1">
      <c r="A34" s="24" t="s">
        <v>1267</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67"/>
      <c r="N34" s="1468"/>
    </row>
    <row r="35" spans="1:14" ht="13.15" customHeight="1">
      <c r="A35" s="24" t="s">
        <v>1250</v>
      </c>
      <c r="B35" s="378">
        <f>IF(OR(B20="Choose mgt fee",B20="Choose One!"),"",(B14+B15+B16+B17+B18) / -(B19+B20+B21))</f>
        <v>1.5917664181298969</v>
      </c>
      <c r="C35" s="378">
        <f t="shared" ref="C35:K35" si="12">IF(OR(C20="Choose mgt fee",C20="Choose One!"),"",(C14+C15+C16+C17+C18) / -(C19+C20+C21))</f>
        <v>1.5778973147645106</v>
      </c>
      <c r="D35" s="378">
        <f t="shared" si="12"/>
        <v>1.5641353522572796</v>
      </c>
      <c r="E35" s="378">
        <f t="shared" si="12"/>
        <v>1.5504780191992227</v>
      </c>
      <c r="F35" s="378">
        <f t="shared" si="12"/>
        <v>1.5369290804019009</v>
      </c>
      <c r="G35" s="378">
        <f t="shared" si="12"/>
        <v>1.5234859452378455</v>
      </c>
      <c r="H35" s="378">
        <f t="shared" si="12"/>
        <v>1.5101463182116639</v>
      </c>
      <c r="I35" s="378">
        <f t="shared" si="12"/>
        <v>1.4969108406049272</v>
      </c>
      <c r="J35" s="378">
        <f t="shared" si="12"/>
        <v>1.4837800031232165</v>
      </c>
      <c r="K35" s="379">
        <f t="shared" si="12"/>
        <v>1.4707516808640588</v>
      </c>
      <c r="M35" s="1467"/>
      <c r="N35" s="1468"/>
    </row>
    <row r="36" spans="1:14" ht="13.15" customHeight="1">
      <c r="A36" s="678" t="s">
        <v>3664</v>
      </c>
      <c r="B36" s="1576">
        <f>IF('Part III A-Sources of Funds'!$H$32="","",-FV('Part III A-Sources of Funds'!$J$32/12,12,B23/12,'Part III A-Sources of Funds'!$H$32))</f>
        <v>3740838.1712953378</v>
      </c>
      <c r="C36" s="1576">
        <f>IF('Part III A-Sources of Funds'!$H$32="","",-FV('Part III A-Sources of Funds'!$J$32/12,12,C23/12,B36))</f>
        <v>3679610.4482676554</v>
      </c>
      <c r="D36" s="1576">
        <f>IF('Part III A-Sources of Funds'!$H$32="","",-FV('Part III A-Sources of Funds'!$J$32/12,12,D23/12,C36))</f>
        <v>3616245.3091309364</v>
      </c>
      <c r="E36" s="1576">
        <f>IF('Part III A-Sources of Funds'!$H$32="","",-FV('Part III A-Sources of Funds'!$J$32/12,12,E23/12,D36))</f>
        <v>3550668.7817548253</v>
      </c>
      <c r="F36" s="1576">
        <f>IF('Part III A-Sources of Funds'!$H$32="","",-FV('Part III A-Sources of Funds'!$J$32/12,12,F23/12,E36))</f>
        <v>3482804.3607984912</v>
      </c>
      <c r="G36" s="1576">
        <f>IF('Part III A-Sources of Funds'!$H$32="","",-FV('Part III A-Sources of Funds'!$J$32/12,12,G23/12,F36))</f>
        <v>3412572.775631736</v>
      </c>
      <c r="H36" s="1576">
        <f>IF('Part III A-Sources of Funds'!$H$32="","",-FV('Part III A-Sources of Funds'!$J$32/12,12,H23/12,G36))</f>
        <v>3339892.3343379335</v>
      </c>
      <c r="I36" s="1576">
        <f>IF('Part III A-Sources of Funds'!$H$32="","",-FV('Part III A-Sources of Funds'!$J$32/12,12,I23/12,H36))</f>
        <v>3264678.4091046569</v>
      </c>
      <c r="J36" s="1576">
        <f>IF('Part III A-Sources of Funds'!$H$32="","",-FV('Part III A-Sources of Funds'!$J$32/12,12,J23/12,I36))</f>
        <v>3186843.4776643724</v>
      </c>
      <c r="K36" s="1576">
        <f>IF('Part III A-Sources of Funds'!$H$32="","",-FV('Part III A-Sources of Funds'!$J$32/12,12,K23/12,J36))</f>
        <v>3106297.0220235442</v>
      </c>
      <c r="M36" s="1467"/>
      <c r="N36" s="1468"/>
    </row>
    <row r="37" spans="1:14" ht="13.15" customHeight="1">
      <c r="A37" s="678" t="s">
        <v>3665</v>
      </c>
      <c r="B37" s="1573">
        <f>IF('Part III A-Sources of Funds'!$H$33="","",-FV('Part III A-Sources of Funds'!$J$33/12,12,B24/12,'Part III A-Sources of Funds'!$H$33))</f>
        <v>867392.40926036553</v>
      </c>
      <c r="C37" s="1573">
        <f>IF('Part III A-Sources of Funds'!$H$33="","",-FV('Part III A-Sources of Funds'!$J$33/12,12,C24/12,B37))</f>
        <v>856837.39547344937</v>
      </c>
      <c r="D37" s="1573">
        <f>IF('Part III A-Sources of Funds'!$H$33="","",-FV('Part III A-Sources of Funds'!$J$33/12,12,D24/12,C37))</f>
        <v>845938.63553785463</v>
      </c>
      <c r="E37" s="1573">
        <f>IF('Part III A-Sources of Funds'!$H$33="","",-FV('Part III A-Sources of Funds'!$J$33/12,12,E24/12,D37))</f>
        <v>834714.12136349105</v>
      </c>
      <c r="F37" s="1573">
        <f>IF('Part III A-Sources of Funds'!$H$33="","",-FV('Part III A-Sources of Funds'!$J$33/12,12,F24/12,E37))</f>
        <v>823182.7978535759</v>
      </c>
      <c r="G37" s="1573">
        <f>IF('Part III A-Sources of Funds'!$H$33="","",-FV('Part III A-Sources of Funds'!$J$33/12,12,G24/12,F37))</f>
        <v>811365.05202565156</v>
      </c>
      <c r="H37" s="1573">
        <f>IF('Part III A-Sources of Funds'!$H$33="","",-FV('Part III A-Sources of Funds'!$J$33/12,12,H24/12,G37))</f>
        <v>799282.67713422759</v>
      </c>
      <c r="I37" s="1573">
        <f>IF('Part III A-Sources of Funds'!$H$33="","",-FV('Part III A-Sources of Funds'!$J$33/12,12,I24/12,H37))</f>
        <v>786958.80888180563</v>
      </c>
      <c r="J37" s="1573">
        <f>IF('Part III A-Sources of Funds'!$H$33="","",-FV('Part III A-Sources of Funds'!$J$33/12,12,J24/12,I37))</f>
        <v>774417.95224980987</v>
      </c>
      <c r="K37" s="1573">
        <f>IF('Part III A-Sources of Funds'!$H$33="","",-FV('Part III A-Sources of Funds'!$J$33/12,12,K24/12,J37))</f>
        <v>761686.24486903183</v>
      </c>
      <c r="M37" s="1467"/>
      <c r="N37" s="1468"/>
    </row>
    <row r="38" spans="1:14" ht="13.15" customHeight="1">
      <c r="A38" s="678" t="s">
        <v>3666</v>
      </c>
      <c r="B38" s="1573" t="str">
        <f>IF('Part III A-Sources of Funds'!$H$34="","",-FV('Part III A-Sources of Funds'!$J$34/12,12,B25/12,'Part III A-Sources of Funds'!$H$34))</f>
        <v/>
      </c>
      <c r="C38" s="1573" t="str">
        <f>IF('Part III A-Sources of Funds'!$H$34="","",-FV('Part III A-Sources of Funds'!$J$34/12,12,C25/12,B38))</f>
        <v/>
      </c>
      <c r="D38" s="1573" t="str">
        <f>IF('Part III A-Sources of Funds'!$H$34="","",-FV('Part III A-Sources of Funds'!$J$34/12,12,D25/12,C38))</f>
        <v/>
      </c>
      <c r="E38" s="1573" t="str">
        <f>IF('Part III A-Sources of Funds'!$H$34="","",-FV('Part III A-Sources of Funds'!$J$34/12,12,E25/12,D38))</f>
        <v/>
      </c>
      <c r="F38" s="1573" t="str">
        <f>IF('Part III A-Sources of Funds'!$H$34="","",-FV('Part III A-Sources of Funds'!$J$34/12,12,F25/12,E38))</f>
        <v/>
      </c>
      <c r="G38" s="1573" t="str">
        <f>IF('Part III A-Sources of Funds'!$H$34="","",-FV('Part III A-Sources of Funds'!$J$34/12,12,G25/12,F38))</f>
        <v/>
      </c>
      <c r="H38" s="1573" t="str">
        <f>IF('Part III A-Sources of Funds'!$H$34="","",-FV('Part III A-Sources of Funds'!$J$34/12,12,H25/12,G38))</f>
        <v/>
      </c>
      <c r="I38" s="1573" t="str">
        <f>IF('Part III A-Sources of Funds'!$H$34="","",-FV('Part III A-Sources of Funds'!$J$34/12,12,I25/12,H38))</f>
        <v/>
      </c>
      <c r="J38" s="1573" t="str">
        <f>IF('Part III A-Sources of Funds'!$H$34="","",-FV('Part III A-Sources of Funds'!$J$34/12,12,J25/12,I38))</f>
        <v/>
      </c>
      <c r="K38" s="1573" t="str">
        <f>IF('Part III A-Sources of Funds'!$H$34="","",-FV('Part III A-Sources of Funds'!$J$34/12,12,K25/12,J38))</f>
        <v/>
      </c>
      <c r="M38" s="1467"/>
      <c r="N38" s="1468"/>
    </row>
    <row r="39" spans="1:14" ht="13.15" customHeight="1">
      <c r="A39" s="24" t="s">
        <v>1268</v>
      </c>
      <c r="B39" s="1573" t="str">
        <f>IF('Part III A-Sources of Funds'!$H$35="","",-FV('Part III A-Sources of Funds'!$J$35/12,12,B24/12,'Part III A-Sources of Funds'!$H$35))</f>
        <v/>
      </c>
      <c r="C39" s="1573" t="str">
        <f>IF('Part III A-Sources of Funds'!$H$35="","",-FV('Part III A-Sources of Funds'!$J$35/12,12,C26/12,B39))</f>
        <v/>
      </c>
      <c r="D39" s="1573" t="str">
        <f>IF('Part III A-Sources of Funds'!$H$35="","",-FV('Part III A-Sources of Funds'!$J$35/12,12,D26/12,C39))</f>
        <v/>
      </c>
      <c r="E39" s="1573" t="str">
        <f>IF('Part III A-Sources of Funds'!$H$35="","",-FV('Part III A-Sources of Funds'!$J$35/12,12,E26/12,D39))</f>
        <v/>
      </c>
      <c r="F39" s="1573" t="str">
        <f>IF('Part III A-Sources of Funds'!$H$35="","",-FV('Part III A-Sources of Funds'!$J$35/12,12,F26/12,E39))</f>
        <v/>
      </c>
      <c r="G39" s="1573" t="str">
        <f>IF('Part III A-Sources of Funds'!$H$35="","",-FV('Part III A-Sources of Funds'!$J$35/12,12,G26/12,F39))</f>
        <v/>
      </c>
      <c r="H39" s="1573" t="str">
        <f>IF('Part III A-Sources of Funds'!$H$35="","",-FV('Part III A-Sources of Funds'!$J$35/12,12,H26/12,G39))</f>
        <v/>
      </c>
      <c r="I39" s="1573" t="str">
        <f>IF('Part III A-Sources of Funds'!$H$35="","",-FV('Part III A-Sources of Funds'!$J$35/12,12,I26/12,H39))</f>
        <v/>
      </c>
      <c r="J39" s="1573" t="str">
        <f>IF('Part III A-Sources of Funds'!$H$35="","",-FV('Part III A-Sources of Funds'!$J$35/12,12,J26/12,I39))</f>
        <v/>
      </c>
      <c r="K39" s="1573" t="str">
        <f>IF('Part III A-Sources of Funds'!$H$35="","",-FV('Part III A-Sources of Funds'!$J$35/12,12,K26/12,J39))</f>
        <v/>
      </c>
      <c r="M39" s="1467"/>
      <c r="N39" s="1468"/>
    </row>
    <row r="40" spans="1:14" ht="13.15" customHeight="1">
      <c r="A40" s="678" t="s">
        <v>3667</v>
      </c>
      <c r="B40" s="1573">
        <f>'Part III A-Sources of Funds'!$H$36</f>
        <v>0</v>
      </c>
      <c r="C40" s="1573">
        <f>B40</f>
        <v>0</v>
      </c>
      <c r="D40" s="1573">
        <f t="shared" ref="D40:K40" si="13">C40</f>
        <v>0</v>
      </c>
      <c r="E40" s="1573">
        <f t="shared" si="13"/>
        <v>0</v>
      </c>
      <c r="F40" s="1573">
        <f t="shared" si="13"/>
        <v>0</v>
      </c>
      <c r="G40" s="1573">
        <f t="shared" si="13"/>
        <v>0</v>
      </c>
      <c r="H40" s="1573">
        <f t="shared" si="13"/>
        <v>0</v>
      </c>
      <c r="I40" s="1573">
        <f t="shared" si="13"/>
        <v>0</v>
      </c>
      <c r="J40" s="1573">
        <f t="shared" si="13"/>
        <v>0</v>
      </c>
      <c r="K40" s="1573">
        <f t="shared" si="13"/>
        <v>0</v>
      </c>
      <c r="M40" s="1467"/>
      <c r="N40" s="1468"/>
    </row>
    <row r="41" spans="1:14" ht="13.15" customHeight="1">
      <c r="A41" s="29" t="s">
        <v>1776</v>
      </c>
      <c r="B41" s="1575">
        <f>IF('Part III A-Sources of Funds'!$H$37="","",-FV('Part III A-Sources of Funds'!$J$37/12,12,B29/12,'Part III A-Sources of Funds'!$H$37))</f>
        <v>155585.82722971865</v>
      </c>
      <c r="C41" s="1575">
        <f>IF('Part III A-Sources of Funds'!$H$37="","",-FV('Part III A-Sources of Funds'!$J$37/12,12,C29/12,B41))</f>
        <v>146435.8124417029</v>
      </c>
      <c r="D41" s="1575">
        <f>IF('Part III A-Sources of Funds'!$H$37="","",-FV('Part III A-Sources of Funds'!$J$37/12,12,D29/12,C41))</f>
        <v>137017.83128712134</v>
      </c>
      <c r="E41" s="1575">
        <f>IF('Part III A-Sources of Funds'!$H$37="","",-FV('Part III A-Sources of Funds'!$J$37/12,12,E29/12,D41))</f>
        <v>127324.036131268</v>
      </c>
      <c r="F41" s="1575">
        <f>IF('Part III A-Sources of Funds'!$H$37="","",-FV('Part III A-Sources of Funds'!$J$37/12,12,F29/12,E41))</f>
        <v>117346.34951443585</v>
      </c>
      <c r="G41" s="1575">
        <f>IF('Part III A-Sources of Funds'!$H$37="","",-FV('Part III A-Sources of Funds'!$J$37/12,12,G29/12,F41))</f>
        <v>107076.4574212861</v>
      </c>
      <c r="H41" s="1575">
        <f>IF('Part III A-Sources of Funds'!$H$37="","",-FV('Part III A-Sources of Funds'!$J$37/12,12,H29/12,G41))</f>
        <v>96505.802353104998</v>
      </c>
      <c r="I41" s="1575">
        <f>IF('Part III A-Sources of Funds'!$H$37="","",-FV('Part III A-Sources of Funds'!$J$37/12,12,I29/12,H41))</f>
        <v>85625.576197175367</v>
      </c>
      <c r="J41" s="1575">
        <f>IF('Part III A-Sources of Funds'!$H$37="","",-FV('Part III A-Sources of Funds'!$J$37/12,12,J29/12,I41))</f>
        <v>74426.712887321381</v>
      </c>
      <c r="K41" s="1575">
        <f>IF('Part III A-Sources of Funds'!$H$37="","",-FV('Part III A-Sources of Funds'!$J$37/12,12,K29/12,J41))</f>
        <v>62899.880849510846</v>
      </c>
      <c r="M41" s="1470"/>
      <c r="N41" s="1471"/>
    </row>
    <row r="42" spans="1:14" ht="4.1500000000000004" customHeight="1">
      <c r="B42" s="20"/>
      <c r="C42" s="20"/>
      <c r="D42" s="20"/>
      <c r="E42" s="20"/>
      <c r="F42" s="20"/>
      <c r="G42" s="20"/>
      <c r="H42" s="20"/>
      <c r="I42" s="20"/>
      <c r="J42" s="20"/>
      <c r="K42" s="20"/>
    </row>
    <row r="43" spans="1:14" ht="14.45" customHeight="1">
      <c r="A43" s="16" t="s">
        <v>3483</v>
      </c>
      <c r="B43" s="18">
        <f>K13+1</f>
        <v>11</v>
      </c>
      <c r="C43" s="18">
        <f t="shared" ref="C43:K43" si="14">B43+1</f>
        <v>12</v>
      </c>
      <c r="D43" s="18">
        <f t="shared" si="14"/>
        <v>13</v>
      </c>
      <c r="E43" s="18">
        <f t="shared" si="14"/>
        <v>14</v>
      </c>
      <c r="F43" s="18">
        <f t="shared" si="14"/>
        <v>15</v>
      </c>
      <c r="G43" s="18">
        <f t="shared" si="14"/>
        <v>16</v>
      </c>
      <c r="H43" s="18">
        <f t="shared" si="14"/>
        <v>17</v>
      </c>
      <c r="I43" s="18">
        <f t="shared" si="14"/>
        <v>18</v>
      </c>
      <c r="J43" s="18">
        <f t="shared" si="14"/>
        <v>19</v>
      </c>
      <c r="K43" s="18">
        <f t="shared" si="14"/>
        <v>20</v>
      </c>
      <c r="M43" s="954" t="s">
        <v>3670</v>
      </c>
      <c r="N43" s="954"/>
    </row>
    <row r="44" spans="1:14" ht="13.15" customHeight="1">
      <c r="A44" s="21" t="s">
        <v>3382</v>
      </c>
      <c r="B44" s="22">
        <f t="shared" ref="B44:K44" si="15">$B$14*(1+$B$5)^(B43-1)</f>
        <v>901124.55905924423</v>
      </c>
      <c r="C44" s="22">
        <f t="shared" si="15"/>
        <v>919147.050240429</v>
      </c>
      <c r="D44" s="22">
        <f t="shared" si="15"/>
        <v>937529.99124523776</v>
      </c>
      <c r="E44" s="22">
        <f t="shared" si="15"/>
        <v>956280.59107014246</v>
      </c>
      <c r="F44" s="22">
        <f t="shared" si="15"/>
        <v>975406.20289154537</v>
      </c>
      <c r="G44" s="22">
        <f t="shared" si="15"/>
        <v>994914.32694937603</v>
      </c>
      <c r="H44" s="22">
        <f t="shared" si="15"/>
        <v>1014812.6134883637</v>
      </c>
      <c r="I44" s="22">
        <f t="shared" si="15"/>
        <v>1035108.865758131</v>
      </c>
      <c r="J44" s="22">
        <f t="shared" si="15"/>
        <v>1055811.0430732935</v>
      </c>
      <c r="K44" s="23">
        <f t="shared" si="15"/>
        <v>1076927.2639347594</v>
      </c>
      <c r="M44" s="1465"/>
      <c r="N44" s="1466"/>
    </row>
    <row r="45" spans="1:14" ht="13.15" customHeight="1">
      <c r="A45" s="24" t="s">
        <v>1519</v>
      </c>
      <c r="B45" s="25">
        <f t="shared" ref="B45:K45" si="16">$B$15*(1+$B$5)^(B43-1)</f>
        <v>18022.491181184887</v>
      </c>
      <c r="C45" s="25">
        <f t="shared" si="16"/>
        <v>18382.941004808581</v>
      </c>
      <c r="D45" s="25">
        <f t="shared" si="16"/>
        <v>18750.599824904755</v>
      </c>
      <c r="E45" s="25">
        <f t="shared" si="16"/>
        <v>19125.61182140285</v>
      </c>
      <c r="F45" s="25">
        <f t="shared" si="16"/>
        <v>19508.124057830908</v>
      </c>
      <c r="G45" s="25">
        <f t="shared" si="16"/>
        <v>19898.286538987522</v>
      </c>
      <c r="H45" s="25">
        <f t="shared" si="16"/>
        <v>20296.252269767276</v>
      </c>
      <c r="I45" s="25">
        <f t="shared" si="16"/>
        <v>20702.177315162622</v>
      </c>
      <c r="J45" s="25">
        <f t="shared" si="16"/>
        <v>21116.220861465874</v>
      </c>
      <c r="K45" s="26">
        <f t="shared" si="16"/>
        <v>21538.54527869519</v>
      </c>
      <c r="M45" s="1467"/>
      <c r="N45" s="1468"/>
    </row>
    <row r="46" spans="1:14" ht="13.15" customHeight="1">
      <c r="A46" s="24" t="s">
        <v>3383</v>
      </c>
      <c r="B46" s="25">
        <f t="shared" ref="B46:K46" si="17">-(B44+B45)*$B$8</f>
        <v>-64340.293516830046</v>
      </c>
      <c r="C46" s="25">
        <f t="shared" si="17"/>
        <v>-65627.099387166629</v>
      </c>
      <c r="D46" s="25">
        <f t="shared" si="17"/>
        <v>-66939.641374909988</v>
      </c>
      <c r="E46" s="25">
        <f t="shared" si="17"/>
        <v>-68278.434202408171</v>
      </c>
      <c r="F46" s="25">
        <f t="shared" si="17"/>
        <v>-69644.00288645635</v>
      </c>
      <c r="G46" s="25">
        <f t="shared" si="17"/>
        <v>-71036.882944185461</v>
      </c>
      <c r="H46" s="25">
        <f t="shared" si="17"/>
        <v>-72457.620603069168</v>
      </c>
      <c r="I46" s="25">
        <f t="shared" si="17"/>
        <v>-73906.773015130573</v>
      </c>
      <c r="J46" s="25">
        <f t="shared" si="17"/>
        <v>-75384.908475433171</v>
      </c>
      <c r="K46" s="26">
        <f t="shared" si="17"/>
        <v>-76892.606644941829</v>
      </c>
      <c r="M46" s="1467"/>
      <c r="N46" s="1468"/>
    </row>
    <row r="47" spans="1:14" ht="13.15" customHeight="1">
      <c r="A47" s="24" t="s">
        <v>58</v>
      </c>
      <c r="B47" s="25">
        <f>+'Part VI-Revenues &amp; Expenses'!G121</f>
        <v>35984.715278245239</v>
      </c>
      <c r="C47" s="25">
        <f>+'Part VI-Revenues &amp; Expenses'!H121</f>
        <v>36704.409583810142</v>
      </c>
      <c r="D47" s="25">
        <f>+'Part VI-Revenues &amp; Expenses'!I121</f>
        <v>37438.497775486343</v>
      </c>
      <c r="E47" s="25">
        <f>+'Part VI-Revenues &amp; Expenses'!J121</f>
        <v>38187.267730996071</v>
      </c>
      <c r="F47" s="25">
        <f>+'Part VI-Revenues &amp; Expenses'!K121</f>
        <v>38951.013085615996</v>
      </c>
      <c r="G47" s="25">
        <f>+'Part VI-Revenues &amp; Expenses'!L121</f>
        <v>39730.033347328317</v>
      </c>
      <c r="H47" s="25">
        <f>+'Part VI-Revenues &amp; Expenses'!M121</f>
        <v>40524.634014274881</v>
      </c>
      <c r="I47" s="25">
        <f>+'Part VI-Revenues &amp; Expenses'!N121</f>
        <v>41335.126694560378</v>
      </c>
      <c r="J47" s="25">
        <f>+'Part VI-Revenues &amp; Expenses'!O121</f>
        <v>42161.829228451585</v>
      </c>
      <c r="K47" s="26">
        <f>+'Part VI-Revenues &amp; Expenses'!P121</f>
        <v>43005.065813020614</v>
      </c>
      <c r="M47" s="1467"/>
      <c r="N47" s="1468"/>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7"/>
      <c r="N48" s="1468"/>
    </row>
    <row r="49" spans="1:14" ht="13.15" customHeight="1">
      <c r="A49" s="24" t="s">
        <v>871</v>
      </c>
      <c r="B49" s="25">
        <f t="shared" ref="B49:K49" si="18">$B$19*(1+$B$6)^(B43-1)</f>
        <v>-498883.26267460751</v>
      </c>
      <c r="C49" s="25">
        <f t="shared" si="18"/>
        <v>-513849.76055484574</v>
      </c>
      <c r="D49" s="25">
        <f t="shared" si="18"/>
        <v>-529265.2533714911</v>
      </c>
      <c r="E49" s="25">
        <f t="shared" si="18"/>
        <v>-545143.21097263577</v>
      </c>
      <c r="F49" s="25">
        <f t="shared" si="18"/>
        <v>-561497.50730181485</v>
      </c>
      <c r="G49" s="25">
        <f t="shared" si="18"/>
        <v>-578342.43252086942</v>
      </c>
      <c r="H49" s="25">
        <f t="shared" si="18"/>
        <v>-595692.70549649536</v>
      </c>
      <c r="I49" s="25">
        <f t="shared" si="18"/>
        <v>-613563.48666139017</v>
      </c>
      <c r="J49" s="25">
        <f t="shared" si="18"/>
        <v>-631970.39126123197</v>
      </c>
      <c r="K49" s="26">
        <f t="shared" si="18"/>
        <v>-650929.50299906882</v>
      </c>
      <c r="M49" s="1467"/>
      <c r="N49" s="1468"/>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-57901</v>
      </c>
      <c r="C50" s="25">
        <f>IF(AND('Part VII-Pro Forma'!$G$8="Yes",'Part VII-Pro Forma'!$G$9="Yes"),"Choose One!",IF('Part VII-Pro Forma'!$G$8="Yes",ROUND((-$K$8*(1+'Part VII-Pro Forma'!$B$6)^('Part VII-Pro Forma'!C43-1)),),IF('Part VII-Pro Forma'!$G$9="Yes",ROUND((-(SUM(C44:C47)*'Part VII-Pro Forma'!$K$9)),),"Choose mgt fee")))</f>
        <v>-59059</v>
      </c>
      <c r="D50" s="25">
        <f>IF(AND('Part VII-Pro Forma'!$G$8="Yes",'Part VII-Pro Forma'!$G$9="Yes"),"Choose One!",IF('Part VII-Pro Forma'!$G$8="Yes",ROUND((-$K$8*(1+'Part VII-Pro Forma'!$B$6)^('Part VII-Pro Forma'!D43-1)),),IF('Part VII-Pro Forma'!$G$9="Yes",ROUND((-(SUM(D44:D47)*'Part VII-Pro Forma'!$K$9)),),"Choose mgt fee")))</f>
        <v>-60241</v>
      </c>
      <c r="E50" s="25">
        <f>IF(AND('Part VII-Pro Forma'!$G$8="Yes",'Part VII-Pro Forma'!$G$9="Yes"),"Choose One!",IF('Part VII-Pro Forma'!$G$8="Yes",ROUND((-$K$8*(1+'Part VII-Pro Forma'!$B$6)^('Part VII-Pro Forma'!E43-1)),),IF('Part VII-Pro Forma'!$G$9="Yes",ROUND((-(SUM(E44:E47)*'Part VII-Pro Forma'!$K$9)),),"Choose mgt fee")))</f>
        <v>-61445</v>
      </c>
      <c r="F50" s="25">
        <f>IF(AND('Part VII-Pro Forma'!$G$8="Yes",'Part VII-Pro Forma'!$G$9="Yes"),"Choose One!",IF('Part VII-Pro Forma'!$G$8="Yes",ROUND((-$K$8*(1+'Part VII-Pro Forma'!$B$6)^('Part VII-Pro Forma'!F43-1)),),IF('Part VII-Pro Forma'!$G$9="Yes",ROUND((-(SUM(F44:F47)*'Part VII-Pro Forma'!$K$9)),),"Choose mgt fee")))</f>
        <v>-62674</v>
      </c>
      <c r="G50" s="25">
        <f>IF(AND('Part VII-Pro Forma'!$G$8="Yes",'Part VII-Pro Forma'!$G$9="Yes"),"Choose One!",IF('Part VII-Pro Forma'!$G$8="Yes",ROUND((-$K$8*(1+'Part VII-Pro Forma'!$B$6)^('Part VII-Pro Forma'!G43-1)),),IF('Part VII-Pro Forma'!$G$9="Yes",ROUND((-(SUM(G44:G47)*'Part VII-Pro Forma'!$K$9)),),"Choose mgt fee")))</f>
        <v>-63928</v>
      </c>
      <c r="H50" s="25">
        <f>IF(AND('Part VII-Pro Forma'!$G$8="Yes",'Part VII-Pro Forma'!$G$9="Yes"),"Choose One!",IF('Part VII-Pro Forma'!$G$8="Yes",ROUND((-$K$8*(1+'Part VII-Pro Forma'!$B$6)^('Part VII-Pro Forma'!H43-1)),),IF('Part VII-Pro Forma'!$G$9="Yes",ROUND((-(SUM(H44:H47)*'Part VII-Pro Forma'!$K$9)),),"Choose mgt fee")))</f>
        <v>-65206</v>
      </c>
      <c r="I50" s="25">
        <f>IF(AND('Part VII-Pro Forma'!$G$8="Yes",'Part VII-Pro Forma'!$G$9="Yes"),"Choose One!",IF('Part VII-Pro Forma'!$G$8="Yes",ROUND((-$K$8*(1+'Part VII-Pro Forma'!$B$6)^('Part VII-Pro Forma'!I43-1)),),IF('Part VII-Pro Forma'!$G$9="Yes",ROUND((-(SUM(I44:I47)*'Part VII-Pro Forma'!$K$9)),),"Choose mgt fee")))</f>
        <v>-66511</v>
      </c>
      <c r="J50" s="25">
        <f>IF(AND('Part VII-Pro Forma'!$G$8="Yes",'Part VII-Pro Forma'!$G$9="Yes"),"Choose One!",IF('Part VII-Pro Forma'!$G$8="Yes",ROUND((-$K$8*(1+'Part VII-Pro Forma'!$B$6)^('Part VII-Pro Forma'!J43-1)),),IF('Part VII-Pro Forma'!$G$9="Yes",ROUND((-(SUM(J44:J47)*'Part VII-Pro Forma'!$K$9)),),"Choose mgt fee")))</f>
        <v>-67841</v>
      </c>
      <c r="K50" s="25">
        <f>IF(AND('Part VII-Pro Forma'!$G$8="Yes",'Part VII-Pro Forma'!$G$9="Yes"),"Choose One!",IF('Part VII-Pro Forma'!$G$8="Yes",ROUND((-$K$8*(1+'Part VII-Pro Forma'!$B$6)^('Part VII-Pro Forma'!K43-1)),),IF('Part VII-Pro Forma'!$G$9="Yes",ROUND((-(SUM(K44:K47)*'Part VII-Pro Forma'!$K$9)),),"Choose mgt fee")))</f>
        <v>-69198</v>
      </c>
      <c r="M50" s="1467"/>
      <c r="N50" s="1468"/>
    </row>
    <row r="51" spans="1:14" ht="13.15" customHeight="1">
      <c r="A51" s="24" t="s">
        <v>1739</v>
      </c>
      <c r="B51" s="25">
        <f t="shared" ref="B51:K51" si="19">$B$21*(1+$B$7)^(B43-1)</f>
        <v>-54256.592066880883</v>
      </c>
      <c r="C51" s="25">
        <f t="shared" si="19"/>
        <v>-55884.289828887311</v>
      </c>
      <c r="D51" s="25">
        <f t="shared" si="19"/>
        <v>-57560.818523753922</v>
      </c>
      <c r="E51" s="25">
        <f t="shared" si="19"/>
        <v>-59287.643079466536</v>
      </c>
      <c r="F51" s="25">
        <f t="shared" si="19"/>
        <v>-61066.272371850544</v>
      </c>
      <c r="G51" s="25">
        <f t="shared" si="19"/>
        <v>-62898.260543006065</v>
      </c>
      <c r="H51" s="25">
        <f t="shared" si="19"/>
        <v>-64785.20835929623</v>
      </c>
      <c r="I51" s="25">
        <f t="shared" si="19"/>
        <v>-66728.764610075115</v>
      </c>
      <c r="J51" s="25">
        <f t="shared" si="19"/>
        <v>-68730.627548377379</v>
      </c>
      <c r="K51" s="26">
        <f t="shared" si="19"/>
        <v>-70792.546374828686</v>
      </c>
      <c r="M51" s="1467"/>
      <c r="N51" s="1468"/>
    </row>
    <row r="52" spans="1:14" ht="13.15" customHeight="1">
      <c r="A52" s="24" t="s">
        <v>1740</v>
      </c>
      <c r="B52" s="25">
        <f t="shared" ref="B52:K52" si="20">SUM(B44:B51)</f>
        <v>279750.61726035591</v>
      </c>
      <c r="C52" s="25">
        <f t="shared" si="20"/>
        <v>279814.25105814793</v>
      </c>
      <c r="D52" s="25">
        <f t="shared" si="20"/>
        <v>279712.37557547388</v>
      </c>
      <c r="E52" s="25">
        <f t="shared" si="20"/>
        <v>279439.18236803089</v>
      </c>
      <c r="F52" s="25">
        <f t="shared" si="20"/>
        <v>278983.55747487058</v>
      </c>
      <c r="G52" s="25">
        <f t="shared" si="20"/>
        <v>278337.07082763087</v>
      </c>
      <c r="H52" s="25">
        <f t="shared" si="20"/>
        <v>277491.96531354508</v>
      </c>
      <c r="I52" s="25">
        <f t="shared" si="20"/>
        <v>276436.14548125834</v>
      </c>
      <c r="J52" s="25">
        <f t="shared" si="20"/>
        <v>275162.16587816854</v>
      </c>
      <c r="K52" s="26">
        <f t="shared" si="20"/>
        <v>273658.21900763595</v>
      </c>
      <c r="M52" s="1467"/>
      <c r="N52" s="1468"/>
    </row>
    <row r="53" spans="1:14" ht="13.15" customHeight="1">
      <c r="A53" s="24" t="str">
        <f>$A23</f>
        <v>Mortgage A</v>
      </c>
      <c r="B53" s="1572">
        <v>-198414.80249999999</v>
      </c>
      <c r="C53" s="1572">
        <v>-198141.5085</v>
      </c>
      <c r="D53" s="1572">
        <v>-197857.788</v>
      </c>
      <c r="E53" s="1572">
        <v>-197563.245</v>
      </c>
      <c r="F53" s="1572">
        <v>-197257.46100000001</v>
      </c>
      <c r="G53" s="1572">
        <v>-196940.01300000001</v>
      </c>
      <c r="H53" s="1572">
        <v>-196610.45550000001</v>
      </c>
      <c r="I53" s="1572">
        <v>-196268.3205</v>
      </c>
      <c r="J53" s="1572">
        <v>-195913.14</v>
      </c>
      <c r="K53" s="1572">
        <v>-195544.40100000001</v>
      </c>
      <c r="M53" s="1467"/>
      <c r="N53" s="1468"/>
    </row>
    <row r="54" spans="1:14" ht="13.15" customHeight="1">
      <c r="A54" s="24" t="str">
        <f>$A24</f>
        <v>Mortgage B</v>
      </c>
      <c r="B54" s="1573">
        <v>-16673.842025872964</v>
      </c>
      <c r="C54" s="1573">
        <v>-16742.912224420324</v>
      </c>
      <c r="D54" s="1573">
        <v>-16780.190452972143</v>
      </c>
      <c r="E54" s="1573">
        <v>-16784.567160446331</v>
      </c>
      <c r="F54" s="1573">
        <v>-16753.849777348467</v>
      </c>
      <c r="G54" s="1573">
        <v>-16686.396854664326</v>
      </c>
      <c r="H54" s="1573">
        <v>-16580.709511776739</v>
      </c>
      <c r="I54" s="1573">
        <v>-16434.404121157957</v>
      </c>
      <c r="J54" s="1573">
        <v>-16246.050305024546</v>
      </c>
      <c r="K54" s="1573">
        <v>-16013.332691565367</v>
      </c>
      <c r="M54" s="1467"/>
      <c r="N54" s="1468"/>
    </row>
    <row r="55" spans="1:14" ht="13.15" customHeight="1">
      <c r="A55" s="24" t="str">
        <f>$A25</f>
        <v>Mortgage C</v>
      </c>
      <c r="B55" s="1573">
        <v>0</v>
      </c>
      <c r="C55" s="1573">
        <v>0</v>
      </c>
      <c r="D55" s="1573">
        <v>0</v>
      </c>
      <c r="E55" s="1573">
        <v>0</v>
      </c>
      <c r="F55" s="1573">
        <v>0</v>
      </c>
      <c r="G55" s="1573">
        <v>0</v>
      </c>
      <c r="H55" s="1573">
        <v>0</v>
      </c>
      <c r="I55" s="1573">
        <v>0</v>
      </c>
      <c r="J55" s="1573">
        <v>0</v>
      </c>
      <c r="K55" s="1573">
        <v>0</v>
      </c>
      <c r="M55" s="1467"/>
      <c r="N55" s="1468"/>
    </row>
    <row r="56" spans="1:14" ht="13.15" customHeight="1">
      <c r="A56" s="24" t="str">
        <f>$A26</f>
        <v>D/S Other Source</v>
      </c>
      <c r="B56" s="1573">
        <v>0</v>
      </c>
      <c r="C56" s="1573">
        <v>0</v>
      </c>
      <c r="D56" s="1573">
        <v>0</v>
      </c>
      <c r="E56" s="1573">
        <v>0</v>
      </c>
      <c r="F56" s="1573">
        <v>0</v>
      </c>
      <c r="G56" s="1573">
        <v>0</v>
      </c>
      <c r="H56" s="1573">
        <v>0</v>
      </c>
      <c r="I56" s="1573">
        <v>0</v>
      </c>
      <c r="J56" s="1573">
        <v>0</v>
      </c>
      <c r="K56" s="1573">
        <v>0</v>
      </c>
      <c r="M56" s="1467"/>
      <c r="N56" s="1468"/>
    </row>
    <row r="57" spans="1:14" ht="13.15" customHeight="1">
      <c r="A57" s="24" t="s">
        <v>1241</v>
      </c>
      <c r="B57" s="1574"/>
      <c r="C57" s="1574"/>
      <c r="D57" s="1574"/>
      <c r="E57" s="1574"/>
      <c r="F57" s="1574"/>
      <c r="G57" s="1574"/>
      <c r="H57" s="1574"/>
      <c r="I57" s="1574"/>
      <c r="J57" s="1574"/>
      <c r="K57" s="1574"/>
      <c r="M57" s="1467"/>
      <c r="N57" s="1468"/>
    </row>
    <row r="58" spans="1:14" ht="13.15" customHeight="1">
      <c r="A58" s="24" t="s">
        <v>1686</v>
      </c>
      <c r="B58" s="1573">
        <v>-10079.372845080916</v>
      </c>
      <c r="C58" s="1573">
        <v>-10381.754030433343</v>
      </c>
      <c r="D58" s="1573">
        <v>-10693.206651346343</v>
      </c>
      <c r="E58" s="1573">
        <v>-11014.002850886734</v>
      </c>
      <c r="F58" s="1573">
        <v>-11344.422936413337</v>
      </c>
      <c r="G58" s="1573">
        <v>-11684.755624505737</v>
      </c>
      <c r="H58" s="1573">
        <v>-12035.298293240909</v>
      </c>
      <c r="I58" s="1573">
        <v>-12396.357242038137</v>
      </c>
      <c r="J58" s="1573">
        <v>-12768.247959299282</v>
      </c>
      <c r="K58" s="1573">
        <v>-13151.29539807826</v>
      </c>
      <c r="M58" s="1467"/>
      <c r="N58" s="1468"/>
    </row>
    <row r="59" spans="1:14" ht="13.15" customHeight="1">
      <c r="A59" s="24" t="s">
        <v>1741</v>
      </c>
      <c r="B59" s="1575">
        <v>-13525.877281010475</v>
      </c>
      <c r="C59" s="1575">
        <v>-13525.877281010475</v>
      </c>
      <c r="D59" s="1575">
        <v>-13525.877281010475</v>
      </c>
      <c r="E59" s="1575">
        <v>-13525.877281010475</v>
      </c>
      <c r="F59" s="1575">
        <v>-13525.877281010475</v>
      </c>
      <c r="G59" s="1575"/>
      <c r="H59" s="1575"/>
      <c r="I59" s="1575"/>
      <c r="J59" s="1575"/>
      <c r="K59" s="1573"/>
      <c r="M59" s="1467"/>
      <c r="N59" s="1468"/>
    </row>
    <row r="60" spans="1:14" ht="13.15" customHeight="1">
      <c r="A60" s="24" t="s">
        <v>1687</v>
      </c>
      <c r="B60" s="25">
        <f t="shared" ref="B60:K60" si="21">SUM(B52:B59)</f>
        <v>41056.722608391574</v>
      </c>
      <c r="C60" s="25">
        <f t="shared" si="21"/>
        <v>41022.199022283792</v>
      </c>
      <c r="D60" s="25">
        <f t="shared" si="21"/>
        <v>40855.313190144923</v>
      </c>
      <c r="E60" s="25">
        <f t="shared" si="21"/>
        <v>40551.490075687354</v>
      </c>
      <c r="F60" s="25">
        <f t="shared" si="21"/>
        <v>40101.946480098297</v>
      </c>
      <c r="G60" s="25">
        <f t="shared" si="21"/>
        <v>53025.905348460801</v>
      </c>
      <c r="H60" s="25">
        <f t="shared" si="21"/>
        <v>52265.502008527423</v>
      </c>
      <c r="I60" s="25">
        <f t="shared" si="21"/>
        <v>51337.063618062239</v>
      </c>
      <c r="J60" s="25">
        <f t="shared" si="21"/>
        <v>50234.727613844698</v>
      </c>
      <c r="K60" s="23">
        <f t="shared" si="21"/>
        <v>48949.189917992313</v>
      </c>
      <c r="M60" s="1467"/>
      <c r="N60" s="1468"/>
    </row>
    <row r="61" spans="1:14" ht="13.15" customHeight="1">
      <c r="A61" s="24" t="str">
        <f>$A31</f>
        <v>DCR Mortgage A</v>
      </c>
      <c r="B61" s="27">
        <f>IF(B53=0,"",-B52/B53)</f>
        <v>1.4099281592680362</v>
      </c>
      <c r="C61" s="27">
        <f t="shared" ref="C61:K61" si="22">IF(C53=0,"",-C52/C53)</f>
        <v>1.4121940080926958</v>
      </c>
      <c r="D61" s="27">
        <f t="shared" si="22"/>
        <v>1.4137041478269932</v>
      </c>
      <c r="E61" s="27">
        <f t="shared" si="22"/>
        <v>1.4144289964868257</v>
      </c>
      <c r="F61" s="27">
        <f t="shared" si="22"/>
        <v>1.4143118139134447</v>
      </c>
      <c r="G61" s="27">
        <f t="shared" si="22"/>
        <v>1.4133088882635083</v>
      </c>
      <c r="H61" s="27">
        <f t="shared" si="22"/>
        <v>1.4113794945841274</v>
      </c>
      <c r="I61" s="27">
        <f t="shared" si="22"/>
        <v>1.4084603402985676</v>
      </c>
      <c r="J61" s="27">
        <f t="shared" si="22"/>
        <v>1.4045110291130474</v>
      </c>
      <c r="K61" s="28">
        <f t="shared" si="22"/>
        <v>1.3994684460826672</v>
      </c>
      <c r="M61" s="1467"/>
      <c r="N61" s="1468"/>
    </row>
    <row r="62" spans="1:14" ht="13.15" customHeight="1">
      <c r="A62" s="24" t="str">
        <f>$A32</f>
        <v>DCR Mortgage B</v>
      </c>
      <c r="B62" s="27">
        <f>IF(OR(B54=0,AND(B54=0,B53=0)),"",-B52/(B53+B54))</f>
        <v>1.3006294120129842</v>
      </c>
      <c r="C62" s="27">
        <f t="shared" ref="C62:K62" si="23">IF(OR(C54=0,AND(C54=0,C53=0)),"",-C52/(C53+C54))</f>
        <v>1.302161646315892</v>
      </c>
      <c r="D62" s="27">
        <f t="shared" si="23"/>
        <v>1.3031821189872033</v>
      </c>
      <c r="E62" s="27">
        <f t="shared" si="23"/>
        <v>1.3036717265808224</v>
      </c>
      <c r="F62" s="27">
        <f t="shared" si="23"/>
        <v>1.3035925833149888</v>
      </c>
      <c r="G62" s="27">
        <f t="shared" si="23"/>
        <v>1.3029150797272253</v>
      </c>
      <c r="H62" s="27">
        <f t="shared" si="23"/>
        <v>1.3016109992091667</v>
      </c>
      <c r="I62" s="27">
        <f t="shared" si="23"/>
        <v>1.2996361281860171</v>
      </c>
      <c r="J62" s="27">
        <f t="shared" si="23"/>
        <v>1.2969608598268292</v>
      </c>
      <c r="K62" s="28">
        <f t="shared" si="23"/>
        <v>1.2935391877784446</v>
      </c>
      <c r="M62" s="1467"/>
      <c r="N62" s="1468"/>
    </row>
    <row r="63" spans="1:14" ht="13.15" customHeight="1">
      <c r="A63" s="24" t="str">
        <f>$A33</f>
        <v>DCR Mortgage C</v>
      </c>
      <c r="B63" s="27" t="str">
        <f>IF(OR(B55=0,AND(B55=0,B54=0,B53=0)),"",-B52/(B53+B54+B55))</f>
        <v/>
      </c>
      <c r="C63" s="27" t="str">
        <f t="shared" ref="C63:K63" si="24">IF(OR(C55=0,AND(C55=0,C54=0,C53=0)),"",-C52/(C53+C54+C55))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467"/>
      <c r="N63" s="1468"/>
    </row>
    <row r="64" spans="1:14" ht="13.15" customHeight="1">
      <c r="A64" s="24" t="str">
        <f>$A34</f>
        <v>DCR Other Source</v>
      </c>
      <c r="B64" s="27" t="str">
        <f>IF(OR(B56=0,AND(B53=0,B54=0,B55=0,B56=0)),"",-B52/(B53+B54+B55+B56))</f>
        <v/>
      </c>
      <c r="C64" s="27" t="str">
        <f t="shared" ref="C64:K64" si="25">IF(OR(C56=0,AND(C53=0,C54=0,C55=0,C56=0)),"",-C52/(C53+C54+C55+C56))</f>
        <v/>
      </c>
      <c r="D64" s="27" t="str">
        <f t="shared" si="25"/>
        <v/>
      </c>
      <c r="E64" s="27" t="str">
        <f t="shared" si="25"/>
        <v/>
      </c>
      <c r="F64" s="27" t="str">
        <f t="shared" si="25"/>
        <v/>
      </c>
      <c r="G64" s="27" t="str">
        <f t="shared" si="25"/>
        <v/>
      </c>
      <c r="H64" s="27" t="str">
        <f t="shared" si="25"/>
        <v/>
      </c>
      <c r="I64" s="27" t="str">
        <f t="shared" si="25"/>
        <v/>
      </c>
      <c r="J64" s="27" t="str">
        <f t="shared" si="25"/>
        <v/>
      </c>
      <c r="K64" s="28" t="str">
        <f t="shared" si="25"/>
        <v/>
      </c>
      <c r="M64" s="1467"/>
      <c r="N64" s="1468"/>
    </row>
    <row r="65" spans="1:14" ht="13.15" customHeight="1">
      <c r="A65" s="24" t="s">
        <v>1250</v>
      </c>
      <c r="B65" s="378">
        <f>IF(OR(B50="Choose mgt fee",B50="Choose One!"),"",(B44+B45+B46+B47+B48) / -(B49+B50+B51))</f>
        <v>1.4578263713294739</v>
      </c>
      <c r="C65" s="378">
        <f t="shared" ref="C65:K65" si="26">IF(OR(C50="Choose mgt fee",C50="Choose One!"),"",(C44+C45+C46+C47+C48) / -(C49+C50+C51))</f>
        <v>1.445002136851522</v>
      </c>
      <c r="D65" s="378">
        <f t="shared" si="26"/>
        <v>1.4322772518097739</v>
      </c>
      <c r="E65" s="378">
        <f t="shared" si="26"/>
        <v>1.4196565781256965</v>
      </c>
      <c r="F65" s="378">
        <f t="shared" si="26"/>
        <v>1.407133940582979</v>
      </c>
      <c r="G65" s="378">
        <f t="shared" si="26"/>
        <v>1.394709909225109</v>
      </c>
      <c r="H65" s="378">
        <f t="shared" si="26"/>
        <v>1.3823868216109976</v>
      </c>
      <c r="I65" s="378">
        <f t="shared" si="26"/>
        <v>1.3701592688711701</v>
      </c>
      <c r="J65" s="378">
        <f t="shared" si="26"/>
        <v>1.3580313881918464</v>
      </c>
      <c r="K65" s="379">
        <f t="shared" si="26"/>
        <v>1.3459998507109123</v>
      </c>
      <c r="M65" s="1467"/>
      <c r="N65" s="1468"/>
    </row>
    <row r="66" spans="1:14" ht="13.15" customHeight="1">
      <c r="A66" s="678" t="s">
        <v>3664</v>
      </c>
      <c r="B66" s="1576">
        <f>IF('Part III A-Sources of Funds'!$H$32="","",-FV('Part III A-Sources of Funds'!$J$32/12,12,B53/12,K36))</f>
        <v>3022945.4370625922</v>
      </c>
      <c r="C66" s="1576">
        <f>IF('Part III A-Sources of Funds'!$H$32="","",-FV('Part III A-Sources of Funds'!$J$32/12,12,C53/12,B66))</f>
        <v>2936691.9219143526</v>
      </c>
      <c r="D66" s="1576">
        <f>IF('Part III A-Sources of Funds'!$H$32="","",-FV('Part III A-Sources of Funds'!$J$32/12,12,D53/12,C66))</f>
        <v>2847436.3717766418</v>
      </c>
      <c r="E66" s="1576">
        <f>IF('Part III A-Sources of Funds'!$H$32="","",-FV('Part III A-Sources of Funds'!$J$32/12,12,E53/12,D66))</f>
        <v>2755075.2655973318</v>
      </c>
      <c r="F66" s="1576">
        <f>IF('Part III A-Sources of Funds'!$H$32="","",-FV('Part III A-Sources of Funds'!$J$32/12,12,F53/12,E66))</f>
        <v>2659501.5586307729</v>
      </c>
      <c r="G66" s="1576">
        <f>IF('Part III A-Sources of Funds'!$H$32="","",-FV('Part III A-Sources of Funds'!$J$32/12,12,G53/12,F66))</f>
        <v>2560604.5525824875</v>
      </c>
      <c r="H66" s="1576">
        <f>IF('Part III A-Sources of Funds'!$H$32="","",-FV('Part III A-Sources of Funds'!$J$32/12,12,H53/12,G66))</f>
        <v>2458269.7791123348</v>
      </c>
      <c r="I66" s="1576">
        <f>IF('Part III A-Sources of Funds'!$H$32="","",-FV('Part III A-Sources of Funds'!$J$32/12,12,I53/12,H66))</f>
        <v>2352378.878893171</v>
      </c>
      <c r="J66" s="1576">
        <f>IF('Part III A-Sources of Funds'!$H$32="","",-FV('Part III A-Sources of Funds'!$J$32/12,12,J53/12,I66))</f>
        <v>2242809.4531646674</v>
      </c>
      <c r="K66" s="1576">
        <f>IF('Part III A-Sources of Funds'!$H$32="","",-FV('Part III A-Sources of Funds'!$J$32/12,12,K53/12,J66))</f>
        <v>2129434.9554052628</v>
      </c>
      <c r="M66" s="1467"/>
      <c r="N66" s="1468"/>
    </row>
    <row r="67" spans="1:14" ht="13.15" customHeight="1">
      <c r="A67" s="678" t="s">
        <v>3665</v>
      </c>
      <c r="B67" s="1573">
        <f>IF('Part III A-Sources of Funds'!$H$33="","",-FV('Part III A-Sources of Funds'!$J$33/12,12,B54/12,K37))</f>
        <v>748791.30984706595</v>
      </c>
      <c r="C67" s="1573">
        <f>IF('Part III A-Sources of Funds'!$H$33="","",-FV('Part III A-Sources of Funds'!$J$33/12,12,C54/12,B67))</f>
        <v>735762.52348565275</v>
      </c>
      <c r="D67" s="1573">
        <f>IF('Part III A-Sources of Funds'!$H$33="","",-FV('Part III A-Sources of Funds'!$J$33/12,12,D54/12,C67))</f>
        <v>722631.07992012752</v>
      </c>
      <c r="E67" s="1573">
        <f>IF('Part III A-Sources of Funds'!$H$33="","",-FV('Part III A-Sources of Funds'!$J$33/12,12,E54/12,D67))</f>
        <v>709429.44171177025</v>
      </c>
      <c r="F67" s="1573">
        <f>IF('Part III A-Sources of Funds'!$H$33="","",-FV('Part III A-Sources of Funds'!$J$33/12,12,F54/12,E67))</f>
        <v>696192.4317082694</v>
      </c>
      <c r="G67" s="1573">
        <f>IF('Part III A-Sources of Funds'!$H$33="","",-FV('Part III A-Sources of Funds'!$J$33/12,12,G54/12,F67))</f>
        <v>682956.69248701597</v>
      </c>
      <c r="H67" s="1573">
        <f>IF('Part III A-Sources of Funds'!$H$33="","",-FV('Part III A-Sources of Funds'!$J$33/12,12,H54/12,G67))</f>
        <v>669760.55257906171</v>
      </c>
      <c r="I67" s="1573">
        <f>IF('Part III A-Sources of Funds'!$H$33="","",-FV('Part III A-Sources of Funds'!$J$33/12,12,I54/12,H67))</f>
        <v>656644.92169550632</v>
      </c>
      <c r="J67" s="1573">
        <f>IF('Part III A-Sources of Funds'!$H$33="","",-FV('Part III A-Sources of Funds'!$J$33/12,12,J54/12,I67))</f>
        <v>643652.34822570358</v>
      </c>
      <c r="K67" s="1573">
        <f>IF('Part III A-Sources of Funds'!$H$33="","",-FV('Part III A-Sources of Funds'!$J$33/12,12,K54/12,J67))</f>
        <v>630827.91447441338</v>
      </c>
      <c r="M67" s="1467"/>
      <c r="N67" s="1468"/>
    </row>
    <row r="68" spans="1:14" ht="13.15" customHeight="1">
      <c r="A68" s="678" t="s">
        <v>3666</v>
      </c>
      <c r="B68" s="1573" t="str">
        <f>IF('Part III A-Sources of Funds'!$H$34="","",-FV('Part III A-Sources of Funds'!$J$34/12,12,B55/12,K38))</f>
        <v/>
      </c>
      <c r="C68" s="1573" t="str">
        <f>IF('Part III A-Sources of Funds'!$H$34="","",-FV('Part III A-Sources of Funds'!$J$34/12,12,C55/12,B68))</f>
        <v/>
      </c>
      <c r="D68" s="1573" t="str">
        <f>IF('Part III A-Sources of Funds'!$H$34="","",-FV('Part III A-Sources of Funds'!$J$34/12,12,D55/12,C68))</f>
        <v/>
      </c>
      <c r="E68" s="1573" t="str">
        <f>IF('Part III A-Sources of Funds'!$H$34="","",-FV('Part III A-Sources of Funds'!$J$34/12,12,E55/12,D68))</f>
        <v/>
      </c>
      <c r="F68" s="1573" t="str">
        <f>IF('Part III A-Sources of Funds'!$H$34="","",-FV('Part III A-Sources of Funds'!$J$34/12,12,F55/12,E68))</f>
        <v/>
      </c>
      <c r="G68" s="1573" t="str">
        <f>IF('Part III A-Sources of Funds'!$H$34="","",-FV('Part III A-Sources of Funds'!$J$34/12,12,G55/12,F68))</f>
        <v/>
      </c>
      <c r="H68" s="1573" t="str">
        <f>IF('Part III A-Sources of Funds'!$H$34="","",-FV('Part III A-Sources of Funds'!$J$34/12,12,H55/12,G68))</f>
        <v/>
      </c>
      <c r="I68" s="1573" t="str">
        <f>IF('Part III A-Sources of Funds'!$H$34="","",-FV('Part III A-Sources of Funds'!$J$34/12,12,I55/12,H68))</f>
        <v/>
      </c>
      <c r="J68" s="1573" t="str">
        <f>IF('Part III A-Sources of Funds'!$H$34="","",-FV('Part III A-Sources of Funds'!$J$34/12,12,J55/12,I68))</f>
        <v/>
      </c>
      <c r="K68" s="1573" t="str">
        <f>IF('Part III A-Sources of Funds'!$H$34="","",-FV('Part III A-Sources of Funds'!$J$34/12,12,K55/12,J68))</f>
        <v/>
      </c>
      <c r="M68" s="1467"/>
      <c r="N68" s="1468"/>
    </row>
    <row r="69" spans="1:14" ht="13.15" customHeight="1">
      <c r="A69" s="24" t="s">
        <v>1268</v>
      </c>
      <c r="B69" s="1573" t="str">
        <f>IF('Part III A-Sources of Funds'!$H$35="","",-FV('Part III A-Sources of Funds'!$J$35/12,12,B56/12,K39))</f>
        <v/>
      </c>
      <c r="C69" s="1573" t="str">
        <f>IF('Part III A-Sources of Funds'!$H$35="","",-FV('Part III A-Sources of Funds'!$J$35/12,12,C56/12,B69))</f>
        <v/>
      </c>
      <c r="D69" s="1573" t="str">
        <f>IF('Part III A-Sources of Funds'!$H$35="","",-FV('Part III A-Sources of Funds'!$J$35/12,12,D56/12,C69))</f>
        <v/>
      </c>
      <c r="E69" s="1573" t="str">
        <f>IF('Part III A-Sources of Funds'!$H$35="","",-FV('Part III A-Sources of Funds'!$J$35/12,12,E56/12,D69))</f>
        <v/>
      </c>
      <c r="F69" s="1573" t="str">
        <f>IF('Part III A-Sources of Funds'!$H$35="","",-FV('Part III A-Sources of Funds'!$J$35/12,12,F56/12,E69))</f>
        <v/>
      </c>
      <c r="G69" s="1573" t="str">
        <f>IF('Part III A-Sources of Funds'!$H$35="","",-FV('Part III A-Sources of Funds'!$J$35/12,12,G56/12,F69))</f>
        <v/>
      </c>
      <c r="H69" s="1573" t="str">
        <f>IF('Part III A-Sources of Funds'!$H$35="","",-FV('Part III A-Sources of Funds'!$J$35/12,12,H56/12,G69))</f>
        <v/>
      </c>
      <c r="I69" s="1573" t="str">
        <f>IF('Part III A-Sources of Funds'!$H$35="","",-FV('Part III A-Sources of Funds'!$J$35/12,12,I56/12,H69))</f>
        <v/>
      </c>
      <c r="J69" s="1573" t="str">
        <f>IF('Part III A-Sources of Funds'!$H$35="","",-FV('Part III A-Sources of Funds'!$J$35/12,12,J56/12,I69))</f>
        <v/>
      </c>
      <c r="K69" s="1573" t="str">
        <f>IF('Part III A-Sources of Funds'!$H$35="","",-FV('Part III A-Sources of Funds'!$J$35/12,12,K56/12,J69))</f>
        <v/>
      </c>
      <c r="M69" s="1467"/>
      <c r="N69" s="1468"/>
    </row>
    <row r="70" spans="1:14" ht="13.15" customHeight="1">
      <c r="A70" s="678" t="s">
        <v>3649</v>
      </c>
      <c r="B70" s="1573">
        <f>'Part III A-Sources of Funds'!$H$36</f>
        <v>0</v>
      </c>
      <c r="C70" s="1573">
        <f>B70</f>
        <v>0</v>
      </c>
      <c r="D70" s="1573">
        <f t="shared" ref="D70:K70" si="27">C70</f>
        <v>0</v>
      </c>
      <c r="E70" s="1573">
        <f t="shared" si="27"/>
        <v>0</v>
      </c>
      <c r="F70" s="1573">
        <f t="shared" si="27"/>
        <v>0</v>
      </c>
      <c r="G70" s="1573">
        <f t="shared" si="27"/>
        <v>0</v>
      </c>
      <c r="H70" s="1573">
        <f t="shared" si="27"/>
        <v>0</v>
      </c>
      <c r="I70" s="1573">
        <f t="shared" si="27"/>
        <v>0</v>
      </c>
      <c r="J70" s="1573">
        <f t="shared" si="27"/>
        <v>0</v>
      </c>
      <c r="K70" s="1573">
        <f t="shared" si="27"/>
        <v>0</v>
      </c>
      <c r="M70" s="1467"/>
      <c r="N70" s="1468"/>
    </row>
    <row r="71" spans="1:14" ht="13.15" customHeight="1">
      <c r="A71" s="29" t="s">
        <v>1776</v>
      </c>
      <c r="B71" s="1575">
        <f>IF('Part III A-Sources of Funds'!$H$37="","",-FV('Part III A-Sources of Funds'!$J$37/12,12,B59/12,K41))</f>
        <v>51035.47522622018</v>
      </c>
      <c r="C71" s="1575">
        <f>IF('Part III A-Sources of Funds'!$H$37="","",-FV('Part III A-Sources of Funds'!$J$37/12,12,C59/12,B71))</f>
        <v>38823.609873082904</v>
      </c>
      <c r="D71" s="1575">
        <f>IF('Part III A-Sources of Funds'!$H$37="","",-FV('Part III A-Sources of Funds'!$J$37/12,12,D59/12,C71))</f>
        <v>26254.109121152898</v>
      </c>
      <c r="E71" s="1575">
        <f>IF('Part III A-Sources of Funds'!$H$37="","",-FV('Part III A-Sources of Funds'!$J$37/12,12,E59/12,D71))</f>
        <v>13316.499297918142</v>
      </c>
      <c r="F71" s="1575">
        <f>IF('Part III A-Sources of Funds'!$H$37="","",-FV('Part III A-Sources of Funds'!$J$37/12,12,F59/12,E71))</f>
        <v>-2.3646862246096134E-10</v>
      </c>
      <c r="G71" s="1575">
        <f>IF('Part III A-Sources of Funds'!$H$37="","",-FV('Part III A-Sources of Funds'!$J$37/12,12,G59/12,F71))</f>
        <v>-2.4339381756017421E-10</v>
      </c>
      <c r="H71" s="1575">
        <f>IF('Part III A-Sources of Funds'!$H$37="","",-FV('Part III A-Sources of Funds'!$J$37/12,12,H59/12,G71))</f>
        <v>-2.505218231915543E-10</v>
      </c>
      <c r="I71" s="1575">
        <f>IF('Part III A-Sources of Funds'!$H$37="","",-FV('Part III A-Sources of Funds'!$J$37/12,12,I59/12,H71))</f>
        <v>-2.5785857884292385E-10</v>
      </c>
      <c r="J71" s="1575">
        <f>IF('Part III A-Sources of Funds'!$H$37="","",-FV('Part III A-Sources of Funds'!$J$37/12,12,J59/12,I71))</f>
        <v>-2.6541019794531792E-10</v>
      </c>
      <c r="K71" s="1575">
        <f>IF('Part III A-Sources of Funds'!$H$37="","",-FV('Part III A-Sources of Funds'!$J$37/12,12,K59/12,J71))</f>
        <v>-2.7318297296706726E-10</v>
      </c>
      <c r="M71" s="1470"/>
      <c r="N71" s="1471"/>
    </row>
    <row r="72" spans="1:14" ht="4.1500000000000004" customHeight="1">
      <c r="B72" s="20"/>
      <c r="C72" s="20"/>
      <c r="D72" s="20"/>
      <c r="E72" s="20"/>
      <c r="F72" s="20"/>
      <c r="G72" s="20"/>
      <c r="H72" s="20"/>
      <c r="I72" s="20"/>
      <c r="J72" s="20"/>
      <c r="K72" s="20"/>
    </row>
    <row r="73" spans="1:14" ht="14.45" customHeight="1">
      <c r="A73" s="16" t="s">
        <v>3483</v>
      </c>
      <c r="B73" s="18">
        <f>K43+1</f>
        <v>21</v>
      </c>
      <c r="C73" s="18">
        <f t="shared" ref="C73:K73" si="28">B73+1</f>
        <v>22</v>
      </c>
      <c r="D73" s="18">
        <f t="shared" si="28"/>
        <v>23</v>
      </c>
      <c r="E73" s="18">
        <f t="shared" si="28"/>
        <v>24</v>
      </c>
      <c r="F73" s="18">
        <f t="shared" si="28"/>
        <v>25</v>
      </c>
      <c r="G73" s="18">
        <f t="shared" si="28"/>
        <v>26</v>
      </c>
      <c r="H73" s="18">
        <f t="shared" si="28"/>
        <v>27</v>
      </c>
      <c r="I73" s="18">
        <f t="shared" si="28"/>
        <v>28</v>
      </c>
      <c r="J73" s="18">
        <f t="shared" si="28"/>
        <v>29</v>
      </c>
      <c r="K73" s="18">
        <f t="shared" si="28"/>
        <v>30</v>
      </c>
      <c r="M73" s="954" t="s">
        <v>3671</v>
      </c>
      <c r="N73" s="954"/>
    </row>
    <row r="74" spans="1:14" ht="13.15" customHeight="1">
      <c r="A74" s="21" t="s">
        <v>3382</v>
      </c>
      <c r="B74" s="22">
        <f t="shared" ref="B74:K74" si="29">$B$14*(1+$B$5)^(B73-1)</f>
        <v>1098465.8092134546</v>
      </c>
      <c r="C74" s="22">
        <f t="shared" si="29"/>
        <v>1120435.1253977236</v>
      </c>
      <c r="D74" s="22">
        <f t="shared" si="29"/>
        <v>1142843.8279056782</v>
      </c>
      <c r="E74" s="22">
        <f t="shared" si="29"/>
        <v>1165700.7044637916</v>
      </c>
      <c r="F74" s="22">
        <f t="shared" si="29"/>
        <v>1189014.7185530674</v>
      </c>
      <c r="G74" s="22">
        <f t="shared" si="29"/>
        <v>1212795.0129241289</v>
      </c>
      <c r="H74" s="22">
        <f t="shared" si="29"/>
        <v>1237050.9131826116</v>
      </c>
      <c r="I74" s="22">
        <f t="shared" si="29"/>
        <v>1261791.9314462636</v>
      </c>
      <c r="J74" s="22">
        <f t="shared" si="29"/>
        <v>1287027.7700751889</v>
      </c>
      <c r="K74" s="23">
        <f t="shared" si="29"/>
        <v>1312768.3254766928</v>
      </c>
      <c r="M74" s="1465"/>
      <c r="N74" s="1466"/>
    </row>
    <row r="75" spans="1:14" ht="13.15" customHeight="1">
      <c r="A75" s="24" t="s">
        <v>1519</v>
      </c>
      <c r="B75" s="25">
        <f t="shared" ref="B75:K75" si="30">$B$15*(1+$B$5)^(B73-1)</f>
        <v>21969.316184269093</v>
      </c>
      <c r="C75" s="25">
        <f t="shared" si="30"/>
        <v>22408.702507954476</v>
      </c>
      <c r="D75" s="25">
        <f t="shared" si="30"/>
        <v>22856.876558113567</v>
      </c>
      <c r="E75" s="25">
        <f t="shared" si="30"/>
        <v>23314.014089275832</v>
      </c>
      <c r="F75" s="25">
        <f t="shared" si="30"/>
        <v>23780.294371061351</v>
      </c>
      <c r="G75" s="25">
        <f t="shared" si="30"/>
        <v>24255.900258482579</v>
      </c>
      <c r="H75" s="25">
        <f t="shared" si="30"/>
        <v>24741.018263652233</v>
      </c>
      <c r="I75" s="25">
        <f t="shared" si="30"/>
        <v>25235.838628925274</v>
      </c>
      <c r="J75" s="25">
        <f t="shared" si="30"/>
        <v>25740.555401503781</v>
      </c>
      <c r="K75" s="26">
        <f t="shared" si="30"/>
        <v>26255.366509533855</v>
      </c>
      <c r="M75" s="1467"/>
      <c r="N75" s="1468"/>
    </row>
    <row r="76" spans="1:14" ht="13.15" customHeight="1">
      <c r="A76" s="24" t="s">
        <v>3383</v>
      </c>
      <c r="B76" s="25">
        <f t="shared" ref="B76:K76" si="31">-(B74+B75)*$B$8</f>
        <v>-78430.458777840657</v>
      </c>
      <c r="C76" s="25">
        <f t="shared" si="31"/>
        <v>-79999.067953397476</v>
      </c>
      <c r="D76" s="25">
        <f t="shared" si="31"/>
        <v>-81599.049312465431</v>
      </c>
      <c r="E76" s="25">
        <f t="shared" si="31"/>
        <v>-83231.03029871473</v>
      </c>
      <c r="F76" s="25">
        <f t="shared" si="31"/>
        <v>-84895.650904689013</v>
      </c>
      <c r="G76" s="25">
        <f t="shared" si="31"/>
        <v>-86593.563922782821</v>
      </c>
      <c r="H76" s="25">
        <f t="shared" si="31"/>
        <v>-88325.435201238477</v>
      </c>
      <c r="I76" s="25">
        <f t="shared" si="31"/>
        <v>-90091.943905263237</v>
      </c>
      <c r="J76" s="25">
        <f t="shared" si="31"/>
        <v>-91893.782783368501</v>
      </c>
      <c r="K76" s="26">
        <f t="shared" si="31"/>
        <v>-93731.658439035877</v>
      </c>
      <c r="M76" s="1467"/>
      <c r="N76" s="1468"/>
    </row>
    <row r="77" spans="1:14" ht="13.15" customHeight="1">
      <c r="A77" s="24" t="s">
        <v>58</v>
      </c>
      <c r="B77" s="25">
        <f>'Part VI-Revenues &amp; Expenses'!G131</f>
        <v>43865.167129281028</v>
      </c>
      <c r="C77" s="25">
        <f>'Part VI-Revenues &amp; Expenses'!H131</f>
        <v>44742.470471866647</v>
      </c>
      <c r="D77" s="25">
        <f>'Part VI-Revenues &amp; Expenses'!I131</f>
        <v>45637.319881303978</v>
      </c>
      <c r="E77" s="25">
        <f>'Part VI-Revenues &amp; Expenses'!J131</f>
        <v>46550.066278930055</v>
      </c>
      <c r="F77" s="25">
        <f>'Part VI-Revenues &amp; Expenses'!K131</f>
        <v>47481.067604508658</v>
      </c>
      <c r="G77" s="25">
        <f>'Part VI-Revenues &amp; Expenses'!L131</f>
        <v>48430.688956598831</v>
      </c>
      <c r="H77" s="25">
        <f>'Part VI-Revenues &amp; Expenses'!M131</f>
        <v>49399.302735730809</v>
      </c>
      <c r="I77" s="25">
        <f>'Part VI-Revenues &amp; Expenses'!N131</f>
        <v>50387.288790445426</v>
      </c>
      <c r="J77" s="25">
        <f>'Part VI-Revenues &amp; Expenses'!O131</f>
        <v>51395.034566254333</v>
      </c>
      <c r="K77" s="26">
        <f>'Part VI-Revenues &amp; Expenses'!P131</f>
        <v>52422.935257579418</v>
      </c>
      <c r="M77" s="1467"/>
      <c r="N77" s="1468"/>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7"/>
      <c r="N78" s="1468"/>
    </row>
    <row r="79" spans="1:14" ht="13.15" customHeight="1">
      <c r="A79" s="24" t="s">
        <v>871</v>
      </c>
      <c r="B79" s="25">
        <f t="shared" ref="B79:K79" si="32">$B$19*(1+$B$6)^(B73-1)</f>
        <v>-670457.38808904088</v>
      </c>
      <c r="C79" s="25">
        <f t="shared" si="32"/>
        <v>-690571.10973171203</v>
      </c>
      <c r="D79" s="25">
        <f t="shared" si="32"/>
        <v>-711288.24302366353</v>
      </c>
      <c r="E79" s="25">
        <f t="shared" si="32"/>
        <v>-732626.89031437342</v>
      </c>
      <c r="F79" s="25">
        <f t="shared" si="32"/>
        <v>-754605.69702380453</v>
      </c>
      <c r="G79" s="25">
        <f t="shared" si="32"/>
        <v>-777243.86793451861</v>
      </c>
      <c r="H79" s="25">
        <f t="shared" si="32"/>
        <v>-800561.18397255428</v>
      </c>
      <c r="I79" s="25">
        <f t="shared" si="32"/>
        <v>-824578.01949173084</v>
      </c>
      <c r="J79" s="25">
        <f t="shared" si="32"/>
        <v>-849315.36007648276</v>
      </c>
      <c r="K79" s="26">
        <f t="shared" si="32"/>
        <v>-874794.82087877719</v>
      </c>
      <c r="M79" s="1467"/>
      <c r="N79" s="1468"/>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-70582</v>
      </c>
      <c r="C80" s="25">
        <f>IF(AND('Part VII-Pro Forma'!$G$8="Yes",'Part VII-Pro Forma'!$G$9="Yes"),"Choose One!",IF('Part VII-Pro Forma'!$G$8="Yes",ROUND((-$K$8*(1+'Part VII-Pro Forma'!$B$6)^('Part VII-Pro Forma'!C73-1)),),IF('Part VII-Pro Forma'!$G$9="Yes",ROUND((-(SUM(C74:C77)*'Part VII-Pro Forma'!$K$9)),),"Choose mgt fee")))</f>
        <v>-71993</v>
      </c>
      <c r="D80" s="25">
        <f>IF(AND('Part VII-Pro Forma'!$G$8="Yes",'Part VII-Pro Forma'!$G$9="Yes"),"Choose One!",IF('Part VII-Pro Forma'!$G$8="Yes",ROUND((-$K$8*(1+'Part VII-Pro Forma'!$B$6)^('Part VII-Pro Forma'!D73-1)),),IF('Part VII-Pro Forma'!$G$9="Yes",ROUND((-(SUM(D74:D77)*'Part VII-Pro Forma'!$K$9)),),"Choose mgt fee")))</f>
        <v>-73433</v>
      </c>
      <c r="E80" s="25">
        <f>IF(AND('Part VII-Pro Forma'!$G$8="Yes",'Part VII-Pro Forma'!$G$9="Yes"),"Choose One!",IF('Part VII-Pro Forma'!$G$8="Yes",ROUND((-$K$8*(1+'Part VII-Pro Forma'!$B$6)^('Part VII-Pro Forma'!E73-1)),),IF('Part VII-Pro Forma'!$G$9="Yes",ROUND((-(SUM(E74:E77)*'Part VII-Pro Forma'!$K$9)),),"Choose mgt fee")))</f>
        <v>-74902</v>
      </c>
      <c r="F80" s="25">
        <f>IF(AND('Part VII-Pro Forma'!$G$8="Yes",'Part VII-Pro Forma'!$G$9="Yes"),"Choose One!",IF('Part VII-Pro Forma'!$G$8="Yes",ROUND((-$K$8*(1+'Part VII-Pro Forma'!$B$6)^('Part VII-Pro Forma'!F73-1)),),IF('Part VII-Pro Forma'!$G$9="Yes",ROUND((-(SUM(F74:F77)*'Part VII-Pro Forma'!$K$9)),),"Choose mgt fee")))</f>
        <v>-76400</v>
      </c>
      <c r="G80" s="25">
        <f>IF(AND('Part VII-Pro Forma'!$G$8="Yes",'Part VII-Pro Forma'!$G$9="Yes"),"Choose One!",IF('Part VII-Pro Forma'!$G$8="Yes",ROUND((-$K$8*(1+'Part VII-Pro Forma'!$B$6)^('Part VII-Pro Forma'!G73-1)),),IF('Part VII-Pro Forma'!$G$9="Yes",ROUND((-(SUM(G74:G77)*'Part VII-Pro Forma'!$K$9)),),"Choose mgt fee")))</f>
        <v>-77928</v>
      </c>
      <c r="H80" s="25">
        <f>IF(AND('Part VII-Pro Forma'!$G$8="Yes",'Part VII-Pro Forma'!$G$9="Yes"),"Choose One!",IF('Part VII-Pro Forma'!$G$8="Yes",ROUND((-$K$8*(1+'Part VII-Pro Forma'!$B$6)^('Part VII-Pro Forma'!H73-1)),),IF('Part VII-Pro Forma'!$G$9="Yes",ROUND((-(SUM(H74:H77)*'Part VII-Pro Forma'!$K$9)),),"Choose mgt fee")))</f>
        <v>-79486</v>
      </c>
      <c r="I80" s="25">
        <f>IF(AND('Part VII-Pro Forma'!$G$8="Yes",'Part VII-Pro Forma'!$G$9="Yes"),"Choose One!",IF('Part VII-Pro Forma'!$G$8="Yes",ROUND((-$K$8*(1+'Part VII-Pro Forma'!$B$6)^('Part VII-Pro Forma'!I73-1)),),IF('Part VII-Pro Forma'!$G$9="Yes",ROUND((-(SUM(I74:I77)*'Part VII-Pro Forma'!$K$9)),),"Choose mgt fee")))</f>
        <v>-81076</v>
      </c>
      <c r="J80" s="25">
        <f>IF(AND('Part VII-Pro Forma'!$G$8="Yes",'Part VII-Pro Forma'!$G$9="Yes"),"Choose One!",IF('Part VII-Pro Forma'!$G$8="Yes",ROUND((-$K$8*(1+'Part VII-Pro Forma'!$B$6)^('Part VII-Pro Forma'!J73-1)),),IF('Part VII-Pro Forma'!$G$9="Yes",ROUND((-(SUM(J74:J77)*'Part VII-Pro Forma'!$K$9)),),"Choose mgt fee")))</f>
        <v>-82698</v>
      </c>
      <c r="K80" s="25">
        <f>IF(AND('Part VII-Pro Forma'!$G$8="Yes",'Part VII-Pro Forma'!$G$9="Yes"),"Choose One!",IF('Part VII-Pro Forma'!$G$8="Yes",ROUND((-$K$8*(1+'Part VII-Pro Forma'!$B$6)^('Part VII-Pro Forma'!K73-1)),),IF('Part VII-Pro Forma'!$G$9="Yes",ROUND((-(SUM(K74:K77)*'Part VII-Pro Forma'!$K$9)),),"Choose mgt fee")))</f>
        <v>-84351</v>
      </c>
      <c r="M80" s="1467"/>
      <c r="N80" s="1468"/>
    </row>
    <row r="81" spans="1:14" ht="13.15" customHeight="1">
      <c r="A81" s="24" t="s">
        <v>1739</v>
      </c>
      <c r="B81" s="25">
        <f t="shared" ref="B81:K81" si="33">$B$21*(1+$B$7)^(B73-1)</f>
        <v>-72916.322766073557</v>
      </c>
      <c r="C81" s="25">
        <f t="shared" si="33"/>
        <v>-75103.812449055753</v>
      </c>
      <c r="D81" s="25">
        <f t="shared" si="33"/>
        <v>-77356.926822527428</v>
      </c>
      <c r="E81" s="25">
        <f t="shared" si="33"/>
        <v>-79677.634627203253</v>
      </c>
      <c r="F81" s="25">
        <f t="shared" si="33"/>
        <v>-82067.963666019336</v>
      </c>
      <c r="G81" s="25">
        <f t="shared" si="33"/>
        <v>-84530.002575999926</v>
      </c>
      <c r="H81" s="25">
        <f t="shared" si="33"/>
        <v>-87065.902653279933</v>
      </c>
      <c r="I81" s="25">
        <f t="shared" si="33"/>
        <v>-89677.879732878326</v>
      </c>
      <c r="J81" s="25">
        <f t="shared" si="33"/>
        <v>-92368.216124864673</v>
      </c>
      <c r="K81" s="26">
        <f t="shared" si="33"/>
        <v>-95139.262608610603</v>
      </c>
      <c r="M81" s="1467"/>
      <c r="N81" s="1468"/>
    </row>
    <row r="82" spans="1:14" ht="13.15" customHeight="1">
      <c r="A82" s="24" t="s">
        <v>1740</v>
      </c>
      <c r="B82" s="25">
        <f t="shared" ref="B82:K82" si="34">SUM(B74:B81)</f>
        <v>271914.12289404945</v>
      </c>
      <c r="C82" s="25">
        <f t="shared" si="34"/>
        <v>269919.30824337958</v>
      </c>
      <c r="D82" s="25">
        <f t="shared" si="34"/>
        <v>267660.80518643942</v>
      </c>
      <c r="E82" s="25">
        <f t="shared" si="34"/>
        <v>265127.22959170607</v>
      </c>
      <c r="F82" s="25">
        <f t="shared" si="34"/>
        <v>262306.76893412456</v>
      </c>
      <c r="G82" s="25">
        <f t="shared" si="34"/>
        <v>259186.16770590888</v>
      </c>
      <c r="H82" s="25">
        <f t="shared" si="34"/>
        <v>255752.71235492197</v>
      </c>
      <c r="I82" s="25">
        <f t="shared" si="34"/>
        <v>251991.21573576189</v>
      </c>
      <c r="J82" s="25">
        <f t="shared" si="34"/>
        <v>247888.00105823108</v>
      </c>
      <c r="K82" s="26">
        <f t="shared" si="34"/>
        <v>243429.88531738258</v>
      </c>
      <c r="M82" s="1467"/>
      <c r="N82" s="1468"/>
    </row>
    <row r="83" spans="1:14" ht="13.15" customHeight="1">
      <c r="A83" s="24" t="str">
        <f>$A53</f>
        <v>Mortgage A</v>
      </c>
      <c r="B83" s="1572">
        <v>-195161.59950000001</v>
      </c>
      <c r="C83" s="1572">
        <v>-194764.19099999999</v>
      </c>
      <c r="D83" s="1572">
        <v>-194351.622</v>
      </c>
      <c r="E83" s="1572">
        <v>-193923.31200000001</v>
      </c>
      <c r="F83" s="1572">
        <v>-193478.66250000001</v>
      </c>
      <c r="G83" s="1572">
        <v>-193017.04800000001</v>
      </c>
      <c r="H83" s="1572">
        <v>-192537.82500000001</v>
      </c>
      <c r="I83" s="1572">
        <v>-192040.31400000001</v>
      </c>
      <c r="J83" s="1572">
        <v>-191523.8265</v>
      </c>
      <c r="K83" s="1572">
        <v>-190987.6335</v>
      </c>
      <c r="M83" s="1467"/>
      <c r="N83" s="1468"/>
    </row>
    <row r="84" spans="1:14" ht="13.15" customHeight="1">
      <c r="A84" s="24" t="str">
        <f>$A54</f>
        <v>Mortgage B</v>
      </c>
      <c r="B84" s="1573">
        <v>-15734.267295780133</v>
      </c>
      <c r="C84" s="1573">
        <v>-15406.799034892814</v>
      </c>
      <c r="D84" s="1573">
        <v>-15028.382553220081</v>
      </c>
      <c r="E84" s="1573">
        <v>-14596.803106299742</v>
      </c>
      <c r="F84" s="1573">
        <v>-14109.761818995532</v>
      </c>
      <c r="G84" s="1573">
        <v>-13564.669539711318</v>
      </c>
      <c r="H84" s="1573">
        <v>-12959.051907759</v>
      </c>
      <c r="I84" s="1573">
        <v>-12289.934855831183</v>
      </c>
      <c r="J84" s="1573">
        <v>-11554.655784437371</v>
      </c>
      <c r="K84" s="1573">
        <v>-10750.661622563428</v>
      </c>
      <c r="M84" s="1467"/>
      <c r="N84" s="1468"/>
    </row>
    <row r="85" spans="1:14" ht="13.15" customHeight="1">
      <c r="A85" s="24" t="str">
        <f>$A55</f>
        <v>Mortgage C</v>
      </c>
      <c r="B85" s="1573">
        <v>0</v>
      </c>
      <c r="C85" s="1573">
        <v>0</v>
      </c>
      <c r="D85" s="1573">
        <v>0</v>
      </c>
      <c r="E85" s="1573">
        <v>0</v>
      </c>
      <c r="F85" s="1573">
        <v>0</v>
      </c>
      <c r="G85" s="1573">
        <v>0</v>
      </c>
      <c r="H85" s="1573">
        <v>0</v>
      </c>
      <c r="I85" s="1573">
        <v>0</v>
      </c>
      <c r="J85" s="1573">
        <v>0</v>
      </c>
      <c r="K85" s="1573">
        <v>0</v>
      </c>
      <c r="M85" s="1467"/>
      <c r="N85" s="1468"/>
    </row>
    <row r="86" spans="1:14" ht="13.15" customHeight="1">
      <c r="A86" s="24" t="str">
        <f>$A56</f>
        <v>D/S Other Source</v>
      </c>
      <c r="B86" s="1573">
        <v>0</v>
      </c>
      <c r="C86" s="1573">
        <v>0</v>
      </c>
      <c r="D86" s="1573">
        <v>0</v>
      </c>
      <c r="E86" s="1573">
        <v>0</v>
      </c>
      <c r="F86" s="1573">
        <v>0</v>
      </c>
      <c r="G86" s="1573">
        <v>0</v>
      </c>
      <c r="H86" s="1573">
        <v>0</v>
      </c>
      <c r="I86" s="1573">
        <v>0</v>
      </c>
      <c r="J86" s="1573">
        <v>0</v>
      </c>
      <c r="K86" s="1573">
        <v>0</v>
      </c>
      <c r="M86" s="1467"/>
      <c r="N86" s="1468"/>
    </row>
    <row r="87" spans="1:14" ht="13.15" customHeight="1">
      <c r="A87" s="24" t="s">
        <v>1241</v>
      </c>
      <c r="B87" s="1574"/>
      <c r="C87" s="1574"/>
      <c r="D87" s="1574"/>
      <c r="E87" s="1574"/>
      <c r="F87" s="1574"/>
      <c r="G87" s="1574"/>
      <c r="H87" s="1574"/>
      <c r="I87" s="1574"/>
      <c r="J87" s="1574"/>
      <c r="K87" s="1574"/>
      <c r="M87" s="1467"/>
      <c r="N87" s="1468"/>
    </row>
    <row r="88" spans="1:14" ht="13.15" customHeight="1">
      <c r="A88" s="24" t="s">
        <v>1686</v>
      </c>
      <c r="B88" s="1573">
        <v>-13545.834260020609</v>
      </c>
      <c r="C88" s="1573">
        <v>-13952.209287821228</v>
      </c>
      <c r="D88" s="1573">
        <v>-14370.775566455864</v>
      </c>
      <c r="E88" s="1573">
        <v>-14801.898833449541</v>
      </c>
      <c r="F88" s="1573">
        <v>-15245.955798453027</v>
      </c>
      <c r="G88" s="1573">
        <v>-15703.334472406619</v>
      </c>
      <c r="H88" s="1573">
        <v>-16174.434506578818</v>
      </c>
      <c r="I88" s="1573">
        <v>-16659.667541776183</v>
      </c>
      <c r="J88" s="1573">
        <v>-17159.457568029469</v>
      </c>
      <c r="K88" s="1573">
        <v>-17674.241295070355</v>
      </c>
      <c r="M88" s="1467"/>
      <c r="N88" s="1468"/>
    </row>
    <row r="89" spans="1:14" ht="13.15" customHeight="1">
      <c r="A89" s="24" t="s">
        <v>1741</v>
      </c>
      <c r="B89" s="1575"/>
      <c r="C89" s="1575"/>
      <c r="D89" s="1575"/>
      <c r="E89" s="1575"/>
      <c r="F89" s="1575"/>
      <c r="G89" s="1575"/>
      <c r="H89" s="1575"/>
      <c r="I89" s="1575"/>
      <c r="J89" s="1575"/>
      <c r="K89" s="1573"/>
      <c r="M89" s="1467"/>
      <c r="N89" s="1468"/>
    </row>
    <row r="90" spans="1:14" ht="13.15" customHeight="1">
      <c r="A90" s="24" t="s">
        <v>1687</v>
      </c>
      <c r="B90" s="25">
        <f t="shared" ref="B90:K90" si="35">SUM(B82:B89)</f>
        <v>47472.421838248694</v>
      </c>
      <c r="C90" s="25">
        <f t="shared" si="35"/>
        <v>45796.108920665545</v>
      </c>
      <c r="D90" s="25">
        <f t="shared" si="35"/>
        <v>43910.025066763475</v>
      </c>
      <c r="E90" s="25">
        <f t="shared" si="35"/>
        <v>41805.21565195678</v>
      </c>
      <c r="F90" s="25">
        <f t="shared" si="35"/>
        <v>39472.388816675993</v>
      </c>
      <c r="G90" s="25">
        <f t="shared" si="35"/>
        <v>36901.115693790933</v>
      </c>
      <c r="H90" s="25">
        <f t="shared" si="35"/>
        <v>34081.400940584135</v>
      </c>
      <c r="I90" s="25">
        <f t="shared" si="35"/>
        <v>31001.299338154506</v>
      </c>
      <c r="J90" s="25">
        <f t="shared" si="35"/>
        <v>27650.061205764239</v>
      </c>
      <c r="K90" s="23">
        <f t="shared" si="35"/>
        <v>24017.348899748798</v>
      </c>
      <c r="M90" s="1467"/>
      <c r="N90" s="1468"/>
    </row>
    <row r="91" spans="1:14" ht="13.15" customHeight="1">
      <c r="A91" s="24" t="str">
        <f>$A61</f>
        <v>DCR Mortgage A</v>
      </c>
      <c r="B91" s="27">
        <f>IF(B83=0,"",-B82/B83)</f>
        <v>1.3932767695627</v>
      </c>
      <c r="C91" s="27">
        <f t="shared" ref="C91:K91" si="36">IF(C83=0,"",-C82/C83)</f>
        <v>1.3858774904026356</v>
      </c>
      <c r="D91" s="27">
        <f t="shared" si="36"/>
        <v>1.377198720710648</v>
      </c>
      <c r="E91" s="27">
        <f t="shared" si="36"/>
        <v>1.3671756472048398</v>
      </c>
      <c r="F91" s="27">
        <f t="shared" si="36"/>
        <v>1.355740036367703</v>
      </c>
      <c r="G91" s="27">
        <f t="shared" si="36"/>
        <v>1.3428148984327481</v>
      </c>
      <c r="H91" s="27">
        <f t="shared" si="36"/>
        <v>1.3283245115858244</v>
      </c>
      <c r="I91" s="27">
        <f t="shared" si="36"/>
        <v>1.3121787320956051</v>
      </c>
      <c r="J91" s="27">
        <f t="shared" si="36"/>
        <v>1.2942932771773494</v>
      </c>
      <c r="K91" s="28">
        <f t="shared" si="36"/>
        <v>1.274584541712658</v>
      </c>
      <c r="M91" s="1467"/>
      <c r="N91" s="1468"/>
    </row>
    <row r="92" spans="1:14" ht="13.15" customHeight="1">
      <c r="A92" s="24" t="str">
        <f>$A62</f>
        <v>DCR Mortgage B</v>
      </c>
      <c r="B92" s="27">
        <f>IF(OR(B84=0,AND(B84=0,B83=0)),"",-B82/(B83+B84))</f>
        <v>1.2893288380912462</v>
      </c>
      <c r="C92" s="27">
        <f t="shared" ref="C92:K92" si="37">IF(OR(C84=0,AND(C84=0,C83=0)),"",-C82/(C83+C84))</f>
        <v>1.2842843258175989</v>
      </c>
      <c r="D92" s="27">
        <f t="shared" si="37"/>
        <v>1.278349409522558</v>
      </c>
      <c r="E92" s="27">
        <f t="shared" si="37"/>
        <v>1.2714707617370584</v>
      </c>
      <c r="F92" s="27">
        <f t="shared" si="37"/>
        <v>1.2635905388011657</v>
      </c>
      <c r="G92" s="27">
        <f t="shared" si="37"/>
        <v>1.2546423313383739</v>
      </c>
      <c r="H92" s="27">
        <f t="shared" si="37"/>
        <v>1.2445576604539894</v>
      </c>
      <c r="I92" s="27">
        <f t="shared" si="37"/>
        <v>1.2332545824556731</v>
      </c>
      <c r="J92" s="27">
        <f t="shared" si="37"/>
        <v>1.2206512392141686</v>
      </c>
      <c r="K92" s="28">
        <f t="shared" si="37"/>
        <v>1.2066617553672196</v>
      </c>
      <c r="M92" s="1467"/>
      <c r="N92" s="1468"/>
    </row>
    <row r="93" spans="1:14" ht="13.15" customHeight="1">
      <c r="A93" s="24" t="str">
        <f>$A63</f>
        <v>DCR Mortgage C</v>
      </c>
      <c r="B93" s="27" t="str">
        <f>IF(OR(B85=0,AND(B85=0,B84=0,B83=0)),"",-B82/(B83+B84+B85))</f>
        <v/>
      </c>
      <c r="C93" s="27" t="str">
        <f t="shared" ref="C93:K93" si="38">IF(OR(C85=0,AND(C85=0,C84=0,C83=0)),"",-C82/(C83+C84+C85))</f>
        <v/>
      </c>
      <c r="D93" s="27" t="str">
        <f t="shared" si="38"/>
        <v/>
      </c>
      <c r="E93" s="27" t="str">
        <f t="shared" si="38"/>
        <v/>
      </c>
      <c r="F93" s="27" t="str">
        <f t="shared" si="38"/>
        <v/>
      </c>
      <c r="G93" s="27" t="str">
        <f t="shared" si="38"/>
        <v/>
      </c>
      <c r="H93" s="27" t="str">
        <f t="shared" si="38"/>
        <v/>
      </c>
      <c r="I93" s="27" t="str">
        <f t="shared" si="38"/>
        <v/>
      </c>
      <c r="J93" s="27" t="str">
        <f t="shared" si="38"/>
        <v/>
      </c>
      <c r="K93" s="28" t="str">
        <f t="shared" si="38"/>
        <v/>
      </c>
      <c r="M93" s="1467"/>
      <c r="N93" s="1468"/>
    </row>
    <row r="94" spans="1:14" ht="13.15" customHeight="1">
      <c r="A94" s="24" t="str">
        <f>$A64</f>
        <v>DCR Other Source</v>
      </c>
      <c r="B94" s="27" t="str">
        <f>IF(OR(B86=0,AND(B83=0,B84=0,B85=0,B86=0)),"",-B82/(B83+B84+B85+B86))</f>
        <v/>
      </c>
      <c r="C94" s="27" t="str">
        <f t="shared" ref="C94:K94" si="39">IF(OR(C86=0,AND(C83=0,C84=0,C85=0,C86=0)),"",-C82/(C83+C84+C85+C86))</f>
        <v/>
      </c>
      <c r="D94" s="27" t="str">
        <f t="shared" si="39"/>
        <v/>
      </c>
      <c r="E94" s="27" t="str">
        <f t="shared" si="39"/>
        <v/>
      </c>
      <c r="F94" s="27" t="str">
        <f t="shared" si="39"/>
        <v/>
      </c>
      <c r="G94" s="27" t="str">
        <f t="shared" si="39"/>
        <v/>
      </c>
      <c r="H94" s="27" t="str">
        <f t="shared" si="39"/>
        <v/>
      </c>
      <c r="I94" s="27" t="str">
        <f t="shared" si="39"/>
        <v/>
      </c>
      <c r="J94" s="27" t="str">
        <f t="shared" si="39"/>
        <v/>
      </c>
      <c r="K94" s="28" t="str">
        <f t="shared" si="39"/>
        <v/>
      </c>
      <c r="M94" s="1467"/>
      <c r="N94" s="1468"/>
    </row>
    <row r="95" spans="1:14" ht="13.15" customHeight="1">
      <c r="A95" s="24" t="s">
        <v>1250</v>
      </c>
      <c r="B95" s="378">
        <f>IF(OR(B80="Choose mgt fee",B80="Choose One!"),"",(B74+B75+B76+B77+B78) / -(B79+B80+B81))</f>
        <v>1.3340650102551472</v>
      </c>
      <c r="C95" s="378">
        <f t="shared" ref="C95:K95" si="40">IF(OR(C80="Choose mgt fee",C80="Choose One!"),"",(C74+C75+C76+C77+C78) / -(C79+C80+C81))</f>
        <v>1.322227103481147</v>
      </c>
      <c r="D95" s="378">
        <f t="shared" si="40"/>
        <v>1.31048321898024</v>
      </c>
      <c r="E95" s="378">
        <f t="shared" si="40"/>
        <v>1.2988337237591494</v>
      </c>
      <c r="F95" s="378">
        <f t="shared" si="40"/>
        <v>1.2872788694133972</v>
      </c>
      <c r="G95" s="378">
        <f t="shared" si="40"/>
        <v>1.2758174436378411</v>
      </c>
      <c r="H95" s="378">
        <f t="shared" si="40"/>
        <v>1.2644496449192089</v>
      </c>
      <c r="I95" s="378">
        <f t="shared" si="40"/>
        <v>1.2531730530610643</v>
      </c>
      <c r="J95" s="378">
        <f t="shared" si="40"/>
        <v>1.2419879533342051</v>
      </c>
      <c r="K95" s="379">
        <f t="shared" si="40"/>
        <v>1.2308956933281838</v>
      </c>
      <c r="M95" s="1467"/>
      <c r="N95" s="1468"/>
    </row>
    <row r="96" spans="1:14" ht="13.15" customHeight="1">
      <c r="A96" s="678" t="s">
        <v>3664</v>
      </c>
      <c r="B96" s="1576">
        <f>IF('Part III A-Sources of Funds'!$H$32="","",-FV('Part III A-Sources of Funds'!$J$32/12,12,B83/12,K66))</f>
        <v>2012124.5239334009</v>
      </c>
      <c r="C96" s="1576">
        <f>IF('Part III A-Sources of Funds'!$H$32="","",-FV('Part III A-Sources of Funds'!$J$32/12,12,C83/12,B96))</f>
        <v>1890742.8584819953</v>
      </c>
      <c r="D96" s="1576">
        <f>IF('Part III A-Sources of Funds'!$H$32="","",-FV('Part III A-Sources of Funds'!$J$32/12,12,D83/12,C96))</f>
        <v>1765150.0600169653</v>
      </c>
      <c r="E96" s="1576">
        <f>IF('Part III A-Sources of Funds'!$H$32="","",-FV('Part III A-Sources of Funds'!$J$32/12,12,E83/12,D96))</f>
        <v>1635201.4827572599</v>
      </c>
      <c r="F96" s="1576">
        <f>IF('Part III A-Sources of Funds'!$H$32="","",-FV('Part III A-Sources of Funds'!$J$32/12,12,F83/12,E96))</f>
        <v>1500747.5713929473</v>
      </c>
      <c r="G96" s="1576">
        <f>IF('Part III A-Sources of Funds'!$H$32="","",-FV('Part III A-Sources of Funds'!$J$32/12,12,G83/12,F96))</f>
        <v>1361633.7012492726</v>
      </c>
      <c r="H96" s="1576">
        <f>IF('Part III A-Sources of Funds'!$H$32="","",-FV('Part III A-Sources of Funds'!$J$32/12,12,H83/12,G96))</f>
        <v>1217700.0031964569</v>
      </c>
      <c r="I96" s="1576">
        <f>IF('Part III A-Sources of Funds'!$H$32="","",-FV('Part III A-Sources of Funds'!$J$32/12,12,I83/12,H96))</f>
        <v>1068781.2001922014</v>
      </c>
      <c r="J96" s="1576">
        <f>IF('Part III A-Sources of Funds'!$H$32="","",-FV('Part III A-Sources of Funds'!$J$32/12,12,J83/12,I96))</f>
        <v>914706.41011914425</v>
      </c>
      <c r="K96" s="1576">
        <f>IF('Part III A-Sources of Funds'!$H$32="","",-FV('Part III A-Sources of Funds'!$J$32/12,12,K83/12,J96))</f>
        <v>755298.97314739786</v>
      </c>
      <c r="M96" s="1467"/>
      <c r="N96" s="1468"/>
    </row>
    <row r="97" spans="1:14" ht="13.15" customHeight="1">
      <c r="A97" s="678" t="s">
        <v>3665</v>
      </c>
      <c r="B97" s="1573">
        <f>IF('Part III A-Sources of Funds'!$H$33="","",-FV('Part III A-Sources of Funds'!$J$33/12,12,B84/12,K67))</f>
        <v>618218.91721315891</v>
      </c>
      <c r="C97" s="1573">
        <f>IF('Part III A-Sources of Funds'!$H$33="","",-FV('Part III A-Sources of Funds'!$J$33/12,12,C84/12,B97))</f>
        <v>605874.95003890421</v>
      </c>
      <c r="D97" s="1573">
        <f>IF('Part III A-Sources of Funds'!$H$33="","",-FV('Part III A-Sources of Funds'!$J$33/12,12,D84/12,C97))</f>
        <v>593848.40628254763</v>
      </c>
      <c r="E97" s="1573">
        <f>IF('Part III A-Sources of Funds'!$H$33="","",-FV('Part III A-Sources of Funds'!$J$33/12,12,E84/12,D97))</f>
        <v>582194.16166979098</v>
      </c>
      <c r="F97" s="1573">
        <f>IF('Part III A-Sources of Funds'!$H$33="","",-FV('Part III A-Sources of Funds'!$J$33/12,12,F84/12,E97))</f>
        <v>570969.67108533846</v>
      </c>
      <c r="G97" s="1573">
        <f>IF('Part III A-Sources of Funds'!$H$33="","",-FV('Part III A-Sources of Funds'!$J$33/12,12,G84/12,F97))</f>
        <v>560235.27244088764</v>
      </c>
      <c r="H97" s="1573">
        <f>IF('Part III A-Sources of Funds'!$H$33="","",-FV('Part III A-Sources of Funds'!$J$33/12,12,H84/12,G97))</f>
        <v>550054.08606900845</v>
      </c>
      <c r="I97" s="1573">
        <f>IF('Part III A-Sources of Funds'!$H$33="","",-FV('Part III A-Sources of Funds'!$J$33/12,12,I84/12,H97))</f>
        <v>540492.52952054644</v>
      </c>
      <c r="J97" s="1573">
        <f>IF('Part III A-Sources of Funds'!$H$33="","",-FV('Part III A-Sources of Funds'!$J$33/12,12,J84/12,I97))</f>
        <v>531620.02190595714</v>
      </c>
      <c r="K97" s="1573">
        <f>IF('Part III A-Sources of Funds'!$H$33="","",-FV('Part III A-Sources of Funds'!$J$33/12,12,K84/12,J97))</f>
        <v>523508.88915771735</v>
      </c>
      <c r="M97" s="1467"/>
      <c r="N97" s="1468"/>
    </row>
    <row r="98" spans="1:14" ht="13.15" customHeight="1">
      <c r="A98" s="678" t="s">
        <v>3666</v>
      </c>
      <c r="B98" s="1573" t="str">
        <f>IF('Part III A-Sources of Funds'!$H$34="","",-FV('Part III A-Sources of Funds'!$J$34/12,12,B85/12,K68))</f>
        <v/>
      </c>
      <c r="C98" s="1573" t="str">
        <f>IF('Part III A-Sources of Funds'!$H$34="","",-FV('Part III A-Sources of Funds'!$J$34/12,12,C85/12,B98))</f>
        <v/>
      </c>
      <c r="D98" s="1573" t="str">
        <f>IF('Part III A-Sources of Funds'!$H$34="","",-FV('Part III A-Sources of Funds'!$J$34/12,12,D85/12,C98))</f>
        <v/>
      </c>
      <c r="E98" s="1573" t="str">
        <f>IF('Part III A-Sources of Funds'!$H$34="","",-FV('Part III A-Sources of Funds'!$J$34/12,12,E85/12,D98))</f>
        <v/>
      </c>
      <c r="F98" s="1573" t="str">
        <f>IF('Part III A-Sources of Funds'!$H$34="","",-FV('Part III A-Sources of Funds'!$J$34/12,12,F85/12,E98))</f>
        <v/>
      </c>
      <c r="G98" s="1573" t="str">
        <f>IF('Part III A-Sources of Funds'!$H$34="","",-FV('Part III A-Sources of Funds'!$J$34/12,12,G85/12,F98))</f>
        <v/>
      </c>
      <c r="H98" s="1573" t="str">
        <f>IF('Part III A-Sources of Funds'!$H$34="","",-FV('Part III A-Sources of Funds'!$J$34/12,12,H85/12,G98))</f>
        <v/>
      </c>
      <c r="I98" s="1573" t="str">
        <f>IF('Part III A-Sources of Funds'!$H$34="","",-FV('Part III A-Sources of Funds'!$J$34/12,12,I85/12,H98))</f>
        <v/>
      </c>
      <c r="J98" s="1573" t="str">
        <f>IF('Part III A-Sources of Funds'!$H$34="","",-FV('Part III A-Sources of Funds'!$J$34/12,12,J85/12,I98))</f>
        <v/>
      </c>
      <c r="K98" s="1573" t="str">
        <f>IF('Part III A-Sources of Funds'!$H$34="","",-FV('Part III A-Sources of Funds'!$J$34/12,12,K85/12,J98))</f>
        <v/>
      </c>
      <c r="M98" s="1467"/>
      <c r="N98" s="1468"/>
    </row>
    <row r="99" spans="1:14" ht="13.15" customHeight="1">
      <c r="A99" s="24" t="s">
        <v>1268</v>
      </c>
      <c r="B99" s="1573" t="str">
        <f>IF('Part III A-Sources of Funds'!$H$35="","",-FV('Part III A-Sources of Funds'!$J$35/12,12,B86/12,K69))</f>
        <v/>
      </c>
      <c r="C99" s="1573" t="str">
        <f>IF('Part III A-Sources of Funds'!$H$35="","",-FV('Part III A-Sources of Funds'!$J$35/12,12,C86/12,B99))</f>
        <v/>
      </c>
      <c r="D99" s="1573" t="str">
        <f>IF('Part III A-Sources of Funds'!$H$35="","",-FV('Part III A-Sources of Funds'!$J$35/12,12,D86/12,C99))</f>
        <v/>
      </c>
      <c r="E99" s="1573" t="str">
        <f>IF('Part III A-Sources of Funds'!$H$35="","",-FV('Part III A-Sources of Funds'!$J$35/12,12,E86/12,D99))</f>
        <v/>
      </c>
      <c r="F99" s="1573" t="str">
        <f>IF('Part III A-Sources of Funds'!$H$35="","",-FV('Part III A-Sources of Funds'!$J$35/12,12,F86/12,E99))</f>
        <v/>
      </c>
      <c r="G99" s="1573" t="str">
        <f>IF('Part III A-Sources of Funds'!$H$35="","",-FV('Part III A-Sources of Funds'!$J$35/12,12,G86/12,F99))</f>
        <v/>
      </c>
      <c r="H99" s="1573" t="str">
        <f>IF('Part III A-Sources of Funds'!$H$35="","",-FV('Part III A-Sources of Funds'!$J$35/12,12,H86/12,G99))</f>
        <v/>
      </c>
      <c r="I99" s="1573" t="str">
        <f>IF('Part III A-Sources of Funds'!$H$35="","",-FV('Part III A-Sources of Funds'!$J$35/12,12,I86/12,H99))</f>
        <v/>
      </c>
      <c r="J99" s="1573" t="str">
        <f>IF('Part III A-Sources of Funds'!$H$35="","",-FV('Part III A-Sources of Funds'!$J$35/12,12,J86/12,I99))</f>
        <v/>
      </c>
      <c r="K99" s="1573" t="str">
        <f>IF('Part III A-Sources of Funds'!$H$35="","",-FV('Part III A-Sources of Funds'!$J$35/12,12,K86/12,J99))</f>
        <v/>
      </c>
      <c r="M99" s="1467"/>
      <c r="N99" s="1468"/>
    </row>
    <row r="100" spans="1:14" ht="13.15" customHeight="1">
      <c r="A100" s="678" t="s">
        <v>3649</v>
      </c>
      <c r="B100" s="1573">
        <f>'Part III A-Sources of Funds'!$H$36</f>
        <v>0</v>
      </c>
      <c r="C100" s="1573">
        <f>B100</f>
        <v>0</v>
      </c>
      <c r="D100" s="1573">
        <f t="shared" ref="D100:K100" si="41">C100</f>
        <v>0</v>
      </c>
      <c r="E100" s="1573">
        <f t="shared" si="41"/>
        <v>0</v>
      </c>
      <c r="F100" s="1573">
        <f t="shared" si="41"/>
        <v>0</v>
      </c>
      <c r="G100" s="1573">
        <f t="shared" si="41"/>
        <v>0</v>
      </c>
      <c r="H100" s="1573">
        <f t="shared" si="41"/>
        <v>0</v>
      </c>
      <c r="I100" s="1573">
        <f t="shared" si="41"/>
        <v>0</v>
      </c>
      <c r="J100" s="1573">
        <f t="shared" si="41"/>
        <v>0</v>
      </c>
      <c r="K100" s="1573">
        <f t="shared" si="41"/>
        <v>0</v>
      </c>
      <c r="M100" s="1467"/>
      <c r="N100" s="1468"/>
    </row>
    <row r="101" spans="1:14" ht="13.15" customHeight="1">
      <c r="A101" s="29" t="s">
        <v>1776</v>
      </c>
      <c r="B101" s="1575">
        <f>IF('Part III A-Sources of Funds'!$H$37="","",-FV('Part III A-Sources of Funds'!$J$37/12,12,B89/12,K71))</f>
        <v>-2.8118338065706535E-10</v>
      </c>
      <c r="C101" s="1575">
        <f>IF('Part III A-Sources of Funds'!$H$37="","",-FV('Part III A-Sources of Funds'!$J$37/12,12,C89/12,B101))</f>
        <v>-2.8941808744158976E-10</v>
      </c>
      <c r="D101" s="1575">
        <f>IF('Part III A-Sources of Funds'!$H$37="","",-FV('Part III A-Sources of Funds'!$J$37/12,12,D89/12,C101))</f>
        <v>-2.9789395497917369E-10</v>
      </c>
      <c r="E101" s="1575">
        <f>IF('Part III A-Sources of Funds'!$H$37="","",-FV('Part III A-Sources of Funds'!$J$37/12,12,E89/12,D101))</f>
        <v>-3.0661804587815753E-10</v>
      </c>
      <c r="F101" s="1575">
        <f>IF('Part III A-Sources of Funds'!$H$37="","",-FV('Part III A-Sources of Funds'!$J$37/12,12,F89/12,E101))</f>
        <v>-3.1559762958168335E-10</v>
      </c>
      <c r="G101" s="1575">
        <f>IF('Part III A-Sources of Funds'!$H$37="","",-FV('Part III A-Sources of Funds'!$J$37/12,12,G89/12,F101))</f>
        <v>-3.2484018842503726E-10</v>
      </c>
      <c r="H101" s="1575">
        <f>IF('Part III A-Sources of Funds'!$H$37="","",-FV('Part III A-Sources of Funds'!$J$37/12,12,H89/12,G101))</f>
        <v>-3.3435342387038623E-10</v>
      </c>
      <c r="I101" s="1575">
        <f>IF('Part III A-Sources of Funds'!$H$37="","",-FV('Part III A-Sources of Funds'!$J$37/12,12,I89/12,H101))</f>
        <v>-3.4414526292410469E-10</v>
      </c>
      <c r="J101" s="1575">
        <f>IF('Part III A-Sources of Funds'!$H$37="","",-FV('Part III A-Sources of Funds'!$J$37/12,12,J89/12,I101))</f>
        <v>-3.5422386474203845E-10</v>
      </c>
      <c r="K101" s="1575">
        <f>IF('Part III A-Sources of Funds'!$H$37="","",-FV('Part III A-Sources of Funds'!$J$37/12,12,K89/12,J101))</f>
        <v>-3.6459762742820955E-10</v>
      </c>
      <c r="M101" s="1470"/>
      <c r="N101" s="1471"/>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3" t="s">
        <v>4105</v>
      </c>
      <c r="B106" s="1577"/>
      <c r="C106" s="1577"/>
      <c r="D106" s="1577"/>
      <c r="E106" s="1577"/>
      <c r="F106" s="1578"/>
      <c r="G106" s="1366"/>
      <c r="H106" s="1577"/>
      <c r="I106" s="1577"/>
      <c r="J106" s="1577"/>
      <c r="K106" s="1578"/>
      <c r="M106" s="952" t="s">
        <v>3964</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2012-028 Veranda at Groveway, Roswell, Fulton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3788</v>
      </c>
      <c r="C29" s="179"/>
      <c r="D29" s="115"/>
      <c r="E29" s="115"/>
      <c r="F29" s="115"/>
      <c r="G29" s="115"/>
      <c r="I29" s="180"/>
      <c r="J29" s="180"/>
      <c r="K29" s="180"/>
      <c r="L29" s="851"/>
      <c r="M29" s="851"/>
      <c r="O29" s="181" t="s">
        <v>2739</v>
      </c>
      <c r="P29" s="1116"/>
      <c r="Q29" s="1117"/>
    </row>
    <row r="30" spans="1:19" ht="3" customHeight="1"/>
    <row r="31" spans="1:19" ht="12" customHeight="1">
      <c r="B31" s="192" t="s">
        <v>2862</v>
      </c>
      <c r="C31" s="62" t="s">
        <v>3866</v>
      </c>
      <c r="E31" s="38"/>
      <c r="F31" s="38"/>
      <c r="G31" s="38"/>
      <c r="H31" s="38"/>
      <c r="I31" s="50"/>
      <c r="J31" s="40"/>
      <c r="K31" s="50"/>
      <c r="L31" s="40"/>
      <c r="M31" s="40"/>
      <c r="O31" s="79" t="s">
        <v>849</v>
      </c>
      <c r="P31" s="1579" t="s">
        <v>3974</v>
      </c>
      <c r="Q31" s="232"/>
    </row>
    <row r="32" spans="1:19" ht="12" customHeight="1">
      <c r="B32" s="55" t="s">
        <v>2865</v>
      </c>
      <c r="C32" s="62" t="s">
        <v>994</v>
      </c>
      <c r="E32" s="38"/>
      <c r="F32" s="38"/>
      <c r="G32" s="38"/>
      <c r="H32" s="38"/>
      <c r="J32" s="1580" t="s">
        <v>4072</v>
      </c>
      <c r="K32" s="1581"/>
      <c r="L32" s="1581"/>
      <c r="M32" s="1581"/>
      <c r="N32" s="1582"/>
      <c r="O32" s="79"/>
      <c r="P32" s="79"/>
      <c r="Q32" s="79"/>
    </row>
    <row r="33" spans="1:31" ht="11.25" customHeight="1">
      <c r="B33" s="80" t="s">
        <v>2737</v>
      </c>
      <c r="C33" s="80"/>
      <c r="D33" s="80"/>
      <c r="E33" s="80"/>
      <c r="F33" s="80"/>
      <c r="G33" s="180"/>
      <c r="H33" s="180"/>
      <c r="I33" s="180"/>
      <c r="J33" s="180"/>
      <c r="K33" s="851"/>
      <c r="L33" s="851"/>
      <c r="M33" s="851"/>
      <c r="N33" s="851"/>
      <c r="O33" s="851"/>
      <c r="P33" s="60"/>
      <c r="S33" s="215"/>
      <c r="T33" s="215"/>
    </row>
    <row r="34" spans="1:31" ht="25.5" customHeight="1">
      <c r="A34" s="1583" t="s">
        <v>4073</v>
      </c>
      <c r="B34" s="1584"/>
      <c r="C34" s="1584"/>
      <c r="D34" s="1584"/>
      <c r="E34" s="1584"/>
      <c r="F34" s="1584"/>
      <c r="G34" s="1584"/>
      <c r="H34" s="1584"/>
      <c r="I34" s="1584"/>
      <c r="J34" s="1584"/>
      <c r="K34" s="1584"/>
      <c r="L34" s="1584"/>
      <c r="M34" s="1584"/>
      <c r="N34" s="1584"/>
      <c r="O34" s="1584"/>
      <c r="P34" s="1584"/>
      <c r="Q34" s="1585"/>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586" t="str">
        <f>'Part I-Project Information'!$H$65</f>
        <v>Elderly</v>
      </c>
      <c r="K43" s="1587"/>
      <c r="L43" s="1588"/>
      <c r="M43" s="855"/>
      <c r="N43" s="855"/>
      <c r="P43" s="1579" t="s">
        <v>3974</v>
      </c>
      <c r="Q43" s="232"/>
    </row>
    <row r="44" spans="1:31" ht="11.25" customHeight="1">
      <c r="B44" s="127" t="s">
        <v>2737</v>
      </c>
      <c r="D44" s="127"/>
      <c r="E44" s="127"/>
      <c r="F44" s="127"/>
      <c r="G44" s="127"/>
      <c r="H44" s="48"/>
      <c r="I44" s="180"/>
      <c r="J44" s="180"/>
      <c r="K44" s="187" t="s">
        <v>2738</v>
      </c>
      <c r="L44" s="851"/>
      <c r="M44" s="851"/>
      <c r="N44" s="851"/>
      <c r="O44" s="851"/>
      <c r="P44" s="851"/>
      <c r="Q44" s="60"/>
    </row>
    <row r="45" spans="1:31" ht="11.45" customHeight="1">
      <c r="A45" s="1583" t="s">
        <v>4074</v>
      </c>
      <c r="B45" s="1584"/>
      <c r="C45" s="1584"/>
      <c r="D45" s="1584"/>
      <c r="E45" s="1584"/>
      <c r="F45" s="1584"/>
      <c r="G45" s="1584"/>
      <c r="H45" s="1584"/>
      <c r="I45" s="1584"/>
      <c r="J45" s="1585"/>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3789</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579" t="s">
        <v>4011</v>
      </c>
      <c r="Q49" s="232"/>
    </row>
    <row r="50" spans="1:31" ht="12" customHeight="1">
      <c r="B50" s="55" t="s">
        <v>2865</v>
      </c>
      <c r="C50" s="38" t="s">
        <v>3887</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79" t="s">
        <v>3974</v>
      </c>
      <c r="Q51" s="232"/>
    </row>
    <row r="52" spans="1:31" ht="10.9" customHeight="1">
      <c r="A52" s="194"/>
      <c r="B52" s="50"/>
      <c r="C52" s="79" t="s">
        <v>2591</v>
      </c>
      <c r="D52" s="38" t="s">
        <v>2669</v>
      </c>
      <c r="E52" s="850"/>
      <c r="F52" s="850"/>
      <c r="G52" s="850"/>
      <c r="H52" s="40"/>
      <c r="I52" s="50"/>
      <c r="J52" s="50"/>
      <c r="O52" s="79" t="s">
        <v>2591</v>
      </c>
      <c r="P52" s="1579" t="s">
        <v>3974</v>
      </c>
      <c r="Q52" s="232"/>
    </row>
    <row r="53" spans="1:31" ht="10.9" customHeight="1">
      <c r="A53" s="194"/>
      <c r="B53" s="50"/>
      <c r="C53" s="79" t="s">
        <v>2592</v>
      </c>
      <c r="D53" s="38" t="s">
        <v>374</v>
      </c>
      <c r="E53" s="850"/>
      <c r="J53" s="79"/>
      <c r="K53" s="79" t="s">
        <v>2592</v>
      </c>
      <c r="L53" s="1589"/>
      <c r="M53" s="1590"/>
      <c r="N53" s="1590"/>
      <c r="O53" s="1590"/>
      <c r="P53" s="1591"/>
      <c r="Q53" s="232"/>
    </row>
    <row r="54" spans="1:31" ht="11.25" customHeight="1">
      <c r="B54" s="127" t="s">
        <v>2737</v>
      </c>
      <c r="D54" s="127"/>
      <c r="E54" s="127"/>
      <c r="F54" s="127"/>
      <c r="G54" s="127"/>
      <c r="H54" s="48"/>
      <c r="I54" s="180"/>
      <c r="J54" s="180"/>
      <c r="K54" s="180"/>
      <c r="L54" s="851"/>
      <c r="M54" s="851"/>
      <c r="N54" s="851"/>
      <c r="O54" s="851"/>
      <c r="P54" s="851"/>
      <c r="Q54" s="60"/>
    </row>
    <row r="55" spans="1:31" ht="12" customHeight="1">
      <c r="A55" s="1583"/>
      <c r="B55" s="1584"/>
      <c r="C55" s="1584"/>
      <c r="D55" s="1584"/>
      <c r="E55" s="1584"/>
      <c r="F55" s="1584"/>
      <c r="G55" s="1584"/>
      <c r="H55" s="1584"/>
      <c r="I55" s="1584"/>
      <c r="J55" s="1584"/>
      <c r="K55" s="1584"/>
      <c r="L55" s="1584"/>
      <c r="M55" s="1584"/>
      <c r="N55" s="1584"/>
      <c r="O55" s="1584"/>
      <c r="P55" s="1584"/>
      <c r="Q55" s="1585"/>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3790</v>
      </c>
      <c r="C59" s="856"/>
      <c r="D59" s="855"/>
      <c r="E59" s="855"/>
      <c r="F59" s="855"/>
      <c r="G59" s="855"/>
      <c r="H59" s="855"/>
      <c r="I59" s="855"/>
      <c r="J59" s="855"/>
      <c r="K59" s="855"/>
      <c r="O59" s="181" t="s">
        <v>2739</v>
      </c>
      <c r="P59" s="1116"/>
      <c r="Q59" s="1117"/>
    </row>
    <row r="60" spans="1:31" ht="3" customHeight="1"/>
    <row r="61" spans="1:31" ht="12" customHeight="1">
      <c r="B61" s="55" t="s">
        <v>2862</v>
      </c>
      <c r="C61" s="195" t="s">
        <v>3460</v>
      </c>
      <c r="D61" s="183"/>
      <c r="E61" s="183"/>
      <c r="F61" s="183"/>
      <c r="G61" s="183"/>
      <c r="H61" s="183"/>
      <c r="I61" s="50"/>
      <c r="J61" s="50"/>
      <c r="K61" s="50"/>
      <c r="L61" s="803" t="s">
        <v>2862</v>
      </c>
      <c r="M61" s="1589" t="s">
        <v>4015</v>
      </c>
      <c r="N61" s="1590"/>
      <c r="O61" s="1590"/>
      <c r="P61" s="1592"/>
      <c r="Q61" s="232"/>
    </row>
    <row r="62" spans="1:31" ht="12" customHeight="1">
      <c r="B62" s="55" t="s">
        <v>2865</v>
      </c>
      <c r="C62" s="62" t="s">
        <v>2918</v>
      </c>
      <c r="D62" s="183"/>
      <c r="E62" s="183"/>
      <c r="F62" s="183"/>
      <c r="L62" s="803" t="s">
        <v>2865</v>
      </c>
      <c r="M62" s="1589" t="s">
        <v>4076</v>
      </c>
      <c r="N62" s="1590"/>
      <c r="O62" s="1590"/>
      <c r="P62" s="1592"/>
      <c r="Q62" s="232"/>
    </row>
    <row r="63" spans="1:31" ht="12" customHeight="1">
      <c r="B63" s="55" t="s">
        <v>1145</v>
      </c>
      <c r="C63" s="62" t="s">
        <v>3461</v>
      </c>
      <c r="D63" s="183"/>
      <c r="E63" s="183"/>
      <c r="F63" s="183"/>
      <c r="L63" s="803" t="s">
        <v>1145</v>
      </c>
      <c r="M63" s="1589" t="s">
        <v>4075</v>
      </c>
      <c r="N63" s="1590"/>
      <c r="O63" s="1590"/>
      <c r="P63" s="1592"/>
      <c r="Q63" s="352"/>
    </row>
    <row r="64" spans="1:31" ht="12" customHeight="1">
      <c r="B64" s="55" t="s">
        <v>3004</v>
      </c>
      <c r="C64" s="62" t="s">
        <v>3462</v>
      </c>
      <c r="D64" s="183"/>
      <c r="E64" s="183"/>
      <c r="F64" s="183"/>
      <c r="L64" s="803" t="s">
        <v>3004</v>
      </c>
      <c r="M64" s="1593">
        <v>0.25800000000000001</v>
      </c>
      <c r="N64" s="1590"/>
      <c r="O64" s="1590"/>
      <c r="P64" s="1592"/>
      <c r="Q64" s="232"/>
    </row>
    <row r="65" spans="1:31" ht="22.15" customHeight="1">
      <c r="B65" s="192" t="s">
        <v>2588</v>
      </c>
      <c r="C65" s="1125" t="s">
        <v>3867</v>
      </c>
      <c r="D65" s="1125"/>
      <c r="E65" s="1125"/>
      <c r="F65" s="1125"/>
      <c r="G65" s="1125"/>
      <c r="H65" s="1125"/>
      <c r="I65" s="1125"/>
      <c r="J65" s="1125"/>
      <c r="K65" s="1125"/>
      <c r="L65" s="1125"/>
      <c r="M65" s="850"/>
      <c r="O65" s="803" t="s">
        <v>2588</v>
      </c>
      <c r="P65" s="1579" t="s">
        <v>3984</v>
      </c>
      <c r="Q65" s="232"/>
    </row>
    <row r="66" spans="1:31" ht="12" customHeight="1">
      <c r="B66" s="55"/>
      <c r="C66" s="62"/>
      <c r="D66" s="823" t="s">
        <v>3349</v>
      </c>
      <c r="E66" s="38" t="s">
        <v>874</v>
      </c>
      <c r="F66" s="38"/>
      <c r="H66" s="62"/>
      <c r="I66" s="823" t="s">
        <v>3349</v>
      </c>
      <c r="J66" s="38" t="s">
        <v>874</v>
      </c>
      <c r="K66" s="38"/>
      <c r="M66" s="62"/>
      <c r="N66" s="823" t="s">
        <v>3349</v>
      </c>
      <c r="O66" s="38" t="s">
        <v>874</v>
      </c>
      <c r="P66" s="38"/>
      <c r="Q66" s="803"/>
    </row>
    <row r="67" spans="1:31" ht="12" customHeight="1">
      <c r="B67" s="55"/>
      <c r="C67" s="62">
        <v>1</v>
      </c>
      <c r="D67" s="1594"/>
      <c r="E67" s="1595"/>
      <c r="F67" s="1595"/>
      <c r="G67" s="1595"/>
      <c r="H67" s="62">
        <v>3</v>
      </c>
      <c r="I67" s="1594"/>
      <c r="J67" s="1595"/>
      <c r="K67" s="1595"/>
      <c r="L67" s="1595"/>
      <c r="M67" s="62">
        <v>5</v>
      </c>
      <c r="N67" s="1594"/>
      <c r="O67" s="1595"/>
      <c r="P67" s="1595"/>
      <c r="Q67" s="1595"/>
    </row>
    <row r="68" spans="1:31" ht="12" customHeight="1">
      <c r="B68" s="55"/>
      <c r="C68" s="62">
        <v>2</v>
      </c>
      <c r="D68" s="1594"/>
      <c r="E68" s="1595"/>
      <c r="F68" s="1595"/>
      <c r="G68" s="1595"/>
      <c r="H68" s="62">
        <v>4</v>
      </c>
      <c r="I68" s="1594"/>
      <c r="J68" s="1595"/>
      <c r="K68" s="1595"/>
      <c r="L68" s="1595"/>
      <c r="M68" s="62">
        <v>6</v>
      </c>
      <c r="N68" s="1594"/>
      <c r="O68" s="1595"/>
      <c r="P68" s="1595"/>
      <c r="Q68" s="1595"/>
    </row>
    <row r="69" spans="1:31" ht="12" customHeight="1">
      <c r="B69" s="55" t="s">
        <v>2589</v>
      </c>
      <c r="C69" s="62" t="s">
        <v>0</v>
      </c>
      <c r="D69" s="183"/>
      <c r="E69" s="183"/>
      <c r="F69" s="183"/>
      <c r="G69" s="183"/>
      <c r="H69" s="183"/>
      <c r="I69" s="50"/>
      <c r="J69" s="50"/>
      <c r="K69" s="183"/>
      <c r="L69" s="850"/>
      <c r="M69" s="850"/>
      <c r="O69" s="803" t="s">
        <v>2589</v>
      </c>
      <c r="P69" s="1596" t="s">
        <v>3974</v>
      </c>
      <c r="Q69" s="352"/>
    </row>
    <row r="70" spans="1:31" ht="11.25" customHeight="1">
      <c r="B70" s="191" t="s">
        <v>2737</v>
      </c>
      <c r="D70" s="191"/>
      <c r="E70" s="191"/>
      <c r="F70" s="191"/>
      <c r="G70" s="191"/>
      <c r="H70" s="48"/>
      <c r="I70" s="180"/>
      <c r="J70" s="180"/>
      <c r="K70" s="180"/>
      <c r="L70" s="851"/>
      <c r="M70" s="851"/>
      <c r="N70" s="851"/>
      <c r="O70" s="851"/>
      <c r="P70" s="851"/>
      <c r="Q70" s="60"/>
    </row>
    <row r="71" spans="1:31" ht="22.9" customHeight="1">
      <c r="A71" s="1583" t="s">
        <v>4077</v>
      </c>
      <c r="B71" s="1584"/>
      <c r="C71" s="1584"/>
      <c r="D71" s="1584"/>
      <c r="E71" s="1584"/>
      <c r="F71" s="1584"/>
      <c r="G71" s="1584"/>
      <c r="H71" s="1584"/>
      <c r="I71" s="1584"/>
      <c r="J71" s="1584"/>
      <c r="K71" s="1584"/>
      <c r="L71" s="1584"/>
      <c r="M71" s="1584"/>
      <c r="N71" s="1584"/>
      <c r="O71" s="1584"/>
      <c r="P71" s="1584"/>
      <c r="Q71" s="1585"/>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3791</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579" t="s">
        <v>3984</v>
      </c>
      <c r="Q76" s="232"/>
    </row>
    <row r="77" spans="1:31" ht="12" customHeight="1">
      <c r="B77" s="55" t="s">
        <v>2865</v>
      </c>
      <c r="C77" s="62" t="s">
        <v>1871</v>
      </c>
      <c r="D77" s="62"/>
      <c r="E77" s="62"/>
      <c r="F77" s="62"/>
      <c r="G77" s="62"/>
      <c r="H77" s="62"/>
      <c r="I77" s="62"/>
      <c r="J77" s="62"/>
      <c r="K77" s="62"/>
      <c r="L77" s="38"/>
      <c r="M77" s="38"/>
      <c r="O77" s="803" t="s">
        <v>2865</v>
      </c>
      <c r="P77" s="1579" t="s">
        <v>3984</v>
      </c>
      <c r="Q77" s="232"/>
    </row>
    <row r="78" spans="1:31" ht="12" customHeight="1">
      <c r="A78" s="182"/>
      <c r="B78" s="44"/>
      <c r="D78" s="47" t="s">
        <v>790</v>
      </c>
      <c r="E78" s="50"/>
      <c r="F78" s="50"/>
      <c r="G78" s="50"/>
      <c r="H78" s="50"/>
      <c r="I78" s="50"/>
      <c r="K78" s="47" t="s">
        <v>791</v>
      </c>
      <c r="M78" s="1597"/>
      <c r="N78" s="1598"/>
      <c r="O78" s="1598"/>
      <c r="P78" s="1599"/>
      <c r="Q78" s="232"/>
    </row>
    <row r="79" spans="1:31" ht="22.9" customHeight="1">
      <c r="A79" s="194"/>
      <c r="B79" s="180"/>
      <c r="C79" s="201" t="s">
        <v>2590</v>
      </c>
      <c r="D79" s="1096" t="s">
        <v>638</v>
      </c>
      <c r="E79" s="1600"/>
      <c r="F79" s="1600"/>
      <c r="G79" s="1600"/>
      <c r="H79" s="1600"/>
      <c r="I79" s="1600"/>
      <c r="J79" s="1600"/>
      <c r="K79" s="1600"/>
      <c r="L79" s="1600"/>
      <c r="M79" s="1600"/>
      <c r="N79" s="1600"/>
      <c r="O79" s="201" t="s">
        <v>2590</v>
      </c>
      <c r="P79" s="1579"/>
      <c r="Q79" s="232"/>
    </row>
    <row r="80" spans="1:31" ht="12" customHeight="1">
      <c r="A80" s="194"/>
      <c r="B80" s="180"/>
      <c r="C80" s="79" t="s">
        <v>2591</v>
      </c>
      <c r="D80" s="62" t="s">
        <v>171</v>
      </c>
      <c r="E80" s="62"/>
      <c r="F80" s="62"/>
      <c r="G80" s="62"/>
      <c r="H80" s="62"/>
      <c r="I80" s="62"/>
      <c r="J80" s="62"/>
      <c r="K80" s="62"/>
      <c r="L80" s="62"/>
      <c r="M80" s="62"/>
      <c r="O80" s="79" t="s">
        <v>2591</v>
      </c>
      <c r="P80" s="1579"/>
      <c r="Q80" s="232"/>
    </row>
    <row r="81" spans="1:32" s="182" customFormat="1" ht="24.75" customHeight="1">
      <c r="A81" s="194"/>
      <c r="B81" s="711"/>
      <c r="C81" s="201" t="s">
        <v>2592</v>
      </c>
      <c r="D81" s="1125" t="s">
        <v>3942</v>
      </c>
      <c r="E81" s="1125"/>
      <c r="F81" s="1125"/>
      <c r="G81" s="1125"/>
      <c r="H81" s="1125"/>
      <c r="I81" s="1125"/>
      <c r="J81" s="1125"/>
      <c r="K81" s="1125"/>
      <c r="L81" s="1125"/>
      <c r="M81" s="1125"/>
      <c r="N81" s="1125"/>
      <c r="O81" s="201" t="s">
        <v>2592</v>
      </c>
      <c r="P81" s="1601"/>
      <c r="Q81" s="354"/>
      <c r="AE81" s="806"/>
      <c r="AF81" s="806"/>
    </row>
    <row r="82" spans="1:32" ht="12" customHeight="1">
      <c r="B82" s="55" t="s">
        <v>1145</v>
      </c>
      <c r="C82" s="62" t="s">
        <v>173</v>
      </c>
      <c r="D82" s="62"/>
      <c r="E82" s="62"/>
      <c r="F82" s="62"/>
      <c r="G82" s="62"/>
      <c r="H82" s="62"/>
      <c r="I82" s="62"/>
      <c r="J82" s="62"/>
      <c r="K82" s="62"/>
      <c r="L82" s="62"/>
      <c r="M82" s="62"/>
      <c r="O82" s="803" t="s">
        <v>1145</v>
      </c>
      <c r="P82" s="1579"/>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9"/>
      <c r="Q84" s="232"/>
    </row>
    <row r="85" spans="1:32" ht="12" customHeight="1">
      <c r="B85" s="55"/>
      <c r="C85" s="79" t="s">
        <v>2591</v>
      </c>
      <c r="D85" s="62" t="s">
        <v>2011</v>
      </c>
      <c r="E85" s="62"/>
      <c r="F85" s="62"/>
      <c r="G85" s="62"/>
      <c r="H85" s="62"/>
      <c r="I85" s="62"/>
      <c r="J85" s="62"/>
      <c r="K85" s="62"/>
      <c r="L85" s="38"/>
      <c r="M85" s="38"/>
      <c r="O85" s="79" t="s">
        <v>2591</v>
      </c>
      <c r="P85" s="1579"/>
      <c r="Q85" s="232"/>
    </row>
    <row r="86" spans="1:32" ht="12" customHeight="1">
      <c r="B86" s="55"/>
      <c r="C86" s="79" t="s">
        <v>2592</v>
      </c>
      <c r="D86" s="62" t="s">
        <v>2012</v>
      </c>
      <c r="E86" s="62"/>
      <c r="F86" s="62"/>
      <c r="G86" s="62"/>
      <c r="H86" s="62"/>
      <c r="I86" s="62"/>
      <c r="J86" s="62"/>
      <c r="K86" s="62"/>
      <c r="L86" s="38"/>
      <c r="M86" s="38"/>
      <c r="O86" s="79" t="s">
        <v>2592</v>
      </c>
      <c r="P86" s="1579"/>
      <c r="Q86" s="232"/>
    </row>
    <row r="87" spans="1:32" ht="11.25" customHeight="1">
      <c r="B87" s="191" t="s">
        <v>2737</v>
      </c>
      <c r="D87" s="191"/>
      <c r="E87" s="191"/>
      <c r="F87" s="191"/>
      <c r="G87" s="191"/>
      <c r="H87" s="48"/>
      <c r="I87" s="180"/>
      <c r="J87" s="180"/>
      <c r="K87" s="180"/>
      <c r="L87" s="851"/>
      <c r="M87" s="851"/>
      <c r="N87" s="851"/>
      <c r="O87" s="851"/>
      <c r="P87" s="851"/>
      <c r="Q87" s="60"/>
    </row>
    <row r="88" spans="1:32" ht="21.6" customHeight="1">
      <c r="A88" s="1583" t="s">
        <v>4051</v>
      </c>
      <c r="B88" s="1584"/>
      <c r="C88" s="1584"/>
      <c r="D88" s="1584"/>
      <c r="E88" s="1584"/>
      <c r="F88" s="1584"/>
      <c r="G88" s="1584"/>
      <c r="H88" s="1584"/>
      <c r="I88" s="1584"/>
      <c r="J88" s="1584"/>
      <c r="K88" s="1584"/>
      <c r="L88" s="1584"/>
      <c r="M88" s="1584"/>
      <c r="N88" s="1584"/>
      <c r="O88" s="1584"/>
      <c r="P88" s="1584"/>
      <c r="Q88" s="1585"/>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3792</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3934</v>
      </c>
      <c r="D94" s="183"/>
      <c r="E94" s="183"/>
      <c r="F94" s="183"/>
      <c r="G94" s="183"/>
      <c r="H94" s="183"/>
      <c r="I94" s="50"/>
      <c r="J94" s="50"/>
      <c r="K94" s="50"/>
      <c r="L94" s="803" t="s">
        <v>2862</v>
      </c>
      <c r="M94" s="1589" t="s">
        <v>4016</v>
      </c>
      <c r="N94" s="1590"/>
      <c r="O94" s="1590"/>
      <c r="P94" s="1591"/>
      <c r="Q94" s="232"/>
    </row>
    <row r="95" spans="1:32" ht="12" customHeight="1">
      <c r="B95" s="55" t="s">
        <v>2865</v>
      </c>
      <c r="C95" s="62" t="s">
        <v>2141</v>
      </c>
      <c r="D95" s="183"/>
      <c r="E95" s="183"/>
      <c r="F95" s="183"/>
      <c r="G95" s="183"/>
      <c r="H95" s="183"/>
      <c r="I95" s="50"/>
      <c r="J95" s="50"/>
      <c r="K95" s="183"/>
      <c r="L95" s="183"/>
      <c r="M95" s="850"/>
      <c r="O95" s="803" t="s">
        <v>2865</v>
      </c>
      <c r="P95" s="1579" t="s">
        <v>3984</v>
      </c>
      <c r="Q95" s="352"/>
    </row>
    <row r="96" spans="1:32" ht="12" customHeight="1">
      <c r="B96" s="55" t="s">
        <v>1145</v>
      </c>
      <c r="C96" s="62" t="s">
        <v>186</v>
      </c>
      <c r="D96" s="183"/>
      <c r="E96" s="183"/>
      <c r="F96" s="183"/>
      <c r="G96" s="183"/>
      <c r="H96" s="183"/>
      <c r="I96" s="50"/>
      <c r="J96" s="50"/>
      <c r="K96" s="183"/>
      <c r="L96" s="850"/>
      <c r="M96" s="850"/>
      <c r="O96" s="803" t="s">
        <v>1145</v>
      </c>
      <c r="P96" s="1579" t="s">
        <v>3974</v>
      </c>
      <c r="Q96" s="232"/>
    </row>
    <row r="97" spans="2:17" ht="12" customHeight="1">
      <c r="B97" s="55"/>
      <c r="C97" s="78" t="s">
        <v>2590</v>
      </c>
      <c r="D97" s="62" t="s">
        <v>3935</v>
      </c>
      <c r="E97" s="183"/>
      <c r="F97" s="183"/>
      <c r="G97" s="183"/>
      <c r="H97" s="183"/>
      <c r="I97" s="50"/>
      <c r="J97" s="50"/>
      <c r="K97" s="183"/>
      <c r="L97" s="79" t="s">
        <v>2590</v>
      </c>
      <c r="M97" s="1589" t="s">
        <v>4089</v>
      </c>
      <c r="N97" s="1590"/>
      <c r="O97" s="1590"/>
      <c r="P97" s="1591"/>
      <c r="Q97" s="352"/>
    </row>
    <row r="98" spans="2:17" ht="12" customHeight="1">
      <c r="B98" s="189"/>
      <c r="C98" s="79" t="s">
        <v>2591</v>
      </c>
      <c r="D98" s="44" t="s">
        <v>3642</v>
      </c>
      <c r="E98" s="50"/>
      <c r="F98" s="50"/>
      <c r="G98" s="50"/>
      <c r="H98" s="62"/>
      <c r="I98" s="50"/>
      <c r="J98" s="50"/>
      <c r="K98" s="183"/>
      <c r="L98" s="850"/>
      <c r="M98" s="850"/>
      <c r="O98" s="803" t="s">
        <v>2591</v>
      </c>
      <c r="P98" s="1596" t="s">
        <v>4090</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602" t="s">
        <v>4091</v>
      </c>
      <c r="E100" s="1603"/>
      <c r="F100" s="1603"/>
      <c r="G100" s="1603"/>
      <c r="H100" s="1603"/>
      <c r="I100" s="1603"/>
      <c r="J100" s="1603"/>
      <c r="K100" s="1603"/>
      <c r="L100" s="1603"/>
      <c r="M100" s="1603"/>
      <c r="N100" s="1603"/>
      <c r="O100" s="1604"/>
      <c r="P100" s="855"/>
      <c r="Q100" s="851"/>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579" t="s">
        <v>3984</v>
      </c>
      <c r="Q102" s="232"/>
    </row>
    <row r="103" spans="2:17" ht="12" customHeight="1">
      <c r="B103" s="55"/>
      <c r="C103" s="79" t="s">
        <v>2591</v>
      </c>
      <c r="D103" s="62" t="s">
        <v>1816</v>
      </c>
      <c r="E103" s="183"/>
      <c r="F103" s="183"/>
      <c r="G103" s="183"/>
      <c r="H103" s="50"/>
      <c r="I103" s="50"/>
      <c r="J103" s="50"/>
      <c r="K103" s="183"/>
      <c r="L103" s="850"/>
      <c r="M103" s="850"/>
      <c r="O103" s="79" t="s">
        <v>2591</v>
      </c>
      <c r="P103" s="1596" t="s">
        <v>3984</v>
      </c>
      <c r="Q103" s="352"/>
    </row>
    <row r="104" spans="2:17" ht="12" customHeight="1">
      <c r="B104" s="55"/>
      <c r="C104" s="79"/>
      <c r="D104" s="62" t="s">
        <v>3762</v>
      </c>
      <c r="E104" s="728" t="s">
        <v>3417</v>
      </c>
      <c r="F104" s="62" t="s">
        <v>3763</v>
      </c>
      <c r="G104" s="50"/>
      <c r="H104" s="62"/>
      <c r="I104" s="50"/>
      <c r="J104" s="50"/>
      <c r="K104" s="183"/>
      <c r="L104" s="850"/>
      <c r="M104" s="850"/>
      <c r="O104" s="728" t="s">
        <v>3417</v>
      </c>
      <c r="P104" s="1605">
        <v>0</v>
      </c>
      <c r="Q104" s="448"/>
    </row>
    <row r="105" spans="2:17" ht="12" customHeight="1">
      <c r="B105" s="55"/>
      <c r="C105" s="79"/>
      <c r="E105" s="728" t="s">
        <v>3418</v>
      </c>
      <c r="F105" s="62" t="s">
        <v>3764</v>
      </c>
      <c r="G105" s="50"/>
      <c r="H105" s="62"/>
      <c r="I105" s="50"/>
      <c r="J105" s="50"/>
      <c r="K105" s="183"/>
      <c r="L105" s="850"/>
      <c r="M105" s="850"/>
      <c r="O105" s="728" t="s">
        <v>3418</v>
      </c>
      <c r="P105" s="1596"/>
      <c r="Q105" s="352"/>
    </row>
    <row r="106" spans="2:17" ht="12" customHeight="1">
      <c r="B106" s="55"/>
      <c r="C106" s="79"/>
      <c r="E106" s="728" t="s">
        <v>3419</v>
      </c>
      <c r="F106" s="62" t="s">
        <v>3765</v>
      </c>
      <c r="G106" s="50"/>
      <c r="H106" s="62"/>
      <c r="I106" s="50"/>
      <c r="J106" s="50"/>
      <c r="K106" s="183"/>
      <c r="L106" s="850"/>
      <c r="M106" s="850"/>
      <c r="O106" s="728" t="s">
        <v>3419</v>
      </c>
      <c r="P106" s="1596"/>
      <c r="Q106" s="352"/>
    </row>
    <row r="107" spans="2:17" ht="12" customHeight="1">
      <c r="B107" s="55"/>
      <c r="C107" s="79" t="s">
        <v>2592</v>
      </c>
      <c r="D107" s="62" t="s">
        <v>1817</v>
      </c>
      <c r="E107" s="183"/>
      <c r="F107" s="183"/>
      <c r="G107" s="183"/>
      <c r="H107" s="62"/>
      <c r="I107" s="50"/>
      <c r="J107" s="50"/>
      <c r="K107" s="183"/>
      <c r="L107" s="850"/>
      <c r="M107" s="850"/>
      <c r="O107" s="79" t="s">
        <v>2592</v>
      </c>
      <c r="P107" s="1579" t="s">
        <v>3984</v>
      </c>
      <c r="Q107" s="232"/>
    </row>
    <row r="108" spans="2:17" ht="12" customHeight="1">
      <c r="B108" s="55"/>
      <c r="C108" s="79"/>
      <c r="D108" s="62" t="s">
        <v>3762</v>
      </c>
      <c r="E108" s="728" t="s">
        <v>3417</v>
      </c>
      <c r="F108" s="62" t="s">
        <v>3766</v>
      </c>
      <c r="G108" s="50"/>
      <c r="H108" s="62"/>
      <c r="I108" s="50"/>
      <c r="J108" s="50"/>
      <c r="K108" s="183"/>
      <c r="L108" s="850"/>
      <c r="O108" s="728" t="s">
        <v>3417</v>
      </c>
      <c r="P108" s="1605">
        <v>0</v>
      </c>
      <c r="Q108" s="353"/>
    </row>
    <row r="109" spans="2:17" ht="12" customHeight="1">
      <c r="B109" s="55"/>
      <c r="C109" s="79"/>
      <c r="E109" s="728" t="s">
        <v>3418</v>
      </c>
      <c r="F109" s="62" t="s">
        <v>3767</v>
      </c>
      <c r="G109" s="50"/>
      <c r="H109" s="62"/>
      <c r="I109" s="50"/>
      <c r="J109" s="50"/>
      <c r="K109" s="183"/>
      <c r="L109" s="850"/>
      <c r="O109" s="728" t="s">
        <v>3418</v>
      </c>
      <c r="P109" s="1596"/>
      <c r="Q109" s="352"/>
    </row>
    <row r="110" spans="2:17" ht="12" customHeight="1">
      <c r="B110" s="55"/>
      <c r="C110" s="79"/>
      <c r="E110" s="728" t="s">
        <v>3419</v>
      </c>
      <c r="F110" s="62" t="s">
        <v>3765</v>
      </c>
      <c r="G110" s="50"/>
      <c r="H110" s="62"/>
      <c r="I110" s="50"/>
      <c r="J110" s="50"/>
      <c r="K110" s="183"/>
      <c r="L110" s="850"/>
      <c r="O110" s="728" t="s">
        <v>3419</v>
      </c>
      <c r="P110" s="1596"/>
      <c r="Q110" s="352"/>
    </row>
    <row r="111" spans="2:17" ht="12" customHeight="1">
      <c r="B111" s="44"/>
      <c r="C111" s="79" t="s">
        <v>3329</v>
      </c>
      <c r="D111" s="62" t="s">
        <v>3768</v>
      </c>
      <c r="E111" s="183"/>
      <c r="F111" s="183"/>
      <c r="G111" s="183"/>
      <c r="H111" s="183"/>
      <c r="I111" s="50"/>
      <c r="J111" s="50"/>
      <c r="K111" s="183"/>
      <c r="L111" s="850"/>
      <c r="M111" s="850"/>
      <c r="O111" s="79" t="s">
        <v>3329</v>
      </c>
      <c r="P111" s="1579" t="s">
        <v>3974</v>
      </c>
      <c r="Q111" s="232"/>
    </row>
    <row r="112" spans="2:17" ht="12" customHeight="1">
      <c r="B112" s="55" t="s">
        <v>2588</v>
      </c>
      <c r="C112" s="196" t="s">
        <v>3394</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3395</v>
      </c>
      <c r="E113" s="183"/>
      <c r="F113" s="1579" t="s">
        <v>3974</v>
      </c>
      <c r="G113" s="232"/>
      <c r="H113" s="79" t="s">
        <v>3329</v>
      </c>
      <c r="I113" s="62" t="s">
        <v>2156</v>
      </c>
      <c r="J113" s="1579" t="s">
        <v>3984</v>
      </c>
      <c r="K113" s="232"/>
      <c r="L113" s="803" t="s">
        <v>107</v>
      </c>
      <c r="M113" s="62" t="s">
        <v>2157</v>
      </c>
      <c r="O113" s="1579" t="s">
        <v>3984</v>
      </c>
      <c r="P113" s="232"/>
    </row>
    <row r="114" spans="1:31" ht="12" customHeight="1">
      <c r="B114" s="44"/>
      <c r="C114" s="79" t="s">
        <v>2591</v>
      </c>
      <c r="D114" s="62" t="s">
        <v>3500</v>
      </c>
      <c r="E114" s="183"/>
      <c r="F114" s="1579" t="s">
        <v>3984</v>
      </c>
      <c r="G114" s="232"/>
      <c r="H114" s="79" t="s">
        <v>2153</v>
      </c>
      <c r="I114" s="62" t="s">
        <v>3770</v>
      </c>
      <c r="J114" s="1606" t="s">
        <v>3984</v>
      </c>
      <c r="K114" s="663"/>
      <c r="L114" s="803" t="s">
        <v>743</v>
      </c>
      <c r="M114" s="65" t="s">
        <v>3771</v>
      </c>
      <c r="O114" s="1606" t="s">
        <v>3984</v>
      </c>
      <c r="P114" s="663"/>
    </row>
    <row r="115" spans="1:31" ht="12" customHeight="1">
      <c r="B115" s="44"/>
      <c r="C115" s="79" t="s">
        <v>2592</v>
      </c>
      <c r="D115" s="62" t="s">
        <v>3769</v>
      </c>
      <c r="E115" s="183"/>
      <c r="F115" s="1579" t="s">
        <v>3984</v>
      </c>
      <c r="G115" s="232"/>
      <c r="H115" s="79" t="s">
        <v>2154</v>
      </c>
      <c r="I115" s="62" t="s">
        <v>2155</v>
      </c>
      <c r="J115" s="1606" t="s">
        <v>3984</v>
      </c>
      <c r="K115" s="663"/>
      <c r="L115" s="803" t="s">
        <v>744</v>
      </c>
      <c r="M115" s="65" t="s">
        <v>3772</v>
      </c>
      <c r="O115" s="1606" t="s">
        <v>3984</v>
      </c>
      <c r="P115" s="663"/>
    </row>
    <row r="116" spans="1:31" ht="12" customHeight="1">
      <c r="B116" s="44"/>
      <c r="C116" s="803" t="s">
        <v>745</v>
      </c>
      <c r="D116" s="62" t="s">
        <v>3773</v>
      </c>
      <c r="E116" s="183"/>
      <c r="F116" s="183"/>
      <c r="G116" s="183"/>
      <c r="H116" s="183"/>
      <c r="J116" s="1589"/>
      <c r="K116" s="1590"/>
      <c r="L116" s="1590"/>
      <c r="M116" s="1590"/>
      <c r="N116" s="1590"/>
      <c r="O116" s="1590"/>
      <c r="P116" s="1591"/>
      <c r="Q116" s="232"/>
    </row>
    <row r="117" spans="1:31" ht="12" customHeight="1">
      <c r="B117" s="55" t="s">
        <v>2589</v>
      </c>
      <c r="C117" s="62" t="s">
        <v>1851</v>
      </c>
      <c r="D117" s="183"/>
      <c r="E117" s="183"/>
      <c r="F117" s="183"/>
      <c r="G117" s="183"/>
      <c r="H117" s="183"/>
      <c r="I117" s="50"/>
      <c r="J117" s="50"/>
      <c r="K117" s="183"/>
      <c r="L117" s="183"/>
      <c r="M117" s="850"/>
      <c r="O117" s="803" t="s">
        <v>2589</v>
      </c>
      <c r="P117" s="1579" t="s">
        <v>3974</v>
      </c>
      <c r="Q117" s="232"/>
    </row>
    <row r="118" spans="1:31" ht="12" customHeight="1">
      <c r="A118" s="194"/>
      <c r="B118" s="50"/>
      <c r="C118" s="79" t="s">
        <v>2590</v>
      </c>
      <c r="D118" s="62" t="s">
        <v>995</v>
      </c>
      <c r="E118" s="183"/>
      <c r="F118" s="183"/>
      <c r="G118" s="183"/>
      <c r="H118" s="183"/>
      <c r="O118" s="79" t="s">
        <v>2590</v>
      </c>
      <c r="P118" s="1579" t="s">
        <v>3984</v>
      </c>
      <c r="Q118" s="232"/>
    </row>
    <row r="119" spans="1:31" ht="12" customHeight="1">
      <c r="A119" s="194"/>
      <c r="B119" s="180"/>
      <c r="C119" s="79" t="s">
        <v>2591</v>
      </c>
      <c r="D119" s="62" t="s">
        <v>681</v>
      </c>
      <c r="E119" s="62"/>
      <c r="F119" s="62"/>
      <c r="G119" s="62"/>
      <c r="H119" s="62"/>
      <c r="I119" s="50"/>
      <c r="J119" s="50"/>
      <c r="K119" s="62"/>
      <c r="L119" s="62"/>
      <c r="M119" s="62"/>
      <c r="O119" s="79" t="s">
        <v>2591</v>
      </c>
      <c r="P119" s="1579" t="s">
        <v>3974</v>
      </c>
      <c r="Q119" s="232"/>
    </row>
    <row r="120" spans="1:31" ht="12" customHeight="1">
      <c r="A120" s="194"/>
      <c r="B120" s="180"/>
      <c r="C120" s="79" t="s">
        <v>2592</v>
      </c>
      <c r="D120" s="62" t="s">
        <v>951</v>
      </c>
      <c r="E120" s="62"/>
      <c r="F120" s="62"/>
      <c r="G120" s="62"/>
      <c r="H120" s="62"/>
      <c r="I120" s="50"/>
      <c r="J120" s="50"/>
      <c r="K120" s="62"/>
      <c r="L120" s="62"/>
      <c r="M120" s="62"/>
      <c r="O120" s="79" t="s">
        <v>2592</v>
      </c>
      <c r="P120" s="1579" t="s">
        <v>3974</v>
      </c>
      <c r="Q120" s="232"/>
    </row>
    <row r="121" spans="1:31" ht="12" customHeight="1">
      <c r="B121" s="55" t="s">
        <v>2825</v>
      </c>
      <c r="C121" s="62" t="s">
        <v>2607</v>
      </c>
      <c r="D121" s="183"/>
      <c r="E121" s="183"/>
      <c r="F121" s="183"/>
      <c r="G121" s="183"/>
      <c r="H121" s="183"/>
      <c r="I121" s="50"/>
      <c r="J121" s="50"/>
      <c r="K121" s="183"/>
      <c r="L121" s="183"/>
      <c r="M121" s="850"/>
      <c r="O121" s="803" t="s">
        <v>2825</v>
      </c>
      <c r="P121" s="1579" t="s">
        <v>1469</v>
      </c>
      <c r="Q121" s="232"/>
    </row>
    <row r="122" spans="1:31" ht="4.9000000000000004" customHeight="1"/>
    <row r="123" spans="1:31" ht="11.25" customHeight="1">
      <c r="B123" s="191" t="s">
        <v>2737</v>
      </c>
      <c r="D123" s="191"/>
      <c r="E123" s="191"/>
      <c r="F123" s="191"/>
      <c r="G123" s="191"/>
      <c r="H123" s="48"/>
      <c r="I123" s="180"/>
      <c r="J123" s="180"/>
      <c r="K123" s="180"/>
      <c r="L123" s="851"/>
      <c r="M123" s="851"/>
      <c r="N123" s="851"/>
      <c r="O123" s="851"/>
      <c r="P123" s="851"/>
      <c r="Q123" s="60"/>
    </row>
    <row r="124" spans="1:31" ht="12" customHeight="1">
      <c r="A124" s="1583" t="s">
        <v>4092</v>
      </c>
      <c r="B124" s="1584"/>
      <c r="C124" s="1584"/>
      <c r="D124" s="1584"/>
      <c r="E124" s="1584"/>
      <c r="F124" s="1584"/>
      <c r="G124" s="1584"/>
      <c r="H124" s="1584"/>
      <c r="I124" s="1584"/>
      <c r="J124" s="1584"/>
      <c r="K124" s="1584"/>
      <c r="L124" s="1584"/>
      <c r="M124" s="1584"/>
      <c r="N124" s="1584"/>
      <c r="O124" s="1584"/>
      <c r="P124" s="1584"/>
      <c r="Q124" s="1585"/>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3793</v>
      </c>
      <c r="C128" s="856"/>
      <c r="D128" s="855"/>
      <c r="E128" s="855"/>
      <c r="F128" s="855"/>
      <c r="G128" s="855"/>
      <c r="H128" s="855"/>
      <c r="I128" s="855"/>
      <c r="J128" s="855"/>
      <c r="K128" s="855"/>
      <c r="O128" s="181" t="s">
        <v>2739</v>
      </c>
      <c r="P128" s="1116"/>
      <c r="Q128" s="1117"/>
    </row>
    <row r="129" spans="1:31" ht="10.9" customHeight="1">
      <c r="B129" s="55" t="s">
        <v>2862</v>
      </c>
      <c r="C129" s="62" t="s">
        <v>3774</v>
      </c>
      <c r="D129" s="62"/>
      <c r="E129" s="62"/>
      <c r="F129" s="62"/>
      <c r="G129" s="62"/>
      <c r="H129" s="62"/>
      <c r="N129" s="62"/>
      <c r="O129" s="803" t="s">
        <v>2862</v>
      </c>
      <c r="P129" s="1579" t="s">
        <v>3974</v>
      </c>
      <c r="Q129" s="232"/>
    </row>
    <row r="130" spans="1:31" ht="12" customHeight="1">
      <c r="A130" s="189"/>
      <c r="B130" s="55" t="s">
        <v>2865</v>
      </c>
      <c r="C130" s="190" t="s">
        <v>185</v>
      </c>
      <c r="D130" s="190"/>
      <c r="E130" s="190"/>
      <c r="F130" s="190"/>
      <c r="G130" s="190"/>
      <c r="H130" s="190"/>
      <c r="M130" s="803" t="s">
        <v>2865</v>
      </c>
      <c r="N130" s="1607" t="s">
        <v>4052</v>
      </c>
      <c r="O130" s="1608"/>
      <c r="P130" s="1147"/>
      <c r="Q130" s="1148"/>
    </row>
    <row r="131" spans="1:31" ht="12" customHeight="1">
      <c r="A131" s="189"/>
      <c r="B131" s="55" t="s">
        <v>1145</v>
      </c>
      <c r="C131" s="190" t="s">
        <v>952</v>
      </c>
      <c r="D131" s="190"/>
      <c r="E131" s="190"/>
      <c r="F131" s="190"/>
      <c r="G131" s="190"/>
      <c r="H131" s="190"/>
      <c r="J131" s="803" t="s">
        <v>1145</v>
      </c>
      <c r="K131" s="1609" t="s">
        <v>4053</v>
      </c>
      <c r="L131" s="1610"/>
      <c r="M131" s="1610"/>
      <c r="N131" s="1610"/>
      <c r="O131" s="1610"/>
      <c r="P131" s="1611"/>
      <c r="Q131" s="232"/>
    </row>
    <row r="132" spans="1:31" ht="12" customHeight="1">
      <c r="B132" s="191" t="s">
        <v>2737</v>
      </c>
      <c r="D132" s="191"/>
      <c r="E132" s="191"/>
      <c r="F132" s="191"/>
      <c r="G132" s="191"/>
      <c r="H132" s="48"/>
      <c r="I132" s="180"/>
      <c r="J132" s="180"/>
      <c r="K132" s="180"/>
      <c r="L132" s="851"/>
      <c r="M132" s="851"/>
      <c r="N132" s="851"/>
      <c r="O132" s="851"/>
      <c r="P132" s="851"/>
      <c r="Q132" s="60"/>
    </row>
    <row r="133" spans="1:31" ht="11.45" customHeight="1">
      <c r="A133" s="1583" t="s">
        <v>4054</v>
      </c>
      <c r="B133" s="1584"/>
      <c r="C133" s="1584"/>
      <c r="D133" s="1584"/>
      <c r="E133" s="1584"/>
      <c r="F133" s="1584"/>
      <c r="G133" s="1584"/>
      <c r="H133" s="1584"/>
      <c r="I133" s="1584"/>
      <c r="J133" s="1584"/>
      <c r="K133" s="1584"/>
      <c r="L133" s="1584"/>
      <c r="M133" s="1584"/>
      <c r="N133" s="1584"/>
      <c r="O133" s="1584"/>
      <c r="P133" s="1584"/>
      <c r="Q133" s="1585"/>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3794</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579" t="s">
        <v>3974</v>
      </c>
      <c r="Q138" s="232"/>
    </row>
    <row r="139" spans="1:31" ht="22.15" customHeight="1">
      <c r="B139" s="192" t="s">
        <v>2865</v>
      </c>
      <c r="C139" s="1125" t="s">
        <v>3516</v>
      </c>
      <c r="D139" s="1125"/>
      <c r="E139" s="1125"/>
      <c r="F139" s="1125"/>
      <c r="G139" s="1125"/>
      <c r="H139" s="1125"/>
      <c r="I139" s="1125"/>
      <c r="J139" s="1125"/>
      <c r="K139" s="1125"/>
      <c r="L139" s="1125"/>
      <c r="M139" s="1125"/>
      <c r="N139" s="1125"/>
      <c r="O139" s="219" t="s">
        <v>2865</v>
      </c>
      <c r="P139" s="1579"/>
      <c r="Q139" s="232"/>
    </row>
    <row r="140" spans="1:31" ht="21.75" customHeight="1">
      <c r="B140" s="192" t="s">
        <v>1145</v>
      </c>
      <c r="C140" s="1125" t="s">
        <v>3776</v>
      </c>
      <c r="D140" s="1125"/>
      <c r="E140" s="1125"/>
      <c r="F140" s="1125"/>
      <c r="G140" s="1125"/>
      <c r="H140" s="1125"/>
      <c r="I140" s="1125"/>
      <c r="J140" s="1125"/>
      <c r="K140" s="1125"/>
      <c r="L140" s="1125"/>
      <c r="M140" s="1125"/>
      <c r="N140" s="1125"/>
      <c r="O140" s="219" t="s">
        <v>1145</v>
      </c>
      <c r="P140" s="1579"/>
      <c r="Q140" s="232"/>
    </row>
    <row r="141" spans="1:31" ht="12" customHeight="1">
      <c r="B141" s="191" t="s">
        <v>2737</v>
      </c>
      <c r="D141" s="191"/>
      <c r="E141" s="191"/>
      <c r="F141" s="191"/>
      <c r="G141" s="191"/>
      <c r="H141" s="48"/>
      <c r="I141" s="180"/>
      <c r="J141" s="180"/>
      <c r="K141" s="180"/>
      <c r="L141" s="851"/>
      <c r="M141" s="851"/>
      <c r="N141" s="851"/>
      <c r="O141" s="851"/>
      <c r="P141" s="851"/>
      <c r="Q141" s="60"/>
    </row>
    <row r="142" spans="1:31" ht="11.45" customHeight="1">
      <c r="A142" s="1583" t="s">
        <v>4055</v>
      </c>
      <c r="B142" s="1584"/>
      <c r="C142" s="1584"/>
      <c r="D142" s="1584"/>
      <c r="E142" s="1584"/>
      <c r="F142" s="1584"/>
      <c r="G142" s="1584"/>
      <c r="H142" s="1584"/>
      <c r="I142" s="1584"/>
      <c r="J142" s="1584"/>
      <c r="K142" s="1584"/>
      <c r="L142" s="1584"/>
      <c r="M142" s="1584"/>
      <c r="N142" s="1584"/>
      <c r="O142" s="1584"/>
      <c r="P142" s="1584"/>
      <c r="Q142" s="1585"/>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3795</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579" t="s">
        <v>3974</v>
      </c>
      <c r="Q147" s="232"/>
    </row>
    <row r="148" spans="1:32" ht="12" customHeight="1">
      <c r="B148" s="192" t="s">
        <v>2865</v>
      </c>
      <c r="C148" s="197" t="s">
        <v>3777</v>
      </c>
      <c r="D148" s="197"/>
      <c r="E148" s="197"/>
      <c r="F148" s="197"/>
      <c r="G148" s="197"/>
      <c r="H148" s="197"/>
      <c r="I148" s="197"/>
      <c r="J148" s="197"/>
      <c r="K148" s="197"/>
      <c r="L148" s="197"/>
      <c r="M148" s="197"/>
      <c r="O148" s="219" t="s">
        <v>2865</v>
      </c>
      <c r="P148" s="1579" t="s">
        <v>3974</v>
      </c>
      <c r="Q148" s="232"/>
    </row>
    <row r="149" spans="1:32" ht="12" customHeight="1">
      <c r="B149" s="192" t="s">
        <v>1145</v>
      </c>
      <c r="C149" s="197" t="s">
        <v>3778</v>
      </c>
      <c r="D149" s="197"/>
      <c r="E149" s="197"/>
      <c r="F149" s="197"/>
      <c r="G149" s="197"/>
      <c r="H149" s="197"/>
      <c r="I149" s="197"/>
      <c r="J149" s="197"/>
      <c r="K149" s="197"/>
      <c r="L149" s="197"/>
      <c r="M149" s="197"/>
      <c r="O149" s="219" t="s">
        <v>1145</v>
      </c>
      <c r="P149" s="1579" t="s">
        <v>3974</v>
      </c>
      <c r="Q149" s="232"/>
    </row>
    <row r="150" spans="1:32" ht="12" customHeight="1">
      <c r="B150" s="192"/>
      <c r="C150" s="197" t="s">
        <v>3762</v>
      </c>
      <c r="D150" s="197"/>
      <c r="E150" s="728" t="s">
        <v>2590</v>
      </c>
      <c r="F150" s="197" t="s">
        <v>3779</v>
      </c>
      <c r="G150" s="197"/>
      <c r="H150" s="197"/>
      <c r="I150" s="197"/>
      <c r="J150" s="197"/>
      <c r="K150" s="197"/>
      <c r="L150" s="197"/>
      <c r="M150" s="197"/>
      <c r="O150" s="728" t="s">
        <v>2590</v>
      </c>
      <c r="P150" s="1579" t="s">
        <v>3974</v>
      </c>
      <c r="Q150" s="232"/>
    </row>
    <row r="151" spans="1:32" ht="12" customHeight="1">
      <c r="B151" s="192"/>
      <c r="C151" s="197"/>
      <c r="D151" s="197"/>
      <c r="E151" s="728" t="s">
        <v>2591</v>
      </c>
      <c r="F151" s="197" t="s">
        <v>3780</v>
      </c>
      <c r="G151" s="197"/>
      <c r="H151" s="197"/>
      <c r="I151" s="197"/>
      <c r="J151" s="197"/>
      <c r="K151" s="197"/>
      <c r="L151" s="197"/>
      <c r="M151" s="197"/>
      <c r="O151" s="728" t="s">
        <v>2591</v>
      </c>
      <c r="P151" s="1579" t="s">
        <v>3974</v>
      </c>
      <c r="Q151" s="232"/>
    </row>
    <row r="152" spans="1:32" s="182" customFormat="1" ht="21.75" customHeight="1">
      <c r="B152" s="192"/>
      <c r="C152" s="197"/>
      <c r="D152" s="197"/>
      <c r="E152" s="219" t="s">
        <v>2592</v>
      </c>
      <c r="F152" s="1125" t="s">
        <v>3781</v>
      </c>
      <c r="G152" s="1125"/>
      <c r="H152" s="1125"/>
      <c r="I152" s="1125"/>
      <c r="J152" s="1125"/>
      <c r="K152" s="1125"/>
      <c r="L152" s="1125"/>
      <c r="M152" s="1125"/>
      <c r="N152" s="1125"/>
      <c r="O152" s="219" t="s">
        <v>2592</v>
      </c>
      <c r="P152" s="1601" t="s">
        <v>3974</v>
      </c>
      <c r="Q152" s="354"/>
      <c r="AE152" s="806"/>
      <c r="AF152" s="806"/>
    </row>
    <row r="153" spans="1:32" ht="12" customHeight="1">
      <c r="B153" s="192"/>
      <c r="C153" s="197"/>
      <c r="D153" s="197"/>
      <c r="E153" s="728" t="s">
        <v>3329</v>
      </c>
      <c r="F153" s="197" t="s">
        <v>3782</v>
      </c>
      <c r="G153" s="197"/>
      <c r="H153" s="197"/>
      <c r="I153" s="197"/>
      <c r="J153" s="197"/>
      <c r="K153" s="197"/>
      <c r="L153" s="197"/>
      <c r="M153" s="197"/>
      <c r="O153" s="728" t="s">
        <v>3329</v>
      </c>
      <c r="P153" s="1579" t="s">
        <v>3974</v>
      </c>
      <c r="Q153" s="232"/>
    </row>
    <row r="154" spans="1:32" s="182" customFormat="1" ht="21.75" customHeight="1">
      <c r="B154" s="192"/>
      <c r="C154" s="197"/>
      <c r="D154" s="197"/>
      <c r="E154" s="219" t="s">
        <v>2153</v>
      </c>
      <c r="F154" s="1125" t="s">
        <v>3783</v>
      </c>
      <c r="G154" s="1125"/>
      <c r="H154" s="1125"/>
      <c r="I154" s="1125"/>
      <c r="J154" s="1125"/>
      <c r="K154" s="1125"/>
      <c r="L154" s="1125"/>
      <c r="M154" s="1125"/>
      <c r="N154" s="1125"/>
      <c r="O154" s="219" t="s">
        <v>2153</v>
      </c>
      <c r="P154" s="1601" t="s">
        <v>3974</v>
      </c>
      <c r="Q154" s="354"/>
      <c r="AE154" s="806"/>
      <c r="AF154" s="806"/>
    </row>
    <row r="155" spans="1:32" ht="21.75" customHeight="1">
      <c r="B155" s="192" t="s">
        <v>3004</v>
      </c>
      <c r="C155" s="1125" t="s">
        <v>3784</v>
      </c>
      <c r="D155" s="1125"/>
      <c r="E155" s="1125"/>
      <c r="F155" s="1125"/>
      <c r="G155" s="1125"/>
      <c r="H155" s="1125"/>
      <c r="I155" s="1125"/>
      <c r="J155" s="1125"/>
      <c r="K155" s="1125"/>
      <c r="L155" s="1125"/>
      <c r="M155" s="1125"/>
      <c r="N155" s="1125"/>
      <c r="O155" s="219" t="s">
        <v>3004</v>
      </c>
      <c r="P155" s="1579" t="s">
        <v>3974</v>
      </c>
      <c r="Q155" s="232"/>
    </row>
    <row r="156" spans="1:32" ht="12" customHeight="1">
      <c r="B156" s="192" t="s">
        <v>2588</v>
      </c>
      <c r="C156" s="197" t="s">
        <v>3350</v>
      </c>
      <c r="D156" s="197"/>
      <c r="E156" s="197"/>
      <c r="F156" s="197"/>
      <c r="G156" s="197"/>
      <c r="H156" s="197"/>
      <c r="I156" s="197"/>
      <c r="J156" s="197"/>
      <c r="K156" s="197"/>
      <c r="L156" s="197"/>
      <c r="M156" s="197"/>
      <c r="O156" s="219" t="s">
        <v>2588</v>
      </c>
      <c r="P156" s="1579" t="s">
        <v>3974</v>
      </c>
      <c r="Q156" s="232"/>
    </row>
    <row r="157" spans="1:32" ht="12" customHeight="1">
      <c r="B157" s="191" t="s">
        <v>2737</v>
      </c>
      <c r="D157" s="191"/>
      <c r="E157" s="191"/>
      <c r="F157" s="191"/>
      <c r="G157" s="191"/>
      <c r="H157" s="48"/>
      <c r="I157" s="180"/>
      <c r="J157" s="180"/>
      <c r="K157" s="180"/>
      <c r="L157" s="851"/>
      <c r="M157" s="851"/>
      <c r="N157" s="851"/>
      <c r="O157" s="851"/>
      <c r="P157" s="851"/>
      <c r="Q157" s="60"/>
    </row>
    <row r="158" spans="1:32" ht="11.45" customHeight="1">
      <c r="A158" s="1583" t="s">
        <v>4096</v>
      </c>
      <c r="B158" s="1584"/>
      <c r="C158" s="1584"/>
      <c r="D158" s="1584"/>
      <c r="E158" s="1584"/>
      <c r="F158" s="1584"/>
      <c r="G158" s="1584"/>
      <c r="H158" s="1584"/>
      <c r="I158" s="1584"/>
      <c r="J158" s="1584"/>
      <c r="K158" s="1584"/>
      <c r="L158" s="1584"/>
      <c r="M158" s="1584"/>
      <c r="N158" s="1584"/>
      <c r="O158" s="1584"/>
      <c r="P158" s="1584"/>
      <c r="Q158" s="1585"/>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3796</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589" t="s">
        <v>4113</v>
      </c>
      <c r="K163" s="1590"/>
      <c r="L163" s="1590"/>
      <c r="M163" s="1590"/>
      <c r="N163" s="1591"/>
      <c r="O163" s="79" t="s">
        <v>2590</v>
      </c>
      <c r="P163" s="1579"/>
      <c r="Q163" s="232"/>
    </row>
    <row r="164" spans="1:31" ht="12" customHeight="1">
      <c r="A164" s="189"/>
      <c r="B164" s="180"/>
      <c r="C164" s="143"/>
      <c r="D164" s="143"/>
      <c r="E164" s="143"/>
      <c r="F164" s="143"/>
      <c r="H164" s="79" t="s">
        <v>2591</v>
      </c>
      <c r="I164" s="62" t="s">
        <v>2204</v>
      </c>
      <c r="J164" s="1589" t="s">
        <v>4056</v>
      </c>
      <c r="K164" s="1590"/>
      <c r="L164" s="1590"/>
      <c r="M164" s="1590"/>
      <c r="N164" s="1591"/>
      <c r="O164" s="79" t="s">
        <v>2591</v>
      </c>
      <c r="P164" s="1579" t="s">
        <v>3974</v>
      </c>
      <c r="Q164" s="232"/>
    </row>
    <row r="165" spans="1:31" ht="12" customHeight="1">
      <c r="B165" s="191" t="s">
        <v>2737</v>
      </c>
      <c r="D165" s="191"/>
      <c r="E165" s="191"/>
      <c r="F165" s="191"/>
      <c r="G165" s="191"/>
      <c r="J165" s="180"/>
      <c r="K165" s="180"/>
      <c r="L165" s="851"/>
      <c r="M165" s="851"/>
      <c r="N165" s="851"/>
      <c r="O165" s="851"/>
      <c r="P165" s="851"/>
      <c r="Q165" s="60"/>
    </row>
    <row r="166" spans="1:31" ht="11.45" customHeight="1">
      <c r="A166" s="1583" t="s">
        <v>4114</v>
      </c>
      <c r="B166" s="1584"/>
      <c r="C166" s="1584"/>
      <c r="D166" s="1584"/>
      <c r="E166" s="1584"/>
      <c r="F166" s="1584"/>
      <c r="G166" s="1584"/>
      <c r="H166" s="1584"/>
      <c r="I166" s="1584"/>
      <c r="J166" s="1584"/>
      <c r="K166" s="1584"/>
      <c r="L166" s="1584"/>
      <c r="M166" s="1584"/>
      <c r="N166" s="1584"/>
      <c r="O166" s="1584"/>
      <c r="P166" s="1584"/>
      <c r="Q166" s="1585"/>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3797</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79"/>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9"/>
      <c r="Q173" s="232"/>
    </row>
    <row r="174" spans="1:31" ht="11.45" customHeight="1">
      <c r="A174" s="189"/>
      <c r="B174" s="192" t="s">
        <v>2865</v>
      </c>
      <c r="C174" s="1125" t="s">
        <v>2720</v>
      </c>
      <c r="D174" s="1125"/>
      <c r="E174" s="1125"/>
      <c r="F174" s="1125"/>
      <c r="G174" s="1125"/>
      <c r="H174" s="79" t="s">
        <v>2590</v>
      </c>
      <c r="I174" s="62" t="s">
        <v>894</v>
      </c>
      <c r="J174" s="1589" t="s">
        <v>4020</v>
      </c>
      <c r="K174" s="1590"/>
      <c r="L174" s="1590"/>
      <c r="M174" s="1590"/>
      <c r="N174" s="1591"/>
      <c r="O174" s="79" t="s">
        <v>2030</v>
      </c>
      <c r="P174" s="1579" t="s">
        <v>3974</v>
      </c>
      <c r="Q174" s="232"/>
    </row>
    <row r="175" spans="1:31" ht="11.45" customHeight="1">
      <c r="A175" s="189"/>
      <c r="B175" s="861"/>
      <c r="C175" s="1125"/>
      <c r="D175" s="1125"/>
      <c r="E175" s="1125"/>
      <c r="F175" s="1125"/>
      <c r="G175" s="1125"/>
      <c r="H175" s="79" t="s">
        <v>2591</v>
      </c>
      <c r="I175" s="62" t="s">
        <v>125</v>
      </c>
      <c r="J175" s="1589" t="s">
        <v>4057</v>
      </c>
      <c r="K175" s="1590"/>
      <c r="L175" s="1590"/>
      <c r="M175" s="1590"/>
      <c r="N175" s="1591"/>
      <c r="O175" s="79" t="s">
        <v>2591</v>
      </c>
      <c r="P175" s="1579" t="s">
        <v>3974</v>
      </c>
      <c r="Q175" s="232"/>
    </row>
    <row r="176" spans="1:31" ht="11.25" customHeight="1">
      <c r="B176" s="191" t="s">
        <v>2737</v>
      </c>
      <c r="D176" s="191"/>
      <c r="E176" s="191"/>
      <c r="F176" s="191"/>
      <c r="G176" s="191"/>
      <c r="H176" s="48"/>
      <c r="I176" s="180"/>
      <c r="J176" s="180"/>
      <c r="K176" s="180"/>
      <c r="L176" s="851"/>
      <c r="M176" s="851"/>
      <c r="N176" s="851"/>
      <c r="O176" s="851"/>
      <c r="P176" s="851"/>
      <c r="Q176" s="60"/>
    </row>
    <row r="177" spans="1:32" ht="11.45" customHeight="1">
      <c r="A177" s="1583" t="s">
        <v>4058</v>
      </c>
      <c r="B177" s="1584"/>
      <c r="C177" s="1584"/>
      <c r="D177" s="1584"/>
      <c r="E177" s="1584"/>
      <c r="F177" s="1584"/>
      <c r="G177" s="1584"/>
      <c r="H177" s="1584"/>
      <c r="I177" s="1584"/>
      <c r="J177" s="1584"/>
      <c r="K177" s="1584"/>
      <c r="L177" s="1584"/>
      <c r="M177" s="1584"/>
      <c r="N177" s="1584"/>
      <c r="O177" s="1584"/>
      <c r="P177" s="1584"/>
      <c r="Q177" s="1585"/>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3798</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79" t="s">
        <v>3974</v>
      </c>
      <c r="Q183" s="232"/>
    </row>
    <row r="184" spans="1:32" ht="11.45" customHeight="1">
      <c r="B184" s="55" t="s">
        <v>2865</v>
      </c>
      <c r="C184" s="62" t="s">
        <v>176</v>
      </c>
      <c r="D184" s="62"/>
      <c r="E184" s="62"/>
      <c r="F184" s="62"/>
      <c r="G184" s="62"/>
      <c r="H184" s="62"/>
      <c r="I184" s="50"/>
      <c r="J184" s="50"/>
      <c r="K184" s="50"/>
      <c r="L184" s="190"/>
      <c r="M184" s="190"/>
      <c r="O184" s="219" t="s">
        <v>2865</v>
      </c>
      <c r="P184" s="1579" t="s">
        <v>3974</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9" t="s">
        <v>3974</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79" t="s">
        <v>3974</v>
      </c>
      <c r="Q186" s="232"/>
      <c r="AE186" s="807"/>
      <c r="AF186" s="807"/>
    </row>
    <row r="187" spans="1:32" ht="11.25" customHeight="1">
      <c r="B187" s="191" t="s">
        <v>2737</v>
      </c>
      <c r="D187" s="191"/>
      <c r="E187" s="191"/>
      <c r="F187" s="191"/>
      <c r="G187" s="191"/>
      <c r="H187" s="48"/>
      <c r="I187" s="180"/>
      <c r="J187" s="180"/>
      <c r="K187" s="180"/>
      <c r="L187" s="851"/>
      <c r="M187" s="851"/>
      <c r="N187" s="851"/>
      <c r="O187" s="851"/>
      <c r="P187" s="851"/>
      <c r="Q187" s="60"/>
    </row>
    <row r="188" spans="1:32" ht="31.5" customHeight="1">
      <c r="A188" s="1583" t="s">
        <v>4078</v>
      </c>
      <c r="B188" s="1584"/>
      <c r="C188" s="1584"/>
      <c r="D188" s="1584"/>
      <c r="E188" s="1584"/>
      <c r="F188" s="1584"/>
      <c r="G188" s="1584"/>
      <c r="H188" s="1584"/>
      <c r="I188" s="1584"/>
      <c r="J188" s="1584"/>
      <c r="K188" s="1584"/>
      <c r="L188" s="1584"/>
      <c r="M188" s="1584"/>
      <c r="N188" s="1584"/>
      <c r="O188" s="1584"/>
      <c r="P188" s="1584"/>
      <c r="Q188" s="1585"/>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3799</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579" t="s">
        <v>3984</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89" t="s">
        <v>4012</v>
      </c>
      <c r="N196" s="1590"/>
      <c r="O196" s="1591"/>
      <c r="P196" s="1579"/>
      <c r="Q196" s="232"/>
    </row>
    <row r="197" spans="1:32" ht="11.45" customHeight="1">
      <c r="B197" s="55"/>
      <c r="C197" s="79" t="s">
        <v>2591</v>
      </c>
      <c r="D197" s="38" t="s">
        <v>180</v>
      </c>
      <c r="E197" s="38"/>
      <c r="F197" s="38"/>
      <c r="G197" s="38"/>
      <c r="H197" s="38"/>
      <c r="I197" s="50"/>
      <c r="J197" s="50"/>
      <c r="K197" s="50"/>
      <c r="L197" s="79" t="s">
        <v>2082</v>
      </c>
      <c r="M197" s="1589" t="s">
        <v>4079</v>
      </c>
      <c r="N197" s="1590"/>
      <c r="O197" s="1591"/>
      <c r="P197" s="1579"/>
      <c r="Q197" s="232"/>
    </row>
    <row r="198" spans="1:32" ht="11.45" customHeight="1">
      <c r="B198" s="55"/>
      <c r="C198" s="79" t="s">
        <v>2592</v>
      </c>
      <c r="D198" s="38" t="s">
        <v>796</v>
      </c>
      <c r="E198" s="38"/>
      <c r="F198" s="38"/>
      <c r="G198" s="38"/>
      <c r="H198" s="38"/>
      <c r="I198" s="50"/>
      <c r="J198" s="50"/>
      <c r="K198" s="50"/>
      <c r="L198" s="79" t="s">
        <v>2083</v>
      </c>
      <c r="M198" s="1612" t="s">
        <v>4013</v>
      </c>
      <c r="N198" s="1613"/>
      <c r="O198" s="1614"/>
      <c r="P198" s="1579"/>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3518</v>
      </c>
      <c r="D200" s="62"/>
      <c r="E200" s="62"/>
      <c r="F200" s="62"/>
      <c r="G200" s="62"/>
      <c r="H200" s="62"/>
      <c r="I200" s="62"/>
      <c r="J200" s="62"/>
      <c r="K200" s="50"/>
      <c r="L200" s="50"/>
      <c r="M200" s="50"/>
      <c r="N200" s="50"/>
      <c r="O200" s="803" t="s">
        <v>2865</v>
      </c>
      <c r="P200" s="1579" t="s">
        <v>4011</v>
      </c>
      <c r="Q200" s="232"/>
    </row>
    <row r="201" spans="1:32" ht="10.9" customHeight="1">
      <c r="B201" s="55"/>
      <c r="C201" s="62" t="s">
        <v>3517</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5" t="s">
        <v>4014</v>
      </c>
      <c r="E203" s="1616"/>
      <c r="F203" s="1616"/>
      <c r="G203" s="1616"/>
      <c r="H203" s="1617"/>
      <c r="I203" s="447"/>
      <c r="J203" s="292"/>
      <c r="K203" s="79" t="s">
        <v>2592</v>
      </c>
      <c r="L203" s="1615"/>
      <c r="M203" s="1616"/>
      <c r="N203" s="1616"/>
      <c r="O203" s="1617"/>
      <c r="P203" s="355"/>
      <c r="Q203" s="292"/>
      <c r="AE203" s="64"/>
      <c r="AF203" s="64"/>
    </row>
    <row r="204" spans="1:32" s="51" customFormat="1" ht="11.45" customHeight="1">
      <c r="A204" s="126"/>
      <c r="B204" s="61"/>
      <c r="C204" s="79" t="s">
        <v>2591</v>
      </c>
      <c r="D204" s="1618" t="s">
        <v>2486</v>
      </c>
      <c r="E204" s="1619"/>
      <c r="F204" s="1619"/>
      <c r="G204" s="1619"/>
      <c r="H204" s="1620"/>
      <c r="I204" s="652"/>
      <c r="J204" s="293"/>
      <c r="K204" s="79" t="s">
        <v>3329</v>
      </c>
      <c r="L204" s="1618"/>
      <c r="M204" s="1619"/>
      <c r="N204" s="1619"/>
      <c r="O204" s="1620"/>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9" t="s">
        <v>4011</v>
      </c>
      <c r="Q206" s="232"/>
    </row>
    <row r="207" spans="1:32" ht="11.45" customHeight="1">
      <c r="B207" s="55"/>
      <c r="C207" s="79" t="s">
        <v>2590</v>
      </c>
      <c r="D207" s="62" t="s">
        <v>188</v>
      </c>
      <c r="E207" s="62"/>
      <c r="F207" s="62"/>
      <c r="G207" s="62"/>
      <c r="H207" s="62"/>
      <c r="I207" s="50"/>
      <c r="J207" s="40"/>
      <c r="K207" s="50"/>
      <c r="L207" s="40"/>
      <c r="M207" s="40"/>
      <c r="O207" s="79" t="s">
        <v>2590</v>
      </c>
      <c r="P207" s="1579" t="s">
        <v>3974</v>
      </c>
      <c r="Q207" s="232"/>
    </row>
    <row r="208" spans="1:32" ht="11.45" customHeight="1">
      <c r="C208" s="79" t="s">
        <v>2591</v>
      </c>
      <c r="D208" s="38" t="s">
        <v>2490</v>
      </c>
      <c r="E208" s="38"/>
      <c r="F208" s="38"/>
      <c r="G208" s="38"/>
      <c r="H208" s="38"/>
      <c r="I208" s="50"/>
      <c r="J208" s="40"/>
      <c r="K208" s="50"/>
      <c r="L208" s="40"/>
      <c r="M208" s="40"/>
      <c r="O208" s="79" t="s">
        <v>2591</v>
      </c>
      <c r="P208" s="1579" t="s">
        <v>3974</v>
      </c>
      <c r="Q208" s="232"/>
    </row>
    <row r="209" spans="1:31" ht="11.45" customHeight="1">
      <c r="C209" s="79" t="s">
        <v>2592</v>
      </c>
      <c r="D209" s="38" t="s">
        <v>2107</v>
      </c>
      <c r="E209" s="38"/>
      <c r="F209" s="38"/>
      <c r="G209" s="38"/>
      <c r="H209" s="38"/>
      <c r="I209" s="50"/>
      <c r="J209" s="40"/>
      <c r="K209" s="50"/>
      <c r="L209" s="40"/>
      <c r="M209" s="40"/>
      <c r="O209" s="79" t="s">
        <v>2592</v>
      </c>
      <c r="P209" s="1579" t="s">
        <v>3974</v>
      </c>
      <c r="Q209" s="232"/>
    </row>
    <row r="210" spans="1:31" ht="11.45" customHeight="1">
      <c r="B210" s="55"/>
      <c r="C210" s="79" t="s">
        <v>3329</v>
      </c>
      <c r="D210" s="38" t="s">
        <v>189</v>
      </c>
      <c r="E210" s="38"/>
      <c r="F210" s="38"/>
      <c r="G210" s="38"/>
      <c r="H210" s="38"/>
      <c r="I210" s="50"/>
      <c r="J210" s="40"/>
      <c r="K210" s="50"/>
      <c r="L210" s="40"/>
      <c r="M210" s="40"/>
      <c r="O210" s="79" t="s">
        <v>3329</v>
      </c>
      <c r="P210" s="1579" t="s">
        <v>3974</v>
      </c>
      <c r="Q210" s="232"/>
    </row>
    <row r="211" spans="1:31" ht="11.45" customHeight="1">
      <c r="B211" s="55"/>
      <c r="C211" s="79" t="s">
        <v>2153</v>
      </c>
      <c r="D211" s="62" t="s">
        <v>1256</v>
      </c>
      <c r="E211" s="62"/>
      <c r="F211" s="62"/>
      <c r="G211" s="62"/>
      <c r="H211" s="62"/>
      <c r="I211" s="50"/>
      <c r="J211" s="40"/>
      <c r="K211" s="50"/>
      <c r="L211" s="40"/>
      <c r="M211" s="40"/>
      <c r="O211" s="79" t="s">
        <v>1257</v>
      </c>
      <c r="P211" s="1579" t="s">
        <v>3974</v>
      </c>
      <c r="Q211" s="232"/>
    </row>
    <row r="212" spans="1:31" ht="11.45" customHeight="1">
      <c r="B212" s="55"/>
      <c r="C212" s="79"/>
      <c r="D212" s="62" t="s">
        <v>2084</v>
      </c>
      <c r="E212" s="62"/>
      <c r="F212" s="62"/>
      <c r="G212" s="62"/>
      <c r="H212" s="62"/>
      <c r="I212" s="50"/>
      <c r="J212" s="40"/>
      <c r="K212" s="50"/>
      <c r="L212" s="40"/>
      <c r="M212" s="40"/>
      <c r="O212" s="79" t="s">
        <v>1258</v>
      </c>
      <c r="P212" s="1579"/>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3868</v>
      </c>
      <c r="D214" s="62"/>
      <c r="E214" s="62"/>
      <c r="F214" s="62"/>
      <c r="G214" s="62"/>
      <c r="H214" s="62"/>
      <c r="I214" s="62"/>
      <c r="J214" s="62"/>
      <c r="K214" s="50"/>
      <c r="L214" s="62"/>
      <c r="M214" s="62"/>
      <c r="O214" s="803" t="s">
        <v>3004</v>
      </c>
      <c r="P214" s="1579" t="s">
        <v>4011</v>
      </c>
      <c r="Q214" s="232"/>
    </row>
    <row r="215" spans="1:31" ht="11.45" customHeight="1">
      <c r="B215" s="55"/>
      <c r="C215" s="79" t="s">
        <v>2590</v>
      </c>
      <c r="D215" s="47" t="s">
        <v>1807</v>
      </c>
      <c r="E215" s="50"/>
      <c r="F215" s="50"/>
      <c r="G215" s="47"/>
      <c r="H215" s="38"/>
      <c r="I215" s="50"/>
      <c r="J215" s="38"/>
      <c r="K215" s="50"/>
      <c r="L215" s="38"/>
      <c r="M215" s="38"/>
      <c r="O215" s="79" t="s">
        <v>2590</v>
      </c>
      <c r="P215" s="1579" t="s">
        <v>3974</v>
      </c>
      <c r="Q215" s="232"/>
    </row>
    <row r="216" spans="1:31" ht="11.45" customHeight="1">
      <c r="B216" s="55"/>
      <c r="C216" s="79" t="s">
        <v>2591</v>
      </c>
      <c r="D216" s="47" t="s">
        <v>181</v>
      </c>
      <c r="E216" s="50"/>
      <c r="F216" s="50"/>
      <c r="G216" s="38"/>
      <c r="H216" s="38"/>
      <c r="I216" s="50"/>
      <c r="J216" s="38"/>
      <c r="K216" s="50"/>
      <c r="L216" s="38"/>
      <c r="M216" s="38"/>
      <c r="O216" s="79" t="s">
        <v>2591</v>
      </c>
      <c r="P216" s="1579" t="s">
        <v>3974</v>
      </c>
      <c r="Q216" s="232"/>
    </row>
    <row r="217" spans="1:31" ht="11.45" customHeight="1">
      <c r="B217" s="55"/>
      <c r="C217" s="79" t="s">
        <v>2592</v>
      </c>
      <c r="D217" s="38" t="s">
        <v>2468</v>
      </c>
      <c r="E217" s="50"/>
      <c r="F217" s="50"/>
      <c r="G217" s="38"/>
      <c r="H217" s="38"/>
      <c r="I217" s="50"/>
      <c r="J217" s="38"/>
      <c r="K217" s="50"/>
      <c r="L217" s="38"/>
      <c r="M217" s="38"/>
      <c r="O217" s="79" t="s">
        <v>3338</v>
      </c>
      <c r="P217" s="1579" t="s">
        <v>3974</v>
      </c>
      <c r="Q217" s="232"/>
    </row>
    <row r="218" spans="1:31" ht="11.45" customHeight="1">
      <c r="B218" s="44"/>
      <c r="C218" s="50"/>
      <c r="D218" s="38" t="s">
        <v>1852</v>
      </c>
      <c r="E218" s="50"/>
      <c r="F218" s="50"/>
      <c r="G218" s="38"/>
      <c r="H218" s="38"/>
      <c r="I218" s="50"/>
      <c r="J218" s="38"/>
      <c r="K218" s="50"/>
      <c r="L218" s="38"/>
      <c r="M218" s="38"/>
      <c r="O218" s="79" t="s">
        <v>3339</v>
      </c>
      <c r="P218" s="1579"/>
      <c r="Q218" s="232"/>
    </row>
    <row r="219" spans="1:31" ht="11.25" customHeight="1">
      <c r="B219" s="191" t="s">
        <v>2737</v>
      </c>
      <c r="D219" s="191"/>
      <c r="E219" s="191"/>
      <c r="F219" s="191"/>
      <c r="G219" s="191"/>
      <c r="H219" s="48"/>
      <c r="I219" s="180"/>
      <c r="J219" s="180"/>
      <c r="K219" s="180"/>
      <c r="L219" s="851"/>
      <c r="M219" s="851"/>
      <c r="N219" s="851"/>
      <c r="O219" s="851"/>
      <c r="P219" s="851"/>
      <c r="Q219" s="60"/>
    </row>
    <row r="220" spans="1:31" ht="11.45" customHeight="1">
      <c r="A220" s="1583" t="s">
        <v>4059</v>
      </c>
      <c r="B220" s="1584"/>
      <c r="C220" s="1584"/>
      <c r="D220" s="1584"/>
      <c r="E220" s="1584"/>
      <c r="F220" s="1584"/>
      <c r="G220" s="1584"/>
      <c r="H220" s="1584"/>
      <c r="I220" s="1584"/>
      <c r="J220" s="1584"/>
      <c r="K220" s="1584"/>
      <c r="L220" s="1584"/>
      <c r="M220" s="1584"/>
      <c r="N220" s="1584"/>
      <c r="O220" s="1584"/>
      <c r="P220" s="1584"/>
      <c r="Q220" s="1585"/>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3800</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589" t="s">
        <v>2626</v>
      </c>
      <c r="N226" s="1590"/>
      <c r="O226" s="1591"/>
      <c r="P226" s="1149" t="s">
        <v>2626</v>
      </c>
      <c r="Q226" s="1150"/>
    </row>
    <row r="227" spans="1:32" ht="11.45" customHeight="1">
      <c r="B227" s="55" t="s">
        <v>2865</v>
      </c>
      <c r="C227" s="62" t="s">
        <v>1795</v>
      </c>
      <c r="D227" s="62"/>
      <c r="E227" s="62"/>
      <c r="F227" s="62"/>
      <c r="G227" s="62"/>
      <c r="H227" s="62"/>
      <c r="I227" s="50"/>
      <c r="J227" s="50"/>
      <c r="K227" s="50"/>
      <c r="L227" s="803" t="s">
        <v>2865</v>
      </c>
      <c r="M227" s="1621"/>
      <c r="N227" s="1622"/>
      <c r="O227" s="1623"/>
      <c r="P227" s="1130"/>
      <c r="Q227" s="1131"/>
    </row>
    <row r="228" spans="1:32" s="199" customFormat="1" ht="11.45" customHeight="1">
      <c r="B228" s="55" t="s">
        <v>1145</v>
      </c>
      <c r="C228" s="62" t="s">
        <v>2823</v>
      </c>
      <c r="D228" s="62"/>
      <c r="E228" s="62"/>
      <c r="F228" s="62"/>
      <c r="G228" s="62"/>
      <c r="H228" s="62"/>
      <c r="I228" s="126"/>
      <c r="J228" s="126"/>
      <c r="K228" s="126"/>
      <c r="L228" s="803" t="s">
        <v>1145</v>
      </c>
      <c r="M228" s="1589"/>
      <c r="N228" s="1590"/>
      <c r="O228" s="1591"/>
      <c r="P228" s="1149"/>
      <c r="Q228" s="1150"/>
      <c r="AE228" s="807"/>
      <c r="AF228" s="807"/>
    </row>
    <row r="229" spans="1:32" s="199" customFormat="1" ht="11.45" customHeight="1">
      <c r="B229" s="55" t="s">
        <v>3004</v>
      </c>
      <c r="C229" s="62" t="s">
        <v>3566</v>
      </c>
      <c r="D229" s="62"/>
      <c r="E229" s="62"/>
      <c r="F229" s="62"/>
      <c r="G229" s="62"/>
      <c r="H229" s="62"/>
      <c r="I229" s="126"/>
      <c r="J229" s="126"/>
      <c r="K229" s="126"/>
      <c r="L229" s="126"/>
      <c r="M229" s="126"/>
      <c r="O229" s="803" t="s">
        <v>3004</v>
      </c>
      <c r="P229" s="1579"/>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79"/>
      <c r="Q230" s="232"/>
      <c r="AE230" s="807"/>
      <c r="AF230" s="807"/>
    </row>
    <row r="231" spans="1:32" ht="11.25" customHeight="1">
      <c r="B231" s="191" t="s">
        <v>2737</v>
      </c>
      <c r="D231" s="191"/>
      <c r="E231" s="191"/>
      <c r="F231" s="191"/>
      <c r="G231" s="191"/>
      <c r="H231" s="48"/>
      <c r="I231" s="180"/>
      <c r="J231" s="180"/>
      <c r="K231" s="180"/>
      <c r="L231" s="851"/>
      <c r="M231" s="851"/>
      <c r="N231" s="851"/>
      <c r="O231" s="851"/>
      <c r="P231" s="851"/>
      <c r="Q231" s="60"/>
    </row>
    <row r="232" spans="1:32" ht="13.15" customHeight="1">
      <c r="A232" s="1583"/>
      <c r="B232" s="1584"/>
      <c r="C232" s="1584"/>
      <c r="D232" s="1584"/>
      <c r="E232" s="1584"/>
      <c r="F232" s="1584"/>
      <c r="G232" s="1584"/>
      <c r="H232" s="1584"/>
      <c r="I232" s="1584"/>
      <c r="J232" s="1584"/>
      <c r="K232" s="1584"/>
      <c r="L232" s="1584"/>
      <c r="M232" s="1584"/>
      <c r="N232" s="1584"/>
      <c r="O232" s="1584"/>
      <c r="P232" s="1584"/>
      <c r="Q232" s="1585"/>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3801</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3844</v>
      </c>
      <c r="D238" s="1125"/>
      <c r="E238" s="1125"/>
      <c r="F238" s="1125"/>
      <c r="G238" s="1125"/>
      <c r="H238" s="1125"/>
      <c r="I238" s="1125"/>
      <c r="J238" s="1125"/>
      <c r="K238" s="1125"/>
      <c r="L238" s="1125"/>
      <c r="M238" s="1125"/>
      <c r="N238" s="1125"/>
      <c r="O238" s="219" t="s">
        <v>2862</v>
      </c>
      <c r="P238" s="1601" t="s">
        <v>3974</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79" t="s">
        <v>3974</v>
      </c>
      <c r="Q239" s="232"/>
      <c r="AE239" s="807"/>
      <c r="AF239" s="807"/>
    </row>
    <row r="240" spans="1:32" ht="11.25" customHeight="1">
      <c r="B240" s="191" t="s">
        <v>2737</v>
      </c>
      <c r="D240" s="191"/>
      <c r="E240" s="191"/>
      <c r="F240" s="191"/>
      <c r="G240" s="191"/>
      <c r="H240" s="48"/>
      <c r="I240" s="180"/>
      <c r="J240" s="180"/>
      <c r="K240" s="180"/>
      <c r="L240" s="851"/>
      <c r="M240" s="851"/>
      <c r="N240" s="851"/>
      <c r="O240" s="851"/>
      <c r="P240" s="851"/>
      <c r="Q240" s="60"/>
    </row>
    <row r="241" spans="1:32" ht="46.5" customHeight="1">
      <c r="A241" s="1583" t="s">
        <v>4121</v>
      </c>
      <c r="B241" s="1584"/>
      <c r="C241" s="1584"/>
      <c r="D241" s="1584"/>
      <c r="E241" s="1584"/>
      <c r="F241" s="1584"/>
      <c r="G241" s="1584"/>
      <c r="H241" s="1584"/>
      <c r="I241" s="1584"/>
      <c r="J241" s="1584"/>
      <c r="K241" s="1584"/>
      <c r="L241" s="1584"/>
      <c r="M241" s="1584"/>
      <c r="N241" s="1584"/>
      <c r="O241" s="1584"/>
      <c r="P241" s="1584"/>
      <c r="Q241" s="1585"/>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3802</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3888</v>
      </c>
      <c r="D247" s="1006"/>
      <c r="E247" s="1006"/>
      <c r="F247" s="1006"/>
      <c r="G247" s="1006"/>
      <c r="H247" s="1006"/>
      <c r="I247" s="1006"/>
      <c r="J247" s="1006"/>
      <c r="K247" s="1006"/>
      <c r="L247" s="1006"/>
      <c r="M247" s="1006"/>
      <c r="N247" s="1006"/>
      <c r="O247" s="219" t="s">
        <v>2862</v>
      </c>
      <c r="P247" s="1579" t="s">
        <v>4011</v>
      </c>
      <c r="Q247" s="232"/>
      <c r="AE247" s="808"/>
      <c r="AF247" s="808"/>
    </row>
    <row r="248" spans="1:32" s="661" customFormat="1" ht="24" customHeight="1">
      <c r="B248" s="192" t="s">
        <v>2865</v>
      </c>
      <c r="C248" s="1121" t="s">
        <v>3889</v>
      </c>
      <c r="D248" s="1006"/>
      <c r="E248" s="1006"/>
      <c r="F248" s="1006"/>
      <c r="G248" s="1006"/>
      <c r="H248" s="1006"/>
      <c r="I248" s="1006"/>
      <c r="J248" s="1006"/>
      <c r="K248" s="1006"/>
      <c r="L248" s="1006"/>
      <c r="M248" s="1006"/>
      <c r="N248" s="1006"/>
      <c r="O248" s="219" t="s">
        <v>2865</v>
      </c>
      <c r="P248" s="1579" t="s">
        <v>4011</v>
      </c>
      <c r="Q248" s="232"/>
      <c r="AE248" s="808"/>
      <c r="AF248" s="808"/>
    </row>
    <row r="249" spans="1:32" ht="11.25" customHeight="1">
      <c r="B249" s="191" t="s">
        <v>2737</v>
      </c>
      <c r="D249" s="191"/>
      <c r="E249" s="191"/>
      <c r="F249" s="191"/>
      <c r="G249" s="191"/>
      <c r="H249" s="48"/>
      <c r="I249" s="180"/>
      <c r="J249" s="180"/>
      <c r="K249" s="180"/>
      <c r="L249" s="851"/>
      <c r="M249" s="851"/>
      <c r="N249" s="851"/>
      <c r="O249" s="851"/>
      <c r="P249" s="851"/>
      <c r="Q249" s="60"/>
    </row>
    <row r="250" spans="1:32" ht="13.15" customHeight="1">
      <c r="A250" s="1583"/>
      <c r="B250" s="1584"/>
      <c r="C250" s="1584"/>
      <c r="D250" s="1584"/>
      <c r="E250" s="1584"/>
      <c r="F250" s="1584"/>
      <c r="G250" s="1584"/>
      <c r="H250" s="1584"/>
      <c r="I250" s="1584"/>
      <c r="J250" s="1584"/>
      <c r="K250" s="1584"/>
      <c r="L250" s="1584"/>
      <c r="M250" s="1584"/>
      <c r="N250" s="1584"/>
      <c r="O250" s="1584"/>
      <c r="P250" s="1584"/>
      <c r="Q250" s="1585"/>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3803</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3831</v>
      </c>
      <c r="D255" s="1121"/>
      <c r="E255" s="1121"/>
      <c r="F255" s="1121"/>
      <c r="G255" s="1121"/>
      <c r="H255" s="1121"/>
      <c r="I255" s="1121"/>
      <c r="J255" s="1121"/>
      <c r="K255" s="1121"/>
      <c r="L255" s="1121"/>
      <c r="M255" s="1121"/>
      <c r="N255" s="1121"/>
      <c r="O255" s="219" t="s">
        <v>2862</v>
      </c>
      <c r="P255" s="1601" t="s">
        <v>3974</v>
      </c>
      <c r="Q255" s="232"/>
      <c r="AE255" s="807"/>
      <c r="AF255" s="807"/>
    </row>
    <row r="256" spans="1:32" s="126" customFormat="1">
      <c r="B256" s="55" t="s">
        <v>2865</v>
      </c>
      <c r="C256" s="1096" t="s">
        <v>3832</v>
      </c>
      <c r="D256" s="1096"/>
      <c r="E256" s="1096"/>
      <c r="F256" s="1096"/>
      <c r="G256" s="1096"/>
      <c r="H256" s="1096"/>
      <c r="I256" s="1096"/>
      <c r="J256" s="1096"/>
      <c r="K256" s="1096"/>
      <c r="L256" s="1096"/>
      <c r="M256" s="1096"/>
      <c r="N256" s="1096"/>
      <c r="O256" s="803" t="s">
        <v>2865</v>
      </c>
      <c r="P256" s="1579" t="s">
        <v>3974</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601" t="s">
        <v>3974</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79" t="s">
        <v>3974</v>
      </c>
      <c r="Q258" s="232"/>
      <c r="AE258" s="807"/>
      <c r="AF258" s="807"/>
    </row>
    <row r="259" spans="1:256" s="661" customFormat="1" ht="24.75" customHeight="1">
      <c r="B259" s="192" t="s">
        <v>2588</v>
      </c>
      <c r="C259" s="1121" t="s">
        <v>3845</v>
      </c>
      <c r="D259" s="1006"/>
      <c r="E259" s="1006"/>
      <c r="F259" s="1006"/>
      <c r="G259" s="1006"/>
      <c r="H259" s="1006"/>
      <c r="I259" s="1006"/>
      <c r="J259" s="1006"/>
      <c r="K259" s="1006"/>
      <c r="L259" s="1006"/>
      <c r="M259" s="1006"/>
      <c r="N259" s="1006"/>
      <c r="O259" s="219" t="s">
        <v>2588</v>
      </c>
      <c r="P259" s="1601" t="s">
        <v>3974</v>
      </c>
      <c r="Q259" s="354"/>
      <c r="AE259" s="808"/>
      <c r="AF259" s="808"/>
    </row>
    <row r="260" spans="1:256" ht="11.25" customHeight="1">
      <c r="B260" s="191" t="s">
        <v>2737</v>
      </c>
      <c r="D260" s="191"/>
      <c r="E260" s="191"/>
      <c r="F260" s="191"/>
      <c r="G260" s="191"/>
      <c r="H260" s="48"/>
      <c r="I260" s="180"/>
      <c r="J260" s="180"/>
      <c r="K260" s="180"/>
      <c r="L260" s="851"/>
      <c r="M260" s="851"/>
      <c r="N260" s="851"/>
      <c r="O260" s="851"/>
      <c r="P260" s="851"/>
      <c r="Q260" s="60"/>
    </row>
    <row r="261" spans="1:256" ht="11.45" customHeight="1">
      <c r="A261" s="1583"/>
      <c r="B261" s="1584"/>
      <c r="C261" s="1584"/>
      <c r="D261" s="1584"/>
      <c r="E261" s="1584"/>
      <c r="F261" s="1584"/>
      <c r="G261" s="1584"/>
      <c r="H261" s="1584"/>
      <c r="I261" s="1584"/>
      <c r="J261" s="1584"/>
      <c r="K261" s="1584"/>
      <c r="L261" s="1584"/>
      <c r="M261" s="1584"/>
      <c r="N261" s="1584"/>
      <c r="O261" s="1584"/>
      <c r="P261" s="1584"/>
      <c r="Q261" s="1585"/>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3804</v>
      </c>
      <c r="C264" s="11"/>
      <c r="D264" s="11"/>
      <c r="E264" s="11"/>
      <c r="F264" s="11"/>
      <c r="G264" s="11"/>
      <c r="H264" s="855"/>
      <c r="I264" s="855"/>
      <c r="J264" s="855"/>
      <c r="K264" s="855"/>
      <c r="L264" s="855"/>
      <c r="M264" s="855"/>
      <c r="O264" s="181" t="s">
        <v>2739</v>
      </c>
      <c r="P264" s="1118"/>
      <c r="Q264" s="1119"/>
    </row>
    <row r="265" spans="1:256" ht="11.45" customHeight="1">
      <c r="B265" s="195" t="s">
        <v>3162</v>
      </c>
      <c r="P265" s="1579"/>
      <c r="Q265" s="232"/>
    </row>
    <row r="266" spans="1:256" ht="12" customHeight="1">
      <c r="B266" s="197" t="s">
        <v>3110</v>
      </c>
      <c r="C266" s="197"/>
      <c r="D266" s="197"/>
      <c r="E266" s="197"/>
      <c r="F266" s="197"/>
      <c r="G266" s="197"/>
      <c r="H266" s="197"/>
      <c r="I266" s="197"/>
      <c r="J266" s="197"/>
      <c r="K266" s="197"/>
      <c r="L266" s="197"/>
      <c r="P266" s="1579"/>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3936</v>
      </c>
      <c r="D268" s="1121"/>
      <c r="E268" s="1121"/>
      <c r="F268" s="1121"/>
      <c r="G268" s="1121"/>
      <c r="H268" s="1121"/>
      <c r="I268" s="1121"/>
      <c r="J268" s="1121"/>
      <c r="K268" s="1121"/>
      <c r="L268" s="1121"/>
      <c r="M268" s="1121"/>
      <c r="N268" s="1121"/>
      <c r="O268" s="219" t="s">
        <v>2862</v>
      </c>
      <c r="P268" s="1601"/>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2865</v>
      </c>
      <c r="C270" s="1161" t="s">
        <v>634</v>
      </c>
      <c r="D270" s="1161"/>
      <c r="E270" s="1161"/>
      <c r="F270" s="1161"/>
      <c r="G270" s="1161"/>
      <c r="H270" s="1161"/>
      <c r="I270" s="1161"/>
      <c r="J270" s="1161"/>
      <c r="K270" s="1161"/>
      <c r="L270" s="1161"/>
      <c r="M270" s="1161"/>
      <c r="O270" s="219" t="s">
        <v>2865</v>
      </c>
      <c r="P270" s="851"/>
      <c r="Q270" s="60"/>
    </row>
    <row r="271" spans="1:256" ht="23.25" customHeight="1">
      <c r="A271" s="194"/>
      <c r="C271" s="294" t="s">
        <v>2590</v>
      </c>
      <c r="D271" s="295" t="s">
        <v>1647</v>
      </c>
      <c r="E271" s="182"/>
      <c r="F271" s="182"/>
      <c r="G271" s="1624" t="s">
        <v>2027</v>
      </c>
      <c r="H271" s="1625"/>
      <c r="I271" s="1625"/>
      <c r="J271" s="1625"/>
      <c r="K271" s="1625"/>
      <c r="L271" s="1625"/>
      <c r="M271" s="1625"/>
      <c r="N271" s="1626"/>
      <c r="O271" s="298" t="s">
        <v>2590</v>
      </c>
      <c r="P271" s="1601" t="s">
        <v>3974</v>
      </c>
      <c r="Q271" s="354"/>
    </row>
    <row r="272" spans="1:256" ht="23.25" customHeight="1">
      <c r="A272" s="194"/>
      <c r="C272" s="294" t="s">
        <v>2591</v>
      </c>
      <c r="D272" s="1110" t="s">
        <v>1648</v>
      </c>
      <c r="E272" s="1111"/>
      <c r="F272" s="1112"/>
      <c r="G272" s="1583" t="s">
        <v>3785</v>
      </c>
      <c r="H272" s="1450"/>
      <c r="I272" s="1450"/>
      <c r="J272" s="1450"/>
      <c r="K272" s="1450"/>
      <c r="L272" s="1450"/>
      <c r="M272" s="1450"/>
      <c r="N272" s="1451"/>
      <c r="O272" s="298" t="s">
        <v>2591</v>
      </c>
      <c r="P272" s="1601" t="s">
        <v>3974</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3833</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27"/>
      <c r="E275" s="1628"/>
      <c r="F275" s="1628"/>
      <c r="G275" s="1628"/>
      <c r="H275" s="1628"/>
      <c r="I275" s="1628"/>
      <c r="J275" s="1628"/>
      <c r="K275" s="1628"/>
      <c r="L275" s="1628"/>
      <c r="M275" s="1628"/>
      <c r="N275" s="1629"/>
      <c r="O275" s="298" t="s">
        <v>2590</v>
      </c>
      <c r="P275" s="1601"/>
      <c r="Q275" s="354"/>
      <c r="AE275" s="806"/>
      <c r="AF275" s="806"/>
    </row>
    <row r="276" spans="1:256" s="182" customFormat="1" ht="11.25" customHeight="1">
      <c r="A276" s="194"/>
      <c r="C276" s="294" t="s">
        <v>2591</v>
      </c>
      <c r="D276" s="1627"/>
      <c r="E276" s="1628"/>
      <c r="F276" s="1628"/>
      <c r="G276" s="1628"/>
      <c r="H276" s="1628"/>
      <c r="I276" s="1628"/>
      <c r="J276" s="1628"/>
      <c r="K276" s="1628"/>
      <c r="L276" s="1628"/>
      <c r="M276" s="1628"/>
      <c r="N276" s="1629"/>
      <c r="O276" s="298" t="s">
        <v>2591</v>
      </c>
      <c r="P276" s="1601"/>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2737</v>
      </c>
      <c r="D278" s="191"/>
      <c r="E278" s="191"/>
      <c r="F278" s="191"/>
      <c r="G278" s="191"/>
      <c r="H278" s="48"/>
      <c r="I278" s="180"/>
      <c r="J278" s="180"/>
      <c r="K278" s="180"/>
      <c r="L278" s="851"/>
      <c r="M278" s="851"/>
      <c r="N278" s="851"/>
      <c r="O278" s="851"/>
      <c r="P278" s="851"/>
      <c r="Q278" s="60"/>
    </row>
    <row r="279" spans="1:256" ht="11.45" customHeight="1">
      <c r="A279" s="1583"/>
      <c r="B279" s="1584"/>
      <c r="C279" s="1584"/>
      <c r="D279" s="1584"/>
      <c r="E279" s="1584"/>
      <c r="F279" s="1584"/>
      <c r="G279" s="1584"/>
      <c r="H279" s="1584"/>
      <c r="I279" s="1584"/>
      <c r="J279" s="1584"/>
      <c r="K279" s="1584"/>
      <c r="L279" s="1584"/>
      <c r="M279" s="1584"/>
      <c r="N279" s="1584"/>
      <c r="O279" s="1584"/>
      <c r="P279" s="1584"/>
      <c r="Q279" s="1585"/>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3805</v>
      </c>
      <c r="C283" s="856"/>
      <c r="D283" s="855"/>
      <c r="E283" s="855"/>
      <c r="F283" s="855"/>
      <c r="G283" s="855"/>
      <c r="H283" s="855"/>
      <c r="O283" s="181" t="s">
        <v>2739</v>
      </c>
      <c r="P283" s="1116"/>
      <c r="Q283" s="1117"/>
    </row>
    <row r="284" spans="1:256" ht="3" customHeight="1"/>
    <row r="285" spans="1:256" ht="11.45" customHeight="1">
      <c r="B285" s="195" t="s">
        <v>3282</v>
      </c>
      <c r="P285" s="1579" t="s">
        <v>3974</v>
      </c>
      <c r="Q285" s="232"/>
    </row>
    <row r="286" spans="1:256" ht="11.45" customHeight="1">
      <c r="B286" s="195" t="s">
        <v>3283</v>
      </c>
      <c r="P286" s="1579" t="s">
        <v>3984</v>
      </c>
      <c r="Q286" s="232"/>
    </row>
    <row r="287" spans="1:256" ht="11.45" customHeight="1">
      <c r="B287" s="195" t="s">
        <v>850</v>
      </c>
      <c r="L287" s="1630" t="s">
        <v>4060</v>
      </c>
      <c r="M287" s="1631"/>
      <c r="N287" s="1631"/>
      <c r="O287" s="1632"/>
    </row>
    <row r="288" spans="1:256" ht="11.45" customHeight="1">
      <c r="B288" s="653" t="s">
        <v>3284</v>
      </c>
      <c r="L288" s="1113"/>
      <c r="M288" s="1114"/>
      <c r="N288" s="1114"/>
      <c r="O288" s="1115"/>
    </row>
    <row r="289" spans="1:31" ht="11.25" customHeight="1">
      <c r="B289" s="191" t="s">
        <v>2737</v>
      </c>
      <c r="D289" s="191"/>
      <c r="E289" s="191"/>
      <c r="F289" s="191"/>
      <c r="G289" s="191"/>
      <c r="H289" s="48"/>
      <c r="I289" s="180"/>
      <c r="J289" s="180"/>
      <c r="K289" s="180"/>
      <c r="L289" s="851"/>
      <c r="M289" s="851"/>
      <c r="N289" s="851"/>
      <c r="O289" s="851"/>
      <c r="P289" s="851"/>
      <c r="Q289" s="60"/>
    </row>
    <row r="290" spans="1:31" ht="13.15" customHeight="1">
      <c r="A290" s="1583"/>
      <c r="B290" s="1584"/>
      <c r="C290" s="1584"/>
      <c r="D290" s="1584"/>
      <c r="E290" s="1584"/>
      <c r="F290" s="1584"/>
      <c r="G290" s="1584"/>
      <c r="H290" s="1584"/>
      <c r="I290" s="1584"/>
      <c r="J290" s="1584"/>
      <c r="K290" s="1584"/>
      <c r="L290" s="1584"/>
      <c r="M290" s="1584"/>
      <c r="N290" s="1584"/>
      <c r="O290" s="1584"/>
      <c r="P290" s="1584"/>
      <c r="Q290" s="1585"/>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3806</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3834</v>
      </c>
      <c r="D296" s="1125"/>
      <c r="E296" s="1125"/>
      <c r="F296" s="1125"/>
      <c r="G296" s="1125"/>
      <c r="H296" s="1125"/>
      <c r="I296" s="1125"/>
      <c r="J296" s="1125"/>
      <c r="K296" s="1125"/>
      <c r="L296" s="1125"/>
      <c r="M296" s="1125"/>
      <c r="N296" s="1125"/>
      <c r="O296" s="219" t="s">
        <v>2862</v>
      </c>
      <c r="P296" s="1579" t="s">
        <v>3974</v>
      </c>
      <c r="Q296" s="232"/>
    </row>
    <row r="297" spans="1:31" ht="11.45" customHeight="1">
      <c r="B297" s="192" t="s">
        <v>2865</v>
      </c>
      <c r="C297" s="1125" t="s">
        <v>3890</v>
      </c>
      <c r="D297" s="1125"/>
      <c r="E297" s="1125"/>
      <c r="F297" s="1125"/>
      <c r="G297" s="1125"/>
      <c r="H297" s="1125"/>
      <c r="I297" s="1125"/>
      <c r="J297" s="1125"/>
      <c r="K297" s="1125"/>
      <c r="L297" s="1125"/>
      <c r="M297" s="1125"/>
      <c r="N297" s="1125"/>
      <c r="O297" s="219" t="s">
        <v>2865</v>
      </c>
      <c r="P297" s="1579" t="s">
        <v>3974</v>
      </c>
      <c r="Q297" s="232"/>
    </row>
    <row r="298" spans="1:31" ht="11.45" customHeight="1">
      <c r="B298" s="192" t="s">
        <v>1145</v>
      </c>
      <c r="C298" s="197" t="s">
        <v>3835</v>
      </c>
      <c r="D298" s="197"/>
      <c r="E298" s="197"/>
      <c r="F298" s="197"/>
      <c r="G298" s="197"/>
      <c r="H298" s="197"/>
      <c r="I298" s="197"/>
      <c r="J298" s="197"/>
      <c r="K298" s="197"/>
      <c r="L298" s="197"/>
      <c r="M298" s="197"/>
      <c r="O298" s="219" t="s">
        <v>1145</v>
      </c>
      <c r="P298" s="1579" t="s">
        <v>3974</v>
      </c>
      <c r="Q298" s="232"/>
    </row>
    <row r="299" spans="1:31" ht="22.15" customHeight="1">
      <c r="B299" s="192" t="s">
        <v>3004</v>
      </c>
      <c r="C299" s="1125" t="s">
        <v>3869</v>
      </c>
      <c r="D299" s="1125"/>
      <c r="E299" s="1125"/>
      <c r="F299" s="1125"/>
      <c r="G299" s="1125"/>
      <c r="H299" s="1125"/>
      <c r="I299" s="1125"/>
      <c r="J299" s="1125"/>
      <c r="K299" s="1125"/>
      <c r="L299" s="1125"/>
      <c r="M299" s="1125"/>
      <c r="N299" s="1125"/>
      <c r="O299" s="219" t="s">
        <v>3004</v>
      </c>
      <c r="P299" s="1579" t="s">
        <v>3974</v>
      </c>
      <c r="Q299" s="232"/>
    </row>
    <row r="300" spans="1:31" ht="11.25" customHeight="1">
      <c r="B300" s="191" t="s">
        <v>2737</v>
      </c>
      <c r="D300" s="191"/>
      <c r="E300" s="191"/>
      <c r="F300" s="191"/>
      <c r="G300" s="191"/>
      <c r="H300" s="48"/>
      <c r="I300" s="180"/>
      <c r="J300" s="180"/>
      <c r="K300" s="180"/>
      <c r="L300" s="851"/>
      <c r="M300" s="851"/>
      <c r="N300" s="851"/>
      <c r="O300" s="851"/>
      <c r="P300" s="851"/>
      <c r="Q300" s="60"/>
    </row>
    <row r="301" spans="1:31" ht="23.45" customHeight="1">
      <c r="A301" s="1583" t="s">
        <v>4061</v>
      </c>
      <c r="B301" s="1584"/>
      <c r="C301" s="1584"/>
      <c r="D301" s="1584"/>
      <c r="E301" s="1584"/>
      <c r="F301" s="1584"/>
      <c r="G301" s="1584"/>
      <c r="H301" s="1584"/>
      <c r="I301" s="1584"/>
      <c r="J301" s="1584"/>
      <c r="K301" s="1584"/>
      <c r="L301" s="1584"/>
      <c r="M301" s="1584"/>
      <c r="N301" s="1584"/>
      <c r="O301" s="1584"/>
      <c r="P301" s="1584"/>
      <c r="Q301" s="1585"/>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3876</v>
      </c>
      <c r="C305" s="5"/>
      <c r="D305" s="5"/>
      <c r="E305" s="5"/>
      <c r="F305" s="5"/>
      <c r="G305" s="5"/>
      <c r="H305" s="855"/>
      <c r="I305" s="855"/>
      <c r="J305" s="855"/>
      <c r="K305" s="855"/>
      <c r="L305" s="855"/>
      <c r="M305" s="855"/>
      <c r="O305" s="181" t="s">
        <v>2739</v>
      </c>
      <c r="P305" s="1116"/>
      <c r="Q305" s="1117"/>
    </row>
    <row r="306" spans="1:32" ht="12" customHeight="1">
      <c r="B306" s="55" t="s">
        <v>2862</v>
      </c>
      <c r="C306" s="161" t="s">
        <v>3871</v>
      </c>
      <c r="D306" s="861"/>
      <c r="E306" s="861"/>
      <c r="F306" s="861"/>
      <c r="G306" s="861"/>
      <c r="H306" s="861"/>
      <c r="I306" s="50"/>
      <c r="J306" s="803" t="s">
        <v>2862</v>
      </c>
      <c r="K306" s="1609"/>
      <c r="L306" s="1610"/>
      <c r="M306" s="1610"/>
      <c r="N306" s="1610"/>
      <c r="O306" s="1610"/>
      <c r="P306" s="1611"/>
      <c r="Q306" s="232"/>
    </row>
    <row r="307" spans="1:32" ht="22.5" customHeight="1">
      <c r="B307" s="192" t="s">
        <v>2865</v>
      </c>
      <c r="C307" s="1096" t="s">
        <v>3870</v>
      </c>
      <c r="D307" s="1096"/>
      <c r="E307" s="1096"/>
      <c r="F307" s="1096"/>
      <c r="G307" s="1096"/>
      <c r="H307" s="1096"/>
      <c r="I307" s="1096"/>
      <c r="J307" s="1096"/>
      <c r="K307" s="1096"/>
      <c r="L307" s="1096"/>
      <c r="M307" s="1096"/>
      <c r="N307" s="1096"/>
      <c r="O307" s="219" t="s">
        <v>2865</v>
      </c>
      <c r="P307" s="1601"/>
      <c r="Q307" s="232"/>
    </row>
    <row r="308" spans="1:32" ht="11.45" customHeight="1">
      <c r="B308" s="55" t="s">
        <v>1145</v>
      </c>
      <c r="C308" s="62" t="s">
        <v>3872</v>
      </c>
      <c r="D308" s="62"/>
      <c r="E308" s="62"/>
      <c r="F308" s="62"/>
      <c r="G308" s="62"/>
      <c r="H308" s="62"/>
      <c r="I308" s="62"/>
      <c r="J308" s="62"/>
      <c r="K308" s="62"/>
      <c r="L308" s="38"/>
      <c r="M308" s="38"/>
      <c r="O308" s="803" t="s">
        <v>1145</v>
      </c>
      <c r="P308" s="1579"/>
      <c r="Q308" s="232"/>
    </row>
    <row r="309" spans="1:32" ht="11.45" customHeight="1">
      <c r="B309" s="55" t="s">
        <v>3004</v>
      </c>
      <c r="C309" s="62" t="s">
        <v>3873</v>
      </c>
      <c r="D309" s="62"/>
      <c r="E309" s="62"/>
      <c r="F309" s="62"/>
      <c r="G309" s="62"/>
      <c r="H309" s="62"/>
      <c r="I309" s="62"/>
      <c r="J309" s="62"/>
      <c r="K309" s="62"/>
      <c r="L309" s="62"/>
      <c r="M309" s="62"/>
      <c r="O309" s="803" t="s">
        <v>3004</v>
      </c>
      <c r="P309" s="1579"/>
      <c r="Q309" s="232"/>
    </row>
    <row r="310" spans="1:32" s="182" customFormat="1" ht="11.45" customHeight="1">
      <c r="B310" s="192" t="s">
        <v>2588</v>
      </c>
      <c r="C310" s="1125" t="s">
        <v>3878</v>
      </c>
      <c r="D310" s="1125"/>
      <c r="E310" s="1125"/>
      <c r="F310" s="1125"/>
      <c r="G310" s="1125"/>
      <c r="H310" s="1125"/>
      <c r="I310" s="1125"/>
      <c r="J310" s="1125"/>
      <c r="K310" s="1125"/>
      <c r="L310" s="1125"/>
      <c r="M310" s="1125"/>
      <c r="N310" s="1125"/>
      <c r="O310" s="219" t="s">
        <v>2588</v>
      </c>
      <c r="P310" s="1601"/>
      <c r="Q310" s="354"/>
      <c r="AE310" s="806"/>
      <c r="AF310" s="806"/>
    </row>
    <row r="311" spans="1:32" s="182" customFormat="1" ht="11.45" customHeight="1">
      <c r="B311" s="192" t="s">
        <v>2589</v>
      </c>
      <c r="C311" s="1125" t="s">
        <v>3891</v>
      </c>
      <c r="D311" s="1125"/>
      <c r="E311" s="1125"/>
      <c r="F311" s="1125"/>
      <c r="G311" s="1125"/>
      <c r="H311" s="1125"/>
      <c r="I311" s="1125"/>
      <c r="J311" s="1125"/>
      <c r="K311" s="1125"/>
      <c r="L311" s="1125"/>
      <c r="M311" s="1125"/>
      <c r="N311" s="1125"/>
      <c r="O311" s="219" t="s">
        <v>2589</v>
      </c>
      <c r="P311" s="1601"/>
      <c r="Q311" s="354"/>
      <c r="AE311" s="806"/>
      <c r="AF311" s="806"/>
    </row>
    <row r="312" spans="1:32" ht="11.45" customHeight="1">
      <c r="B312" s="55" t="s">
        <v>2825</v>
      </c>
      <c r="C312" s="62" t="s">
        <v>3874</v>
      </c>
      <c r="D312" s="62"/>
      <c r="E312" s="62"/>
      <c r="F312" s="62"/>
      <c r="G312" s="62"/>
      <c r="H312" s="62"/>
      <c r="I312" s="62"/>
      <c r="J312" s="62"/>
      <c r="K312" s="62"/>
      <c r="L312" s="62"/>
      <c r="M312" s="62"/>
      <c r="O312" s="803" t="s">
        <v>2825</v>
      </c>
      <c r="P312" s="1579"/>
      <c r="Q312" s="232"/>
    </row>
    <row r="313" spans="1:32" ht="11.25" customHeight="1">
      <c r="B313" s="191" t="s">
        <v>2737</v>
      </c>
      <c r="D313" s="191"/>
      <c r="E313" s="191"/>
      <c r="F313" s="191"/>
      <c r="G313" s="191"/>
      <c r="H313" s="48"/>
      <c r="I313" s="180"/>
      <c r="J313" s="180"/>
      <c r="K313" s="180"/>
      <c r="L313" s="851"/>
      <c r="M313" s="851"/>
      <c r="N313" s="851"/>
      <c r="O313" s="851"/>
      <c r="P313" s="851"/>
      <c r="Q313" s="60"/>
    </row>
    <row r="314" spans="1:32" ht="11.45" customHeight="1">
      <c r="A314" s="1583"/>
      <c r="B314" s="1584"/>
      <c r="C314" s="1584"/>
      <c r="D314" s="1584"/>
      <c r="E314" s="1584"/>
      <c r="F314" s="1584"/>
      <c r="G314" s="1584"/>
      <c r="H314" s="1584"/>
      <c r="I314" s="1584"/>
      <c r="J314" s="1584"/>
      <c r="K314" s="1584"/>
      <c r="L314" s="1584"/>
      <c r="M314" s="1584"/>
      <c r="N314" s="1584"/>
      <c r="O314" s="1584"/>
      <c r="P314" s="1584"/>
      <c r="Q314" s="1585"/>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3931</v>
      </c>
      <c r="C318" s="5"/>
      <c r="D318" s="5"/>
      <c r="E318" s="5"/>
      <c r="F318" s="5"/>
      <c r="G318" s="5"/>
      <c r="H318" s="855"/>
      <c r="I318" s="855"/>
      <c r="J318" s="855"/>
      <c r="O318" s="181" t="s">
        <v>2739</v>
      </c>
      <c r="P318" s="1116"/>
      <c r="Q318" s="1117"/>
    </row>
    <row r="319" spans="1:32" ht="13.9" customHeight="1">
      <c r="A319" s="856"/>
      <c r="B319" s="149" t="s">
        <v>3812</v>
      </c>
      <c r="C319" s="5"/>
      <c r="D319" s="5"/>
      <c r="E319" s="5"/>
      <c r="F319" s="5"/>
      <c r="G319" s="5"/>
      <c r="H319" s="855"/>
      <c r="I319" s="855"/>
      <c r="J319" s="855"/>
    </row>
    <row r="320" spans="1:32" ht="11.45" customHeight="1">
      <c r="B320" s="55" t="s">
        <v>2862</v>
      </c>
      <c r="C320" s="653" t="s">
        <v>3815</v>
      </c>
      <c r="D320" s="65"/>
      <c r="E320" s="861"/>
      <c r="F320" s="861"/>
      <c r="G320" s="861"/>
      <c r="H320" s="861"/>
      <c r="I320" s="50"/>
      <c r="O320" s="803" t="s">
        <v>2862</v>
      </c>
    </row>
    <row r="321" spans="2:32" s="182" customFormat="1" ht="21.75" customHeight="1">
      <c r="B321" s="192"/>
      <c r="C321" s="201" t="s">
        <v>2590</v>
      </c>
      <c r="D321" s="1171" t="s">
        <v>3813</v>
      </c>
      <c r="E321" s="1171"/>
      <c r="F321" s="1171"/>
      <c r="G321" s="1171"/>
      <c r="H321" s="1171"/>
      <c r="I321" s="1171"/>
      <c r="J321" s="1171"/>
      <c r="K321" s="1171"/>
      <c r="L321" s="1171"/>
      <c r="M321" s="1171"/>
      <c r="N321" s="1171"/>
      <c r="O321" s="201" t="s">
        <v>2590</v>
      </c>
      <c r="P321" s="1601"/>
      <c r="Q321" s="354"/>
      <c r="AE321" s="806"/>
      <c r="AF321" s="806"/>
    </row>
    <row r="322" spans="2:32" s="182" customFormat="1" ht="21.75" customHeight="1">
      <c r="C322" s="201" t="s">
        <v>2591</v>
      </c>
      <c r="D322" s="1121" t="s">
        <v>3814</v>
      </c>
      <c r="E322" s="1121"/>
      <c r="F322" s="1121"/>
      <c r="G322" s="1121"/>
      <c r="H322" s="1121"/>
      <c r="I322" s="1121"/>
      <c r="J322" s="1121"/>
      <c r="K322" s="1121"/>
      <c r="L322" s="1121"/>
      <c r="M322" s="1121"/>
      <c r="N322" s="1121"/>
      <c r="O322" s="201" t="s">
        <v>2591</v>
      </c>
      <c r="P322" s="1601"/>
      <c r="Q322" s="354"/>
      <c r="AE322" s="806"/>
      <c r="AF322" s="806"/>
    </row>
    <row r="323" spans="2:32" s="182" customFormat="1" ht="21.75" customHeight="1">
      <c r="B323" s="192"/>
      <c r="C323" s="201" t="s">
        <v>2592</v>
      </c>
      <c r="D323" s="1121" t="s">
        <v>3817</v>
      </c>
      <c r="E323" s="1121"/>
      <c r="F323" s="1121"/>
      <c r="G323" s="1121"/>
      <c r="H323" s="1121"/>
      <c r="I323" s="1121"/>
      <c r="J323" s="1121"/>
      <c r="K323" s="1121"/>
      <c r="L323" s="1121"/>
      <c r="M323" s="1121"/>
      <c r="N323" s="1121"/>
      <c r="O323" s="201" t="s">
        <v>2592</v>
      </c>
      <c r="P323" s="1601"/>
      <c r="Q323" s="354"/>
      <c r="AE323" s="806"/>
      <c r="AF323" s="806"/>
    </row>
    <row r="324" spans="2:32" s="182" customFormat="1" ht="22.15" customHeight="1">
      <c r="B324" s="192"/>
      <c r="C324" s="201" t="s">
        <v>3329</v>
      </c>
      <c r="D324" s="1121" t="s">
        <v>3818</v>
      </c>
      <c r="E324" s="1121"/>
      <c r="F324" s="1121"/>
      <c r="G324" s="1121"/>
      <c r="H324" s="1121"/>
      <c r="I324" s="1121"/>
      <c r="J324" s="1121"/>
      <c r="K324" s="1121"/>
      <c r="L324" s="1121"/>
      <c r="M324" s="1121"/>
      <c r="N324" s="1121"/>
      <c r="O324" s="201" t="s">
        <v>3329</v>
      </c>
      <c r="P324" s="1601"/>
      <c r="Q324" s="354"/>
      <c r="AE324" s="806"/>
      <c r="AF324" s="806"/>
    </row>
    <row r="325" spans="2:32" s="182" customFormat="1" ht="21.75" customHeight="1">
      <c r="B325" s="192"/>
      <c r="C325" s="201" t="s">
        <v>2153</v>
      </c>
      <c r="D325" s="1121" t="s">
        <v>3819</v>
      </c>
      <c r="E325" s="1121"/>
      <c r="F325" s="1121"/>
      <c r="G325" s="1121"/>
      <c r="H325" s="1121"/>
      <c r="I325" s="1121"/>
      <c r="J325" s="1121"/>
      <c r="K325" s="1121"/>
      <c r="L325" s="1121"/>
      <c r="M325" s="1121"/>
      <c r="N325" s="1121"/>
      <c r="O325" s="201" t="s">
        <v>2153</v>
      </c>
      <c r="P325" s="1601"/>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3816</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3820</v>
      </c>
      <c r="E328" s="699"/>
      <c r="F328" s="699"/>
      <c r="G328" s="699"/>
      <c r="H328" s="699"/>
      <c r="I328" s="699"/>
      <c r="J328" s="699"/>
      <c r="K328" s="699"/>
      <c r="L328" s="699"/>
      <c r="M328" s="699"/>
      <c r="N328" s="729"/>
      <c r="P328" s="79" t="s">
        <v>2590</v>
      </c>
      <c r="Q328" s="232"/>
    </row>
    <row r="329" spans="2:32" ht="11.25" customHeight="1">
      <c r="B329" s="55"/>
      <c r="C329" s="79" t="s">
        <v>2591</v>
      </c>
      <c r="D329" s="184" t="s">
        <v>3821</v>
      </c>
      <c r="E329" s="184"/>
      <c r="F329" s="184"/>
      <c r="G329" s="184"/>
      <c r="H329" s="184"/>
      <c r="I329" s="44"/>
      <c r="J329" s="729"/>
      <c r="K329" s="729"/>
      <c r="L329" s="729"/>
      <c r="M329" s="729"/>
      <c r="N329" s="729"/>
      <c r="P329" s="79" t="s">
        <v>2591</v>
      </c>
      <c r="Q329" s="232"/>
    </row>
    <row r="330" spans="2:32" ht="11.25" customHeight="1">
      <c r="B330" s="55"/>
      <c r="C330" s="79" t="s">
        <v>2592</v>
      </c>
      <c r="D330" s="62" t="s">
        <v>3822</v>
      </c>
      <c r="E330" s="62"/>
      <c r="F330" s="62"/>
      <c r="G330" s="62"/>
      <c r="H330" s="62"/>
      <c r="I330" s="62"/>
      <c r="J330" s="62"/>
      <c r="K330" s="62"/>
      <c r="L330" s="38"/>
      <c r="M330" s="38"/>
      <c r="N330" s="729"/>
      <c r="P330" s="79" t="s">
        <v>2592</v>
      </c>
      <c r="Q330" s="232"/>
    </row>
    <row r="331" spans="2:32" ht="11.25" customHeight="1">
      <c r="B331" s="55"/>
      <c r="C331" s="79" t="s">
        <v>3329</v>
      </c>
      <c r="D331" s="62" t="s">
        <v>3823</v>
      </c>
      <c r="E331" s="62"/>
      <c r="F331" s="62"/>
      <c r="G331" s="62"/>
      <c r="H331" s="62"/>
      <c r="I331" s="62"/>
      <c r="J331" s="62"/>
      <c r="K331" s="62"/>
      <c r="L331" s="62"/>
      <c r="M331" s="62"/>
      <c r="N331" s="62"/>
      <c r="P331" s="79" t="s">
        <v>3329</v>
      </c>
      <c r="Q331" s="232"/>
    </row>
    <row r="332" spans="2:32" ht="11.25" customHeight="1">
      <c r="B332" s="55"/>
      <c r="C332" s="79" t="s">
        <v>2153</v>
      </c>
      <c r="D332" s="62" t="s">
        <v>3824</v>
      </c>
      <c r="E332" s="62"/>
      <c r="F332" s="62"/>
      <c r="G332" s="62"/>
      <c r="H332" s="62"/>
      <c r="I332" s="62"/>
      <c r="J332" s="62"/>
      <c r="K332" s="62"/>
      <c r="L332" s="62"/>
      <c r="M332" s="62"/>
      <c r="N332" s="62"/>
      <c r="P332" s="79" t="s">
        <v>2153</v>
      </c>
      <c r="Q332" s="232"/>
    </row>
    <row r="333" spans="2:32" ht="11.25" customHeight="1">
      <c r="B333" s="192"/>
      <c r="C333" s="803" t="s">
        <v>2154</v>
      </c>
      <c r="D333" s="190" t="s">
        <v>3825</v>
      </c>
      <c r="E333" s="190"/>
      <c r="F333" s="190"/>
      <c r="G333" s="190"/>
      <c r="H333" s="190"/>
      <c r="I333" s="190"/>
      <c r="J333" s="190"/>
      <c r="K333" s="190"/>
      <c r="L333" s="190"/>
      <c r="M333" s="190"/>
      <c r="N333" s="190"/>
      <c r="P333" s="803" t="s">
        <v>2154</v>
      </c>
      <c r="Q333" s="232"/>
    </row>
    <row r="334" spans="2:32" ht="11.25" customHeight="1">
      <c r="B334" s="192"/>
      <c r="C334" s="803" t="s">
        <v>107</v>
      </c>
      <c r="D334" s="62" t="s">
        <v>3826</v>
      </c>
      <c r="E334" s="62"/>
      <c r="F334" s="62"/>
      <c r="G334" s="62"/>
      <c r="H334" s="62"/>
      <c r="I334" s="62"/>
      <c r="J334" s="62"/>
      <c r="K334" s="62"/>
      <c r="L334" s="62"/>
      <c r="M334" s="62"/>
      <c r="N334" s="62"/>
      <c r="P334" s="803" t="s">
        <v>107</v>
      </c>
      <c r="Q334" s="232"/>
    </row>
    <row r="335" spans="2:32" ht="11.25" customHeight="1">
      <c r="B335" s="55"/>
      <c r="C335" s="803" t="s">
        <v>743</v>
      </c>
      <c r="D335" s="699" t="s">
        <v>3827</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1"/>
      <c r="M336" s="851"/>
      <c r="N336" s="851"/>
      <c r="O336" s="851"/>
      <c r="P336" s="851"/>
      <c r="Q336" s="60"/>
    </row>
    <row r="337" spans="1:31" ht="11.45" customHeight="1">
      <c r="A337" s="1583"/>
      <c r="B337" s="1584"/>
      <c r="C337" s="1584"/>
      <c r="D337" s="1584"/>
      <c r="E337" s="1584"/>
      <c r="F337" s="1584"/>
      <c r="G337" s="1584"/>
      <c r="H337" s="1584"/>
      <c r="I337" s="1584"/>
      <c r="J337" s="1584"/>
      <c r="K337" s="1584"/>
      <c r="L337" s="1584"/>
      <c r="M337" s="1584"/>
      <c r="N337" s="1584"/>
      <c r="O337" s="1584"/>
      <c r="P337" s="1584"/>
      <c r="Q337" s="1585"/>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3892</v>
      </c>
      <c r="C341" s="5"/>
      <c r="D341" s="5"/>
      <c r="E341" s="5"/>
      <c r="F341" s="5"/>
      <c r="G341" s="5"/>
      <c r="H341" s="855"/>
      <c r="I341" s="855"/>
      <c r="J341" s="855"/>
      <c r="O341" s="181" t="s">
        <v>2739</v>
      </c>
      <c r="P341" s="1116"/>
      <c r="Q341" s="1117"/>
    </row>
    <row r="342" spans="1:31" ht="11.45" customHeight="1">
      <c r="B342" s="55" t="s">
        <v>2862</v>
      </c>
      <c r="C342" s="161" t="s">
        <v>1543</v>
      </c>
      <c r="E342" s="1589"/>
      <c r="F342" s="1590"/>
      <c r="G342" s="1590"/>
      <c r="H342" s="1590"/>
      <c r="I342" s="1591"/>
      <c r="J342" s="1168" t="s">
        <v>3830</v>
      </c>
      <c r="K342" s="1169"/>
      <c r="L342" s="1170"/>
      <c r="M342" s="1589"/>
      <c r="N342" s="1590"/>
      <c r="O342" s="1590"/>
      <c r="P342" s="1590"/>
      <c r="Q342" s="1591"/>
    </row>
    <row r="343" spans="1:31" ht="11.45" customHeight="1">
      <c r="B343" s="55" t="s">
        <v>2865</v>
      </c>
      <c r="C343" s="62" t="s">
        <v>2593</v>
      </c>
      <c r="D343" s="62"/>
      <c r="E343" s="62"/>
      <c r="F343" s="62"/>
      <c r="G343" s="62"/>
      <c r="H343" s="62"/>
      <c r="I343" s="62"/>
      <c r="J343" s="62"/>
      <c r="K343" s="62"/>
      <c r="L343" s="38"/>
      <c r="M343" s="38"/>
      <c r="O343" s="803" t="s">
        <v>2865</v>
      </c>
      <c r="P343" s="1579"/>
      <c r="Q343" s="232"/>
    </row>
    <row r="344" spans="1:31" ht="11.45" customHeight="1">
      <c r="B344" s="55" t="s">
        <v>1145</v>
      </c>
      <c r="C344" s="62" t="s">
        <v>2008</v>
      </c>
      <c r="D344" s="62"/>
      <c r="E344" s="62"/>
      <c r="F344" s="62"/>
      <c r="G344" s="62"/>
      <c r="H344" s="62"/>
      <c r="I344" s="62"/>
      <c r="J344" s="62"/>
      <c r="K344" s="62"/>
      <c r="L344" s="62"/>
      <c r="M344" s="62"/>
      <c r="O344" s="803" t="s">
        <v>1145</v>
      </c>
      <c r="P344" s="1579"/>
      <c r="Q344" s="232"/>
    </row>
    <row r="345" spans="1:31" ht="11.45" customHeight="1">
      <c r="B345" s="55" t="s">
        <v>3004</v>
      </c>
      <c r="C345" s="62" t="s">
        <v>3875</v>
      </c>
      <c r="D345" s="62"/>
      <c r="E345" s="62"/>
      <c r="F345" s="62"/>
      <c r="G345" s="62"/>
      <c r="H345" s="62"/>
      <c r="I345" s="62"/>
      <c r="J345" s="62"/>
      <c r="K345" s="62"/>
      <c r="L345" s="62"/>
      <c r="M345" s="62"/>
      <c r="O345" s="803" t="s">
        <v>3004</v>
      </c>
      <c r="P345" s="1579"/>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79"/>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601"/>
      <c r="Q347" s="232"/>
    </row>
    <row r="348" spans="1:31" ht="11.45" customHeight="1">
      <c r="B348" s="55" t="s">
        <v>2825</v>
      </c>
      <c r="C348" s="38" t="s">
        <v>792</v>
      </c>
      <c r="D348" s="203"/>
      <c r="E348" s="203"/>
      <c r="F348" s="203"/>
      <c r="G348" s="203"/>
      <c r="H348" s="203"/>
      <c r="I348" s="203"/>
      <c r="J348" s="203"/>
      <c r="K348" s="203"/>
      <c r="L348" s="203"/>
      <c r="M348" s="203"/>
      <c r="O348" s="803" t="s">
        <v>2825</v>
      </c>
      <c r="P348" s="1579"/>
      <c r="Q348" s="232"/>
    </row>
    <row r="349" spans="1:31" ht="11.25" customHeight="1">
      <c r="B349" s="191" t="s">
        <v>2737</v>
      </c>
      <c r="D349" s="191"/>
      <c r="E349" s="191"/>
      <c r="F349" s="191"/>
      <c r="G349" s="191"/>
      <c r="H349" s="48"/>
      <c r="I349" s="180"/>
      <c r="J349" s="180"/>
      <c r="K349" s="180"/>
      <c r="L349" s="851"/>
      <c r="M349" s="851"/>
      <c r="N349" s="851"/>
      <c r="O349" s="851"/>
      <c r="P349" s="851"/>
      <c r="Q349" s="60"/>
    </row>
    <row r="350" spans="1:31" ht="11.45" customHeight="1">
      <c r="A350" s="1583" t="s">
        <v>4081</v>
      </c>
      <c r="B350" s="1584"/>
      <c r="C350" s="1584"/>
      <c r="D350" s="1584"/>
      <c r="E350" s="1584"/>
      <c r="F350" s="1584"/>
      <c r="G350" s="1584"/>
      <c r="H350" s="1584"/>
      <c r="I350" s="1584"/>
      <c r="J350" s="1584"/>
      <c r="K350" s="1584"/>
      <c r="L350" s="1584"/>
      <c r="M350" s="1584"/>
      <c r="N350" s="1584"/>
      <c r="O350" s="1584"/>
      <c r="P350" s="1584"/>
      <c r="Q350" s="1585"/>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3828</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33" t="s">
        <v>4064</v>
      </c>
      <c r="O355" s="1634"/>
      <c r="P355" s="1172" t="s">
        <v>2626</v>
      </c>
      <c r="Q355" s="1173"/>
      <c r="AE355" s="6"/>
      <c r="AF355" s="6"/>
    </row>
    <row r="356" spans="1:32" s="2" customFormat="1" ht="12" customHeight="1">
      <c r="B356" s="55" t="s">
        <v>2865</v>
      </c>
      <c r="C356" s="158" t="s">
        <v>1</v>
      </c>
      <c r="D356" s="203"/>
      <c r="E356" s="203"/>
      <c r="G356" s="803" t="s">
        <v>2865</v>
      </c>
      <c r="H356" s="1635" t="s">
        <v>4063</v>
      </c>
      <c r="I356" s="1636"/>
      <c r="J356" s="1636"/>
      <c r="K356" s="1636"/>
      <c r="L356" s="1636"/>
      <c r="M356" s="1636"/>
      <c r="N356" s="1636"/>
      <c r="O356" s="1636"/>
      <c r="P356" s="1637"/>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9" t="s">
        <v>3984</v>
      </c>
      <c r="Q357" s="232"/>
      <c r="AE357" s="6"/>
      <c r="AF357" s="6"/>
    </row>
    <row r="358" spans="1:32" ht="11.25" customHeight="1">
      <c r="B358" s="191" t="s">
        <v>2737</v>
      </c>
      <c r="D358" s="191"/>
      <c r="E358" s="191"/>
      <c r="F358" s="191"/>
      <c r="G358" s="191"/>
      <c r="H358" s="48"/>
      <c r="I358" s="180"/>
      <c r="J358" s="180"/>
      <c r="K358" s="180"/>
      <c r="L358" s="851"/>
      <c r="M358" s="851"/>
      <c r="N358" s="851"/>
      <c r="O358" s="851"/>
      <c r="P358" s="851"/>
      <c r="Q358" s="60"/>
    </row>
    <row r="359" spans="1:32" ht="11.45" customHeight="1">
      <c r="A359" s="1583"/>
      <c r="B359" s="1584"/>
      <c r="C359" s="1584"/>
      <c r="D359" s="1584"/>
      <c r="E359" s="1584"/>
      <c r="F359" s="1584"/>
      <c r="G359" s="1584"/>
      <c r="H359" s="1584"/>
      <c r="I359" s="1584"/>
      <c r="J359" s="1584"/>
      <c r="K359" s="1584"/>
      <c r="L359" s="1584"/>
      <c r="M359" s="1584"/>
      <c r="N359" s="1584"/>
      <c r="O359" s="1584"/>
      <c r="P359" s="1584"/>
      <c r="Q359" s="1585"/>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3807</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3836</v>
      </c>
      <c r="D365" s="727"/>
      <c r="E365" s="727"/>
      <c r="H365" s="190"/>
      <c r="O365" s="803" t="s">
        <v>2862</v>
      </c>
      <c r="P365" s="1579"/>
      <c r="Q365" s="232"/>
    </row>
    <row r="366" spans="1:32" ht="12" customHeight="1">
      <c r="A366" s="194"/>
      <c r="B366" s="55" t="s">
        <v>2865</v>
      </c>
      <c r="C366" s="62" t="s">
        <v>3837</v>
      </c>
      <c r="D366" s="727"/>
      <c r="E366" s="727"/>
      <c r="O366" s="803" t="s">
        <v>2865</v>
      </c>
      <c r="P366" s="1579"/>
      <c r="Q366" s="232"/>
    </row>
    <row r="367" spans="1:32" ht="12" customHeight="1">
      <c r="A367" s="194"/>
      <c r="B367" s="55" t="s">
        <v>1145</v>
      </c>
      <c r="C367" s="62" t="s">
        <v>3893</v>
      </c>
      <c r="D367" s="727"/>
      <c r="E367" s="727"/>
      <c r="O367" s="803" t="s">
        <v>1145</v>
      </c>
      <c r="P367" s="1579"/>
      <c r="Q367" s="232"/>
    </row>
    <row r="368" spans="1:32" ht="12" customHeight="1">
      <c r="A368" s="194"/>
      <c r="B368" s="55" t="s">
        <v>3004</v>
      </c>
      <c r="C368" s="62" t="s">
        <v>3829</v>
      </c>
      <c r="E368" s="190"/>
      <c r="O368" s="803" t="s">
        <v>3004</v>
      </c>
      <c r="P368" s="1579"/>
      <c r="Q368" s="232"/>
    </row>
    <row r="369" spans="1:31" ht="12" customHeight="1">
      <c r="B369" s="55" t="s">
        <v>2588</v>
      </c>
      <c r="C369" s="62" t="s">
        <v>2967</v>
      </c>
      <c r="E369" s="190"/>
      <c r="G369" s="803" t="s">
        <v>2588</v>
      </c>
      <c r="H369" s="1602"/>
      <c r="I369" s="1603"/>
      <c r="J369" s="1603"/>
      <c r="K369" s="1603"/>
      <c r="L369" s="1603"/>
      <c r="M369" s="1603"/>
      <c r="N369" s="1603"/>
      <c r="O369" s="1604"/>
      <c r="P369" s="1579"/>
      <c r="Q369" s="232"/>
    </row>
    <row r="370" spans="1:31" ht="11.25" customHeight="1">
      <c r="B370" s="191" t="s">
        <v>2737</v>
      </c>
      <c r="D370" s="191"/>
      <c r="E370" s="191"/>
      <c r="F370" s="191"/>
      <c r="G370" s="191"/>
      <c r="H370" s="48"/>
      <c r="I370" s="180"/>
      <c r="J370" s="180"/>
      <c r="K370" s="180"/>
      <c r="L370" s="851"/>
      <c r="M370" s="851"/>
      <c r="N370" s="851"/>
      <c r="O370" s="851"/>
      <c r="P370" s="851"/>
      <c r="Q370" s="60"/>
    </row>
    <row r="371" spans="1:31" ht="11.45" customHeight="1">
      <c r="A371" s="1583" t="s">
        <v>4081</v>
      </c>
      <c r="B371" s="1584"/>
      <c r="C371" s="1584"/>
      <c r="D371" s="1584"/>
      <c r="E371" s="1584"/>
      <c r="F371" s="1584"/>
      <c r="G371" s="1584"/>
      <c r="H371" s="1584"/>
      <c r="I371" s="1584"/>
      <c r="J371" s="1584"/>
      <c r="K371" s="1584"/>
      <c r="L371" s="1584"/>
      <c r="M371" s="1584"/>
      <c r="N371" s="1584"/>
      <c r="O371" s="1584"/>
      <c r="P371" s="1584"/>
      <c r="Q371" s="1585"/>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3808</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579" t="s">
        <v>4011</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579" t="s">
        <v>3974</v>
      </c>
      <c r="Q377" s="232"/>
    </row>
    <row r="378" spans="1:31" ht="11.25" customHeight="1">
      <c r="B378" s="127" t="s">
        <v>2737</v>
      </c>
      <c r="D378" s="127"/>
      <c r="E378" s="127"/>
      <c r="F378" s="127"/>
      <c r="G378" s="127"/>
      <c r="H378" s="48"/>
      <c r="I378" s="180"/>
      <c r="J378" s="180"/>
      <c r="K378" s="187" t="s">
        <v>2738</v>
      </c>
      <c r="L378" s="851"/>
      <c r="M378" s="851"/>
      <c r="N378" s="851"/>
      <c r="O378" s="235"/>
      <c r="P378" s="851"/>
      <c r="Q378" s="60"/>
    </row>
    <row r="379" spans="1:31" ht="11.45" customHeight="1">
      <c r="A379" s="1583"/>
      <c r="B379" s="1584"/>
      <c r="C379" s="1584"/>
      <c r="D379" s="1584"/>
      <c r="E379" s="1584"/>
      <c r="F379" s="1584"/>
      <c r="G379" s="1584"/>
      <c r="H379" s="1584"/>
      <c r="I379" s="1584"/>
      <c r="J379" s="1585"/>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3809</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579" t="s">
        <v>3974</v>
      </c>
      <c r="Q382" s="232"/>
    </row>
    <row r="383" spans="1:31" ht="12" customHeight="1">
      <c r="A383" s="50"/>
      <c r="B383" s="55" t="s">
        <v>2865</v>
      </c>
      <c r="C383" s="47" t="s">
        <v>3099</v>
      </c>
      <c r="D383" s="50"/>
      <c r="E383" s="50"/>
      <c r="F383" s="50"/>
      <c r="G383" s="50"/>
      <c r="H383" s="50"/>
      <c r="I383" s="50"/>
      <c r="J383" s="50"/>
      <c r="K383" s="50"/>
      <c r="L383" s="50"/>
      <c r="M383" s="50"/>
      <c r="N383" s="50"/>
      <c r="O383" s="803" t="s">
        <v>2030</v>
      </c>
      <c r="P383" s="1579" t="s">
        <v>3974</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3100</v>
      </c>
      <c r="D385" s="62"/>
      <c r="E385" s="62"/>
      <c r="F385" s="62"/>
      <c r="G385" s="62"/>
      <c r="H385" s="62"/>
      <c r="I385" s="62"/>
      <c r="J385" s="62"/>
      <c r="K385" s="62"/>
      <c r="L385" s="62"/>
      <c r="M385" s="62"/>
      <c r="N385" s="50"/>
      <c r="O385" s="803" t="s">
        <v>2591</v>
      </c>
      <c r="P385" s="1579" t="s">
        <v>3974</v>
      </c>
      <c r="Q385" s="232"/>
    </row>
    <row r="386" spans="1:32" ht="12" customHeight="1">
      <c r="A386" s="50"/>
      <c r="B386" s="55" t="s">
        <v>1145</v>
      </c>
      <c r="C386" s="1096" t="s">
        <v>3098</v>
      </c>
      <c r="D386" s="1096"/>
      <c r="E386" s="1096"/>
      <c r="F386" s="1096"/>
      <c r="G386" s="1096"/>
      <c r="H386" s="1096"/>
      <c r="I386" s="1096"/>
      <c r="J386" s="1096"/>
      <c r="K386" s="1096"/>
      <c r="L386" s="1096"/>
      <c r="M386" s="1096"/>
      <c r="N386" s="1096"/>
      <c r="O386" s="803" t="s">
        <v>1145</v>
      </c>
      <c r="P386" s="1579" t="s">
        <v>3974</v>
      </c>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3101</v>
      </c>
      <c r="D388" s="44"/>
      <c r="E388" s="50"/>
      <c r="F388" s="38"/>
      <c r="G388" s="1638">
        <v>0</v>
      </c>
      <c r="H388" s="662" t="s">
        <v>291</v>
      </c>
      <c r="J388" s="184" t="s">
        <v>3104</v>
      </c>
      <c r="K388" s="38"/>
      <c r="N388" s="1638">
        <v>0</v>
      </c>
      <c r="O388" s="662" t="s">
        <v>291</v>
      </c>
    </row>
    <row r="389" spans="1:32" ht="12" customHeight="1">
      <c r="A389" s="50"/>
      <c r="B389" s="55"/>
      <c r="C389" s="184" t="s">
        <v>3102</v>
      </c>
      <c r="D389" s="44"/>
      <c r="E389" s="50"/>
      <c r="F389" s="38"/>
      <c r="G389" s="1638">
        <v>0</v>
      </c>
      <c r="H389" s="662"/>
      <c r="J389" s="184" t="s">
        <v>3105</v>
      </c>
      <c r="K389" s="38"/>
      <c r="N389" s="1638">
        <v>4</v>
      </c>
      <c r="O389" s="662"/>
    </row>
    <row r="390" spans="1:32" ht="12" customHeight="1">
      <c r="A390" s="50"/>
      <c r="B390" s="55"/>
      <c r="C390" s="184" t="s">
        <v>3103</v>
      </c>
      <c r="D390" s="44"/>
      <c r="E390" s="50"/>
      <c r="F390" s="38"/>
      <c r="G390" s="1638">
        <v>2</v>
      </c>
      <c r="H390" s="662" t="s">
        <v>291</v>
      </c>
      <c r="K390" s="38"/>
      <c r="L390" s="38"/>
      <c r="M390" s="38"/>
      <c r="N390" s="50"/>
      <c r="O390" s="803"/>
    </row>
    <row r="391" spans="1:32" ht="12" customHeight="1">
      <c r="A391" s="50"/>
      <c r="B391" s="55" t="s">
        <v>2588</v>
      </c>
      <c r="C391" s="38" t="s">
        <v>3356</v>
      </c>
      <c r="D391" s="38"/>
      <c r="E391" s="38"/>
      <c r="F391" s="38"/>
      <c r="G391" s="38"/>
      <c r="J391" s="50"/>
      <c r="K391" s="38"/>
      <c r="L391" s="38"/>
      <c r="M391" s="38"/>
      <c r="N391" s="50"/>
      <c r="O391" s="803"/>
      <c r="P391" s="803"/>
      <c r="Q391" s="803"/>
    </row>
    <row r="392" spans="1:32" ht="12" customHeight="1">
      <c r="A392" s="50"/>
      <c r="B392" s="55"/>
      <c r="C392" s="697" t="s">
        <v>3106</v>
      </c>
      <c r="D392" s="38"/>
      <c r="E392" s="38"/>
      <c r="F392" s="38"/>
      <c r="G392" s="1579" t="s">
        <v>3974</v>
      </c>
      <c r="H392" s="232"/>
      <c r="J392" s="697" t="s">
        <v>1705</v>
      </c>
      <c r="K392" s="38"/>
      <c r="N392" s="1579" t="s">
        <v>3974</v>
      </c>
      <c r="O392" s="232"/>
    </row>
    <row r="393" spans="1:32" ht="12" customHeight="1">
      <c r="A393" s="50"/>
      <c r="B393" s="55"/>
      <c r="C393" s="697" t="s">
        <v>1704</v>
      </c>
      <c r="D393" s="38"/>
      <c r="E393" s="38"/>
      <c r="F393" s="38"/>
      <c r="G393" s="1579" t="s">
        <v>3974</v>
      </c>
      <c r="H393" s="232"/>
      <c r="J393" s="697" t="s">
        <v>3164</v>
      </c>
      <c r="N393" s="1639"/>
      <c r="O393" s="1640"/>
      <c r="P393" s="1640"/>
      <c r="Q393" s="1641"/>
    </row>
    <row r="394" spans="1:32" ht="12" customHeight="1">
      <c r="B394" s="191" t="s">
        <v>2737</v>
      </c>
      <c r="D394" s="191"/>
      <c r="E394" s="191"/>
      <c r="F394" s="191"/>
      <c r="G394" s="191"/>
      <c r="H394" s="48"/>
      <c r="I394" s="180"/>
      <c r="J394" s="180"/>
      <c r="K394" s="180"/>
      <c r="P394" s="851"/>
      <c r="Q394" s="60"/>
    </row>
    <row r="395" spans="1:32" ht="24.75" customHeight="1">
      <c r="A395" s="1583" t="s">
        <v>4080</v>
      </c>
      <c r="B395" s="1584"/>
      <c r="C395" s="1584"/>
      <c r="D395" s="1584"/>
      <c r="E395" s="1584"/>
      <c r="F395" s="1584"/>
      <c r="G395" s="1584"/>
      <c r="H395" s="1584"/>
      <c r="I395" s="1584"/>
      <c r="J395" s="1584"/>
      <c r="K395" s="1584"/>
      <c r="L395" s="1584"/>
      <c r="M395" s="1584"/>
      <c r="N395" s="1584"/>
      <c r="O395" s="1584"/>
      <c r="P395" s="1584"/>
      <c r="Q395" s="1585"/>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3810</v>
      </c>
      <c r="C399" s="5"/>
      <c r="D399" s="115"/>
      <c r="E399" s="855"/>
      <c r="F399" s="855"/>
      <c r="G399" s="855"/>
      <c r="H399" s="855"/>
      <c r="O399" s="181" t="s">
        <v>2739</v>
      </c>
      <c r="P399" s="1116"/>
      <c r="Q399" s="1117"/>
    </row>
    <row r="400" spans="1:32" s="182" customFormat="1" ht="21.75" customHeight="1">
      <c r="B400" s="192" t="s">
        <v>2862</v>
      </c>
      <c r="C400" s="1162" t="s">
        <v>3879</v>
      </c>
      <c r="D400" s="1162"/>
      <c r="E400" s="1162"/>
      <c r="F400" s="1162"/>
      <c r="G400" s="1162"/>
      <c r="H400" s="1162"/>
      <c r="I400" s="1162"/>
      <c r="J400" s="1162"/>
      <c r="K400" s="1162"/>
      <c r="L400" s="1162"/>
      <c r="M400" s="1162"/>
      <c r="N400" s="1162"/>
      <c r="O400" s="219" t="s">
        <v>2862</v>
      </c>
      <c r="P400" s="1601" t="s">
        <v>4011</v>
      </c>
      <c r="Q400" s="354"/>
      <c r="AE400" s="806"/>
      <c r="AF400" s="806"/>
    </row>
    <row r="401" spans="1:32" s="182" customFormat="1" ht="12" customHeight="1">
      <c r="B401" s="192" t="s">
        <v>2865</v>
      </c>
      <c r="C401" s="1162" t="s">
        <v>3880</v>
      </c>
      <c r="D401" s="1162"/>
      <c r="E401" s="1162"/>
      <c r="F401" s="1162"/>
      <c r="G401" s="1162"/>
      <c r="H401" s="1162"/>
      <c r="I401" s="1162"/>
      <c r="J401" s="1162"/>
      <c r="K401" s="1162"/>
      <c r="L401" s="1162"/>
      <c r="M401" s="1162"/>
      <c r="N401" s="1162"/>
      <c r="O401" s="219" t="s">
        <v>2865</v>
      </c>
      <c r="P401" s="1601" t="s">
        <v>4011</v>
      </c>
      <c r="Q401" s="354"/>
      <c r="AE401" s="806"/>
      <c r="AF401" s="806"/>
    </row>
    <row r="402" spans="1:32" s="182" customFormat="1" ht="21.75" customHeight="1">
      <c r="B402" s="192" t="s">
        <v>1145</v>
      </c>
      <c r="C402" s="1162" t="s">
        <v>3881</v>
      </c>
      <c r="D402" s="1162"/>
      <c r="E402" s="1162"/>
      <c r="F402" s="1162"/>
      <c r="G402" s="1162"/>
      <c r="H402" s="1162"/>
      <c r="I402" s="1162"/>
      <c r="J402" s="1162"/>
      <c r="K402" s="1162"/>
      <c r="L402" s="1162"/>
      <c r="M402" s="1162"/>
      <c r="N402" s="1162"/>
      <c r="O402" s="219" t="s">
        <v>1145</v>
      </c>
      <c r="P402" s="1601" t="s">
        <v>4011</v>
      </c>
      <c r="Q402" s="354"/>
      <c r="AE402" s="806"/>
      <c r="AF402" s="806"/>
    </row>
    <row r="403" spans="1:32" s="182" customFormat="1" ht="33.75" customHeight="1">
      <c r="B403" s="192" t="s">
        <v>3004</v>
      </c>
      <c r="C403" s="1162" t="s">
        <v>3882</v>
      </c>
      <c r="D403" s="1162"/>
      <c r="E403" s="1162"/>
      <c r="F403" s="1162"/>
      <c r="G403" s="1162"/>
      <c r="H403" s="1162"/>
      <c r="I403" s="1162"/>
      <c r="J403" s="1162"/>
      <c r="K403" s="1162"/>
      <c r="L403" s="1162"/>
      <c r="M403" s="1162"/>
      <c r="N403" s="1162"/>
      <c r="O403" s="219" t="s">
        <v>3004</v>
      </c>
      <c r="P403" s="1601" t="s">
        <v>4011</v>
      </c>
      <c r="Q403" s="354"/>
      <c r="AE403" s="806"/>
      <c r="AF403" s="806"/>
    </row>
    <row r="404" spans="1:32" s="182" customFormat="1" ht="23.45" customHeight="1">
      <c r="B404" s="192" t="s">
        <v>2588</v>
      </c>
      <c r="C404" s="1162" t="s">
        <v>3883</v>
      </c>
      <c r="D404" s="1162"/>
      <c r="E404" s="1162"/>
      <c r="F404" s="1162"/>
      <c r="G404" s="1162"/>
      <c r="H404" s="1162"/>
      <c r="I404" s="1162"/>
      <c r="J404" s="1162"/>
      <c r="K404" s="1162"/>
      <c r="L404" s="1162"/>
      <c r="M404" s="1162"/>
      <c r="N404" s="1162"/>
      <c r="O404" s="219" t="s">
        <v>2588</v>
      </c>
      <c r="P404" s="1601" t="s">
        <v>4011</v>
      </c>
      <c r="Q404" s="354"/>
      <c r="AE404" s="806"/>
      <c r="AF404" s="806"/>
    </row>
    <row r="405" spans="1:32" s="182" customFormat="1" ht="21.75" customHeight="1">
      <c r="B405" s="192" t="s">
        <v>2589</v>
      </c>
      <c r="C405" s="1162" t="s">
        <v>3884</v>
      </c>
      <c r="D405" s="1162"/>
      <c r="E405" s="1162"/>
      <c r="F405" s="1162"/>
      <c r="G405" s="1162"/>
      <c r="H405" s="1162"/>
      <c r="I405" s="1162"/>
      <c r="J405" s="1162"/>
      <c r="K405" s="1162"/>
      <c r="L405" s="1162"/>
      <c r="M405" s="1162"/>
      <c r="N405" s="1162"/>
      <c r="O405" s="219" t="s">
        <v>2589</v>
      </c>
      <c r="P405" s="1601" t="s">
        <v>4011</v>
      </c>
      <c r="Q405" s="354"/>
      <c r="AE405" s="806"/>
      <c r="AF405" s="806"/>
    </row>
    <row r="406" spans="1:32" ht="11.25" customHeight="1">
      <c r="B406" s="191" t="s">
        <v>2737</v>
      </c>
      <c r="D406" s="191"/>
      <c r="E406" s="191"/>
      <c r="F406" s="191"/>
      <c r="G406" s="191"/>
      <c r="H406" s="48"/>
      <c r="I406" s="180"/>
      <c r="J406" s="180"/>
      <c r="K406" s="180"/>
      <c r="L406" s="851"/>
      <c r="M406" s="851"/>
      <c r="N406" s="851"/>
      <c r="O406" s="851"/>
      <c r="P406" s="851"/>
      <c r="Q406" s="60"/>
    </row>
    <row r="407" spans="1:32" ht="11.45" customHeight="1">
      <c r="A407" s="1583"/>
      <c r="B407" s="1584"/>
      <c r="C407" s="1584"/>
      <c r="D407" s="1584"/>
      <c r="E407" s="1584"/>
      <c r="F407" s="1584"/>
      <c r="G407" s="1584"/>
      <c r="H407" s="1584"/>
      <c r="I407" s="1584"/>
      <c r="J407" s="1584"/>
      <c r="K407" s="1584"/>
      <c r="L407" s="1584"/>
      <c r="M407" s="1584"/>
      <c r="N407" s="1584"/>
      <c r="O407" s="1584"/>
      <c r="P407" s="1584"/>
      <c r="Q407" s="1585"/>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3811</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1"/>
      <c r="M412" s="851"/>
      <c r="N412" s="851"/>
      <c r="O412" s="851"/>
      <c r="P412" s="851"/>
      <c r="Q412" s="60"/>
    </row>
    <row r="413" spans="1:32" ht="25.9" customHeight="1">
      <c r="A413" s="1583" t="s">
        <v>4111</v>
      </c>
      <c r="B413" s="1584"/>
      <c r="C413" s="1584"/>
      <c r="D413" s="1584"/>
      <c r="E413" s="1584"/>
      <c r="F413" s="1584"/>
      <c r="G413" s="1584"/>
      <c r="H413" s="1584"/>
      <c r="I413" s="1584"/>
      <c r="J413" s="1584"/>
      <c r="K413" s="1584"/>
      <c r="L413" s="1584"/>
      <c r="M413" s="1584"/>
      <c r="N413" s="1584"/>
      <c r="O413" s="1584"/>
      <c r="P413" s="1584"/>
      <c r="Q413" s="1585"/>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42"/>
      <c r="B419" s="1642"/>
      <c r="C419" s="1642"/>
      <c r="D419" s="1642"/>
      <c r="E419" s="1642"/>
      <c r="F419" s="1642"/>
      <c r="G419" s="1642"/>
      <c r="H419" s="1642"/>
      <c r="I419" s="1642"/>
      <c r="J419" s="1642"/>
      <c r="K419" s="1642"/>
      <c r="L419" s="1642"/>
      <c r="M419" s="1642"/>
      <c r="N419" s="1642"/>
      <c r="O419" s="1642"/>
      <c r="P419" s="1642"/>
      <c r="Q419" s="1642"/>
      <c r="AE419" s="807"/>
      <c r="AF419" s="807"/>
    </row>
    <row r="420" spans="1:32" s="199" customFormat="1" ht="12" customHeight="1">
      <c r="A420" s="1642"/>
      <c r="B420" s="1642"/>
      <c r="C420" s="1642"/>
      <c r="D420" s="1642"/>
      <c r="E420" s="1642"/>
      <c r="F420" s="1642"/>
      <c r="G420" s="1642"/>
      <c r="H420" s="1642"/>
      <c r="I420" s="1642"/>
      <c r="J420" s="1642"/>
      <c r="K420" s="1642"/>
      <c r="L420" s="1642"/>
      <c r="M420" s="1642"/>
      <c r="N420" s="1642"/>
      <c r="O420" s="1642"/>
      <c r="P420" s="1642"/>
      <c r="Q420" s="1642"/>
      <c r="AE420" s="807"/>
      <c r="AF420" s="807"/>
    </row>
    <row r="421" spans="1:32" s="199" customFormat="1" ht="12" customHeight="1">
      <c r="A421" s="1642"/>
      <c r="B421" s="1642"/>
      <c r="C421" s="1642"/>
      <c r="D421" s="1642"/>
      <c r="E421" s="1642"/>
      <c r="F421" s="1642"/>
      <c r="G421" s="1642"/>
      <c r="H421" s="1642"/>
      <c r="I421" s="1642"/>
      <c r="J421" s="1642"/>
      <c r="K421" s="1642"/>
      <c r="L421" s="1642"/>
      <c r="M421" s="1642"/>
      <c r="N421" s="1642"/>
      <c r="O421" s="1642"/>
      <c r="P421" s="1642"/>
      <c r="Q421" s="1642"/>
      <c r="AE421" s="807"/>
      <c r="AF421" s="807"/>
    </row>
    <row r="422" spans="1:32" s="199" customFormat="1" ht="12" customHeight="1">
      <c r="A422" s="1642"/>
      <c r="B422" s="1642"/>
      <c r="C422" s="1642"/>
      <c r="D422" s="1642"/>
      <c r="E422" s="1642"/>
      <c r="F422" s="1642"/>
      <c r="G422" s="1642"/>
      <c r="H422" s="1642"/>
      <c r="I422" s="1642"/>
      <c r="J422" s="1642"/>
      <c r="K422" s="1642"/>
      <c r="L422" s="1642"/>
      <c r="M422" s="1642"/>
      <c r="N422" s="1642"/>
      <c r="O422" s="1642"/>
      <c r="P422" s="1642"/>
      <c r="Q422" s="1642"/>
      <c r="AE422" s="807"/>
      <c r="AF422" s="807"/>
    </row>
    <row r="423" spans="1:32" s="199" customFormat="1" ht="12" customHeight="1">
      <c r="A423" s="1642"/>
      <c r="B423" s="1642"/>
      <c r="C423" s="1642"/>
      <c r="D423" s="1642"/>
      <c r="E423" s="1642"/>
      <c r="F423" s="1642"/>
      <c r="G423" s="1642"/>
      <c r="H423" s="1642"/>
      <c r="I423" s="1642"/>
      <c r="J423" s="1642"/>
      <c r="K423" s="1642"/>
      <c r="L423" s="1642"/>
      <c r="M423" s="1642"/>
      <c r="N423" s="1642"/>
      <c r="O423" s="1642"/>
      <c r="P423" s="1642"/>
      <c r="Q423" s="1642"/>
      <c r="AE423" s="807"/>
      <c r="AF423" s="807"/>
    </row>
    <row r="424" spans="1:32" s="199" customFormat="1" ht="12" customHeight="1">
      <c r="A424" s="1642"/>
      <c r="B424" s="1642"/>
      <c r="C424" s="1642"/>
      <c r="D424" s="1642"/>
      <c r="E424" s="1642"/>
      <c r="F424" s="1642"/>
      <c r="G424" s="1642"/>
      <c r="H424" s="1642"/>
      <c r="I424" s="1642"/>
      <c r="J424" s="1642"/>
      <c r="K424" s="1642"/>
      <c r="L424" s="1642"/>
      <c r="M424" s="1642"/>
      <c r="N424" s="1642"/>
      <c r="O424" s="1642"/>
      <c r="P424" s="1642"/>
      <c r="Q424" s="1642"/>
      <c r="AE424" s="807"/>
      <c r="AF424" s="807"/>
    </row>
    <row r="425" spans="1:32" s="199" customFormat="1" ht="12" customHeight="1">
      <c r="A425" s="1642"/>
      <c r="B425" s="1642"/>
      <c r="C425" s="1642"/>
      <c r="D425" s="1642"/>
      <c r="E425" s="1642"/>
      <c r="F425" s="1642"/>
      <c r="G425" s="1642"/>
      <c r="H425" s="1642"/>
      <c r="I425" s="1642"/>
      <c r="J425" s="1642"/>
      <c r="K425" s="1642"/>
      <c r="L425" s="1642"/>
      <c r="M425" s="1642"/>
      <c r="N425" s="1642"/>
      <c r="O425" s="1642"/>
      <c r="P425" s="1642"/>
      <c r="Q425" s="1642"/>
      <c r="AE425" s="807"/>
      <c r="AF425" s="807"/>
    </row>
    <row r="426" spans="1:32" s="199" customFormat="1" ht="12" customHeight="1">
      <c r="A426" s="1642"/>
      <c r="B426" s="1642"/>
      <c r="C426" s="1642"/>
      <c r="D426" s="1642"/>
      <c r="E426" s="1642"/>
      <c r="F426" s="1642"/>
      <c r="G426" s="1642"/>
      <c r="H426" s="1642"/>
      <c r="I426" s="1642"/>
      <c r="J426" s="1642"/>
      <c r="K426" s="1642"/>
      <c r="L426" s="1642"/>
      <c r="M426" s="1642"/>
      <c r="N426" s="1642"/>
      <c r="O426" s="1642"/>
      <c r="P426" s="1642"/>
      <c r="Q426" s="1642"/>
      <c r="AE426" s="807"/>
      <c r="AF426" s="807"/>
    </row>
    <row r="427" spans="1:32" s="199" customFormat="1" ht="12" customHeight="1">
      <c r="A427" s="1642"/>
      <c r="B427" s="1642"/>
      <c r="C427" s="1642"/>
      <c r="D427" s="1642"/>
      <c r="E427" s="1642"/>
      <c r="F427" s="1642"/>
      <c r="G427" s="1642"/>
      <c r="H427" s="1642"/>
      <c r="I427" s="1642"/>
      <c r="J427" s="1642"/>
      <c r="K427" s="1642"/>
      <c r="L427" s="1642"/>
      <c r="M427" s="1642"/>
      <c r="N427" s="1642"/>
      <c r="O427" s="1642"/>
      <c r="P427" s="1642"/>
      <c r="Q427" s="1642"/>
      <c r="AE427" s="807"/>
      <c r="AF427" s="807"/>
    </row>
    <row r="428" spans="1:32" s="199" customFormat="1" ht="12" customHeight="1">
      <c r="A428" s="1642"/>
      <c r="B428" s="1642"/>
      <c r="C428" s="1642"/>
      <c r="D428" s="1642"/>
      <c r="E428" s="1642"/>
      <c r="F428" s="1642"/>
      <c r="G428" s="1642"/>
      <c r="H428" s="1642"/>
      <c r="I428" s="1642"/>
      <c r="J428" s="1642"/>
      <c r="K428" s="1642"/>
      <c r="L428" s="1642"/>
      <c r="M428" s="1642"/>
      <c r="N428" s="1642"/>
      <c r="O428" s="1642"/>
      <c r="P428" s="1642"/>
      <c r="Q428" s="1642"/>
      <c r="AE428" s="807"/>
      <c r="AF428" s="807"/>
    </row>
    <row r="429" spans="1:32" s="199" customFormat="1" ht="12" customHeight="1">
      <c r="A429" s="1642"/>
      <c r="B429" s="1642"/>
      <c r="C429" s="1642"/>
      <c r="D429" s="1642"/>
      <c r="E429" s="1642"/>
      <c r="F429" s="1642"/>
      <c r="G429" s="1642"/>
      <c r="H429" s="1642"/>
      <c r="I429" s="1642"/>
      <c r="J429" s="1642"/>
      <c r="K429" s="1642"/>
      <c r="L429" s="1642"/>
      <c r="M429" s="1642"/>
      <c r="N429" s="1642"/>
      <c r="O429" s="1642"/>
      <c r="P429" s="1642"/>
      <c r="Q429" s="1642"/>
      <c r="AE429" s="807"/>
      <c r="AF429" s="807"/>
    </row>
    <row r="430" spans="1:32" s="199" customFormat="1" ht="12" customHeight="1">
      <c r="A430" s="1642"/>
      <c r="B430" s="1642"/>
      <c r="C430" s="1642"/>
      <c r="D430" s="1642"/>
      <c r="E430" s="1642"/>
      <c r="F430" s="1642"/>
      <c r="G430" s="1642"/>
      <c r="H430" s="1642"/>
      <c r="I430" s="1642"/>
      <c r="J430" s="1642"/>
      <c r="K430" s="1642"/>
      <c r="L430" s="1642"/>
      <c r="M430" s="1642"/>
      <c r="N430" s="1642"/>
      <c r="O430" s="1642"/>
      <c r="P430" s="1642"/>
      <c r="Q430" s="1642"/>
      <c r="AE430" s="807"/>
      <c r="AF430" s="807"/>
    </row>
    <row r="431" spans="1:32" s="199" customFormat="1" ht="12" customHeight="1">
      <c r="A431" s="1642"/>
      <c r="B431" s="1642"/>
      <c r="C431" s="1642"/>
      <c r="D431" s="1642"/>
      <c r="E431" s="1642"/>
      <c r="F431" s="1642"/>
      <c r="G431" s="1642"/>
      <c r="H431" s="1642"/>
      <c r="I431" s="1642"/>
      <c r="J431" s="1642"/>
      <c r="K431" s="1642"/>
      <c r="L431" s="1642"/>
      <c r="M431" s="1642"/>
      <c r="N431" s="1642"/>
      <c r="O431" s="1642"/>
      <c r="P431" s="1642"/>
      <c r="Q431" s="1642"/>
      <c r="AE431" s="807"/>
      <c r="AF431" s="807"/>
    </row>
    <row r="432" spans="1:32" s="199" customFormat="1" ht="12" customHeight="1">
      <c r="A432" s="1642"/>
      <c r="B432" s="1642"/>
      <c r="C432" s="1642"/>
      <c r="D432" s="1642"/>
      <c r="E432" s="1642"/>
      <c r="F432" s="1642"/>
      <c r="G432" s="1642"/>
      <c r="H432" s="1642"/>
      <c r="I432" s="1642"/>
      <c r="J432" s="1642"/>
      <c r="K432" s="1642"/>
      <c r="L432" s="1642"/>
      <c r="M432" s="1642"/>
      <c r="N432" s="1642"/>
      <c r="O432" s="1642"/>
      <c r="P432" s="1642"/>
      <c r="Q432" s="1642"/>
      <c r="AE432" s="807"/>
      <c r="AF432" s="807"/>
    </row>
    <row r="433" spans="1:32" s="199" customFormat="1" ht="12" customHeight="1">
      <c r="A433" s="1642"/>
      <c r="B433" s="1642"/>
      <c r="C433" s="1642"/>
      <c r="D433" s="1642"/>
      <c r="E433" s="1642"/>
      <c r="F433" s="1642"/>
      <c r="G433" s="1642"/>
      <c r="H433" s="1642"/>
      <c r="I433" s="1642"/>
      <c r="J433" s="1642"/>
      <c r="K433" s="1642"/>
      <c r="L433" s="1642"/>
      <c r="M433" s="1642"/>
      <c r="N433" s="1642"/>
      <c r="O433" s="1642"/>
      <c r="P433" s="1642"/>
      <c r="Q433" s="1642"/>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3567</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3194</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3567</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3510</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3513</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3511</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3838</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3839</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3840</v>
      </c>
      <c r="D498" s="746"/>
      <c r="E498" s="746"/>
      <c r="F498" s="746"/>
      <c r="G498" s="746"/>
      <c r="H498" s="746"/>
      <c r="I498" s="746"/>
      <c r="J498" s="746"/>
      <c r="K498" s="746" t="s">
        <v>1596</v>
      </c>
      <c r="L498" s="48"/>
      <c r="AE498" s="665"/>
      <c r="AF498" s="665"/>
    </row>
    <row r="499" spans="3:32" s="65" customFormat="1" ht="11.25">
      <c r="C499" s="754" t="s">
        <v>3841</v>
      </c>
      <c r="D499" s="746"/>
      <c r="E499" s="746"/>
      <c r="F499" s="746"/>
      <c r="G499" s="746"/>
      <c r="H499" s="746"/>
      <c r="I499" s="746"/>
      <c r="J499" s="746"/>
      <c r="K499" s="746" t="s">
        <v>3785</v>
      </c>
      <c r="AE499" s="665"/>
      <c r="AF499" s="665"/>
    </row>
    <row r="500" spans="3:32" s="65" customFormat="1" ht="11.25">
      <c r="C500" s="751" t="s">
        <v>1742</v>
      </c>
      <c r="D500" s="746"/>
      <c r="E500" s="746"/>
      <c r="F500" s="746"/>
      <c r="G500" s="746"/>
      <c r="H500" s="746"/>
      <c r="I500" s="746"/>
      <c r="J500" s="746"/>
      <c r="K500" s="746" t="s">
        <v>3786</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3151</v>
      </c>
      <c r="AE502" s="665"/>
      <c r="AF502" s="665"/>
    </row>
    <row r="503" spans="3:32" s="65" customFormat="1" ht="11.25">
      <c r="C503" s="746" t="s">
        <v>1597</v>
      </c>
      <c r="D503" s="746"/>
      <c r="E503" s="746"/>
      <c r="F503" s="746"/>
      <c r="G503" s="746"/>
      <c r="H503" s="746"/>
      <c r="I503" s="746"/>
      <c r="J503" s="746"/>
      <c r="K503" s="746" t="s">
        <v>3246</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3787</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3335</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3567</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3510</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3512</v>
      </c>
      <c r="AE521" s="665"/>
      <c r="AF521" s="665"/>
    </row>
    <row r="522" spans="3:32" s="65" customFormat="1" ht="11.25">
      <c r="C522" s="746" t="s">
        <v>3088</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3513</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2012-028 Veranda at Groveway, Roswell, Fulton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3120</v>
      </c>
      <c r="N3" s="90"/>
      <c r="O3" s="111" t="s">
        <v>3119</v>
      </c>
      <c r="P3" s="245" t="s">
        <v>313</v>
      </c>
    </row>
    <row r="4" spans="1:19" s="52" customFormat="1" ht="12.6" customHeight="1">
      <c r="A4" s="50"/>
      <c r="B4" s="50"/>
      <c r="C4" s="50"/>
      <c r="D4" s="50"/>
      <c r="E4" s="50"/>
      <c r="F4" s="50"/>
      <c r="G4" s="50"/>
      <c r="H4" s="50"/>
      <c r="I4" s="50"/>
      <c r="J4" s="50"/>
      <c r="K4" s="50"/>
      <c r="M4" s="247" t="s">
        <v>99</v>
      </c>
      <c r="N4" s="113"/>
      <c r="O4" s="246" t="s">
        <v>3120</v>
      </c>
      <c r="P4" s="112" t="s">
        <v>3120</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53</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3618</v>
      </c>
      <c r="G10" s="38">
        <f>F16</f>
        <v>0</v>
      </c>
      <c r="H10" s="244" t="s">
        <v>301</v>
      </c>
      <c r="M10" s="7">
        <v>7</v>
      </c>
      <c r="N10" s="78" t="s">
        <v>2862</v>
      </c>
      <c r="O10" s="1643"/>
      <c r="P10" s="66"/>
    </row>
    <row r="11" spans="1:19" s="50" customFormat="1" ht="11.25" customHeight="1">
      <c r="A11" s="255" t="s">
        <v>2865</v>
      </c>
      <c r="B11" s="236" t="s">
        <v>1122</v>
      </c>
      <c r="D11" s="56"/>
      <c r="E11" s="56"/>
      <c r="F11" s="823" t="s">
        <v>3618</v>
      </c>
      <c r="G11" s="38">
        <f>K16</f>
        <v>0</v>
      </c>
      <c r="H11" s="244" t="s">
        <v>302</v>
      </c>
      <c r="J11" s="57"/>
      <c r="M11" s="7">
        <v>0</v>
      </c>
      <c r="N11" s="78" t="s">
        <v>2865</v>
      </c>
      <c r="O11" s="1643"/>
      <c r="P11" s="66"/>
      <c r="Q11" s="148"/>
    </row>
    <row r="12" spans="1:19" s="51" customFormat="1" ht="11.25" customHeight="1">
      <c r="A12" s="255" t="s">
        <v>1145</v>
      </c>
      <c r="B12" s="236" t="s">
        <v>3002</v>
      </c>
      <c r="D12" s="56"/>
      <c r="E12" s="56"/>
      <c r="F12" s="823" t="s">
        <v>3618</v>
      </c>
      <c r="G12" s="38">
        <f>P16</f>
        <v>0</v>
      </c>
      <c r="H12" s="244" t="s">
        <v>303</v>
      </c>
      <c r="J12" s="57"/>
      <c r="M12" s="7">
        <v>1</v>
      </c>
      <c r="N12" s="78" t="s">
        <v>1145</v>
      </c>
      <c r="O12" s="1643"/>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83"/>
      <c r="B14" s="1584"/>
      <c r="C14" s="1584"/>
      <c r="D14" s="1584"/>
      <c r="E14" s="1584"/>
      <c r="F14" s="1584"/>
      <c r="G14" s="1584"/>
      <c r="H14" s="1584"/>
      <c r="I14" s="1584"/>
      <c r="J14" s="1584"/>
      <c r="K14" s="1584"/>
      <c r="L14" s="1584"/>
      <c r="M14" s="1584"/>
      <c r="N14" s="1584"/>
      <c r="O14" s="1584"/>
      <c r="P14" s="1585"/>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3379</v>
      </c>
      <c r="B16" s="1197"/>
      <c r="C16" s="1197"/>
      <c r="D16" s="1197"/>
      <c r="E16" s="79" t="s">
        <v>739</v>
      </c>
      <c r="F16" s="93">
        <f>SUM(F17:F28)</f>
        <v>0</v>
      </c>
      <c r="G16" s="1198" t="s">
        <v>3380</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3700</v>
      </c>
      <c r="E31" s="689"/>
      <c r="H31" s="660" t="s">
        <v>3855</v>
      </c>
      <c r="I31" s="1644">
        <v>15</v>
      </c>
      <c r="K31" s="660" t="s">
        <v>3857</v>
      </c>
      <c r="L31" s="691">
        <f>IF(OR('Part VI-Revenues &amp; Expenses'!$M$60="", 'Part VI-Revenues &amp; Expenses'!$M$60=0),0,I31/'Part VI-Revenues &amp; Expenses'!$M$60)</f>
        <v>0.15</v>
      </c>
      <c r="M31" s="1">
        <v>3</v>
      </c>
      <c r="N31" s="690"/>
      <c r="O31" s="1205" t="s">
        <v>3926</v>
      </c>
      <c r="P31" s="735">
        <v>0.15</v>
      </c>
    </row>
    <row r="32" spans="1:19" s="688" customFormat="1" ht="11.25" customHeight="1">
      <c r="A32" s="687" t="s">
        <v>2865</v>
      </c>
      <c r="B32" s="155" t="s">
        <v>3701</v>
      </c>
      <c r="E32" s="689"/>
      <c r="H32" s="660" t="s">
        <v>3702</v>
      </c>
      <c r="I32" s="1644"/>
      <c r="K32" s="660" t="s">
        <v>3857</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45" customHeight="1">
      <c r="A34" s="1583" t="s">
        <v>4082</v>
      </c>
      <c r="B34" s="1584"/>
      <c r="C34" s="1584"/>
      <c r="D34" s="1584"/>
      <c r="E34" s="1584"/>
      <c r="F34" s="1584"/>
      <c r="G34" s="1584"/>
      <c r="H34" s="1584"/>
      <c r="I34" s="1584"/>
      <c r="J34" s="1584"/>
      <c r="K34" s="1584"/>
      <c r="L34" s="1584"/>
      <c r="M34" s="1584"/>
      <c r="N34" s="1584"/>
      <c r="O34" s="1584"/>
      <c r="P34" s="1585"/>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3547</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45">
        <v>12</v>
      </c>
      <c r="P40" s="85"/>
      <c r="R40" s="558"/>
    </row>
    <row r="41" spans="1:18" s="51" customFormat="1" ht="12.6" customHeight="1">
      <c r="A41" s="189" t="s">
        <v>2865</v>
      </c>
      <c r="B41" s="236" t="s">
        <v>2748</v>
      </c>
      <c r="D41" s="49"/>
      <c r="E41" s="244" t="s">
        <v>588</v>
      </c>
      <c r="F41" s="585"/>
      <c r="G41" s="585"/>
      <c r="H41" s="585"/>
      <c r="M41" s="180" t="s">
        <v>1777</v>
      </c>
      <c r="N41" s="803" t="s">
        <v>2865</v>
      </c>
      <c r="O41" s="1643"/>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83" t="s">
        <v>4112</v>
      </c>
      <c r="B44" s="1584"/>
      <c r="C44" s="1584"/>
      <c r="D44" s="1584"/>
      <c r="E44" s="1584"/>
      <c r="F44" s="1584"/>
      <c r="G44" s="1584"/>
      <c r="H44" s="1584"/>
      <c r="I44" s="1584"/>
      <c r="J44" s="1584"/>
      <c r="K44" s="1584"/>
      <c r="L44" s="1584"/>
      <c r="M44" s="1584"/>
      <c r="N44" s="1584"/>
      <c r="O44" s="1584"/>
      <c r="P44" s="1585"/>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3755</v>
      </c>
      <c r="D49" s="49"/>
      <c r="H49" s="53" t="s">
        <v>3858</v>
      </c>
      <c r="I49" s="57" t="s">
        <v>2755</v>
      </c>
      <c r="J49" s="56"/>
      <c r="K49" s="56"/>
      <c r="M49" s="3">
        <v>3</v>
      </c>
      <c r="N49" s="803"/>
      <c r="O49" s="204">
        <f>MIN($M49,(O50+O51+O52))</f>
        <v>1</v>
      </c>
      <c r="P49" s="204">
        <f>MIN($M49,(P50+P51+P52))</f>
        <v>0</v>
      </c>
      <c r="Q49" s="148" t="s">
        <v>612</v>
      </c>
    </row>
    <row r="50" spans="1:18" s="51" customFormat="1" ht="12" customHeight="1">
      <c r="A50" s="189" t="s">
        <v>2862</v>
      </c>
      <c r="B50" s="236" t="s">
        <v>3715</v>
      </c>
      <c r="C50" s="5"/>
      <c r="D50" s="5"/>
      <c r="E50" s="44"/>
      <c r="F50" s="5"/>
      <c r="G50" s="47"/>
      <c r="I50" s="47"/>
      <c r="K50" s="56"/>
      <c r="L50" s="558" t="str">
        <f>IF(OR($O50=$M50,$O50=0,$O50=""),"","* * Check Score! * *")</f>
        <v/>
      </c>
      <c r="M50" s="3">
        <v>3</v>
      </c>
      <c r="N50" s="250" t="s">
        <v>2862</v>
      </c>
      <c r="O50" s="1645"/>
      <c r="P50" s="85"/>
      <c r="R50" s="558"/>
    </row>
    <row r="51" spans="1:18" s="51" customFormat="1" ht="12.6" customHeight="1">
      <c r="A51" s="189" t="s">
        <v>2865</v>
      </c>
      <c r="B51" s="236" t="s">
        <v>3716</v>
      </c>
      <c r="E51" s="49"/>
      <c r="K51" s="56"/>
      <c r="L51" s="558" t="str">
        <f>IF(OR($O51=$M51,$O51=0,$O51=""),"","* * Check Score! * *")</f>
        <v/>
      </c>
      <c r="M51" s="3">
        <v>2</v>
      </c>
      <c r="N51" s="803" t="s">
        <v>2865</v>
      </c>
      <c r="O51" s="1645"/>
      <c r="P51" s="85"/>
      <c r="R51" s="558"/>
    </row>
    <row r="52" spans="1:18" s="51" customFormat="1" ht="12.6" customHeight="1">
      <c r="A52" s="189" t="s">
        <v>1145</v>
      </c>
      <c r="B52" s="236" t="s">
        <v>3758</v>
      </c>
      <c r="E52" s="49"/>
      <c r="K52" s="56"/>
      <c r="L52" s="558" t="str">
        <f>IF(OR($O52=$M52,$O52=0,$O52=""),"","* * Check Score! * *")</f>
        <v/>
      </c>
      <c r="M52" s="3">
        <v>1</v>
      </c>
      <c r="N52" s="250" t="s">
        <v>1145</v>
      </c>
      <c r="O52" s="1645">
        <v>1</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3" t="s">
        <v>4083</v>
      </c>
      <c r="B54" s="1584"/>
      <c r="C54" s="1584"/>
      <c r="D54" s="1584"/>
      <c r="E54" s="1584"/>
      <c r="F54" s="1584"/>
      <c r="G54" s="1584"/>
      <c r="H54" s="1584"/>
      <c r="I54" s="1584"/>
      <c r="J54" s="1584"/>
      <c r="K54" s="1584"/>
      <c r="L54" s="1584"/>
      <c r="M54" s="1584"/>
      <c r="N54" s="1584"/>
      <c r="O54" s="1584"/>
      <c r="P54" s="1585"/>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3756</v>
      </c>
      <c r="D58" s="49"/>
      <c r="E58" s="586" t="s">
        <v>3438</v>
      </c>
      <c r="I58" s="57" t="s">
        <v>2755</v>
      </c>
      <c r="M58" s="3">
        <v>1</v>
      </c>
      <c r="N58" s="601" t="str">
        <f>IF(OR($O58=$M58,$O58=0,$O58=""),"","***")</f>
        <v/>
      </c>
      <c r="O58" s="1645"/>
      <c r="P58" s="85"/>
      <c r="Q58" s="148" t="s">
        <v>612</v>
      </c>
    </row>
    <row r="59" spans="1:18" s="51" customFormat="1" ht="12.6" customHeight="1">
      <c r="A59" s="209"/>
      <c r="B59" s="586" t="s">
        <v>1120</v>
      </c>
      <c r="D59" s="49"/>
      <c r="H59" s="57"/>
      <c r="I59" s="57"/>
      <c r="J59" s="57"/>
      <c r="K59" s="57"/>
      <c r="L59" s="57"/>
      <c r="M59" s="3"/>
      <c r="N59" s="601"/>
      <c r="O59" s="1579"/>
      <c r="P59" s="232"/>
      <c r="Q59" s="148"/>
    </row>
    <row r="60" spans="1:18" s="51" customFormat="1" ht="12.6" customHeight="1">
      <c r="A60" s="209"/>
      <c r="B60" s="586" t="s">
        <v>1119</v>
      </c>
      <c r="D60" s="49"/>
      <c r="H60" s="57"/>
      <c r="I60" s="1646"/>
      <c r="J60" s="1647"/>
      <c r="K60" s="1647"/>
      <c r="L60" s="1648"/>
      <c r="M60" s="3"/>
      <c r="N60" s="601"/>
      <c r="O60" s="601"/>
      <c r="P60" s="601"/>
      <c r="Q60" s="148"/>
    </row>
    <row r="61" spans="1:18" s="51" customFormat="1" ht="12.6" customHeight="1">
      <c r="A61" s="209"/>
      <c r="B61" s="586" t="s">
        <v>1121</v>
      </c>
      <c r="D61" s="49"/>
      <c r="H61" s="57"/>
      <c r="I61" s="57"/>
      <c r="J61" s="57"/>
      <c r="K61" s="57"/>
      <c r="L61" s="57"/>
      <c r="M61" s="3"/>
      <c r="N61" s="601"/>
      <c r="O61" s="1579"/>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3"/>
      <c r="B63" s="1584"/>
      <c r="C63" s="1584"/>
      <c r="D63" s="1584"/>
      <c r="E63" s="1584"/>
      <c r="F63" s="1584"/>
      <c r="G63" s="1584"/>
      <c r="H63" s="1584"/>
      <c r="I63" s="1584"/>
      <c r="J63" s="1584"/>
      <c r="K63" s="1584"/>
      <c r="L63" s="1584"/>
      <c r="M63" s="1584"/>
      <c r="N63" s="1584"/>
      <c r="O63" s="1584"/>
      <c r="P63" s="1585"/>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3757</v>
      </c>
      <c r="D67" s="49"/>
      <c r="E67" s="44" t="s">
        <v>1954</v>
      </c>
      <c r="I67" s="57" t="s">
        <v>2755</v>
      </c>
      <c r="M67" s="3">
        <v>2</v>
      </c>
      <c r="N67" s="601" t="str">
        <f>IF(OR($O67=$M67,$O67=0,$O67=""),"","***")</f>
        <v/>
      </c>
      <c r="O67" s="1645"/>
      <c r="P67" s="85"/>
      <c r="Q67" s="148" t="s">
        <v>612</v>
      </c>
    </row>
    <row r="68" spans="1:18" s="51" customFormat="1" ht="12.6" customHeight="1">
      <c r="A68" s="209"/>
      <c r="B68" s="586" t="s">
        <v>3703</v>
      </c>
      <c r="D68" s="49"/>
      <c r="E68" s="44"/>
      <c r="I68" s="1646"/>
      <c r="J68" s="1647"/>
      <c r="K68" s="1647"/>
      <c r="L68" s="1648"/>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3"/>
      <c r="B70" s="1584"/>
      <c r="C70" s="1584"/>
      <c r="D70" s="1584"/>
      <c r="E70" s="1584"/>
      <c r="F70" s="1584"/>
      <c r="G70" s="1584"/>
      <c r="H70" s="1584"/>
      <c r="I70" s="1584"/>
      <c r="J70" s="1584"/>
      <c r="K70" s="1584"/>
      <c r="L70" s="1584"/>
      <c r="M70" s="1584"/>
      <c r="N70" s="1584"/>
      <c r="O70" s="1584"/>
      <c r="P70" s="1585"/>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3842</v>
      </c>
      <c r="J74" s="1649" t="s">
        <v>4017</v>
      </c>
      <c r="K74" s="1650"/>
      <c r="L74" s="1651"/>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3247</v>
      </c>
      <c r="D75" s="40"/>
      <c r="H75" s="73"/>
      <c r="I75" s="40"/>
      <c r="J75" s="40"/>
      <c r="M75" s="157">
        <v>3</v>
      </c>
      <c r="N75" s="31"/>
      <c r="O75" s="162" t="s">
        <v>3520</v>
      </c>
      <c r="P75" s="162" t="s">
        <v>3520</v>
      </c>
    </row>
    <row r="76" spans="1:18" s="51" customFormat="1" ht="12.6" customHeight="1">
      <c r="A76" s="209"/>
      <c r="B76" s="693" t="s">
        <v>3943</v>
      </c>
      <c r="D76" s="49"/>
      <c r="M76" s="3"/>
      <c r="N76" s="250" t="s">
        <v>2862</v>
      </c>
      <c r="O76" s="1579"/>
      <c r="P76" s="232"/>
      <c r="Q76" s="148"/>
    </row>
    <row r="77" spans="1:18" ht="11.45" customHeight="1">
      <c r="A77" s="550" t="str">
        <f>IF($I$90="Stable Communities &lt; 10%", "X","")</f>
        <v/>
      </c>
      <c r="B77" s="551" t="s">
        <v>2866</v>
      </c>
      <c r="C77" s="568" t="s">
        <v>3704</v>
      </c>
      <c r="E77" s="160"/>
      <c r="N77" s="31"/>
      <c r="O77" s="31"/>
      <c r="P77" s="31"/>
    </row>
    <row r="78" spans="1:18" ht="23.25" customHeight="1">
      <c r="B78" s="575" t="s">
        <v>3417</v>
      </c>
      <c r="C78" s="1207" t="s">
        <v>3706</v>
      </c>
      <c r="D78" s="1207"/>
      <c r="E78" s="1207"/>
      <c r="F78" s="1207"/>
      <c r="G78" s="1207"/>
      <c r="H78" s="1207"/>
      <c r="I78" s="1207"/>
      <c r="J78" s="1207"/>
      <c r="K78" s="1207"/>
      <c r="L78" s="1207"/>
      <c r="M78" s="572" t="str">
        <f>IF(AND($I$90="Stable Communities &lt; 10%",O78=""), "X","")</f>
        <v/>
      </c>
      <c r="N78" s="574" t="s">
        <v>3710</v>
      </c>
      <c r="O78" s="1652"/>
      <c r="P78" s="355"/>
    </row>
    <row r="79" spans="1:18" ht="23.25" customHeight="1">
      <c r="B79" s="575" t="s">
        <v>3418</v>
      </c>
      <c r="C79" s="1125" t="s">
        <v>3708</v>
      </c>
      <c r="D79" s="1125"/>
      <c r="E79" s="1125"/>
      <c r="F79" s="1125"/>
      <c r="G79" s="1125"/>
      <c r="H79" s="1125"/>
      <c r="I79" s="1125"/>
      <c r="J79" s="1125"/>
      <c r="K79" s="1125"/>
      <c r="L79" s="1125"/>
      <c r="M79" s="572" t="str">
        <f>IF(AND($I$90="Stable Communities &lt; 10%",O79=""), "X","")</f>
        <v/>
      </c>
      <c r="N79" s="574" t="s">
        <v>3711</v>
      </c>
      <c r="O79" s="1653"/>
      <c r="P79" s="356"/>
    </row>
    <row r="80" spans="1:18" ht="11.45" customHeight="1">
      <c r="A80" s="550" t="str">
        <f>IF($I$90="Stable Communities &lt; 20%", "X","")</f>
        <v>X</v>
      </c>
      <c r="B80" s="551" t="s">
        <v>2868</v>
      </c>
      <c r="C80" s="568" t="s">
        <v>3705</v>
      </c>
      <c r="E80" s="160"/>
      <c r="M80" s="573"/>
      <c r="N80" s="31"/>
      <c r="O80" s="162" t="s">
        <v>3520</v>
      </c>
      <c r="P80" s="162" t="s">
        <v>3520</v>
      </c>
    </row>
    <row r="81" spans="1:18" ht="23.25" customHeight="1">
      <c r="B81" s="575" t="s">
        <v>3417</v>
      </c>
      <c r="C81" s="1207" t="s">
        <v>3707</v>
      </c>
      <c r="D81" s="1207"/>
      <c r="E81" s="1207"/>
      <c r="F81" s="1207"/>
      <c r="G81" s="1207"/>
      <c r="H81" s="1207"/>
      <c r="I81" s="1207"/>
      <c r="J81" s="1207"/>
      <c r="K81" s="1207"/>
      <c r="L81" s="1207"/>
      <c r="M81" s="572" t="str">
        <f>IF(AND($I$90="Stable Communities &lt; 10%",O81=""), "X","")</f>
        <v/>
      </c>
      <c r="N81" s="692" t="s">
        <v>3712</v>
      </c>
      <c r="O81" s="1652"/>
      <c r="P81" s="355"/>
    </row>
    <row r="82" spans="1:18">
      <c r="B82" s="575" t="s">
        <v>3418</v>
      </c>
      <c r="C82" s="1125" t="s">
        <v>3709</v>
      </c>
      <c r="D82" s="1125"/>
      <c r="E82" s="1125"/>
      <c r="F82" s="1125"/>
      <c r="G82" s="1125"/>
      <c r="H82" s="1125"/>
      <c r="I82" s="1125"/>
      <c r="J82" s="1125"/>
      <c r="K82" s="1125"/>
      <c r="L82" s="1125"/>
      <c r="M82" s="572" t="str">
        <f>IF(AND($I$90="Stable Communities &lt; 10%",O82=""), "X","")</f>
        <v/>
      </c>
      <c r="N82" s="692" t="s">
        <v>3713</v>
      </c>
      <c r="O82" s="1653"/>
      <c r="P82" s="356"/>
    </row>
    <row r="83" spans="1:18" ht="11.45" customHeight="1">
      <c r="A83" s="189" t="s">
        <v>2865</v>
      </c>
      <c r="B83" s="254" t="s">
        <v>379</v>
      </c>
      <c r="D83" s="40"/>
      <c r="E83" s="40"/>
      <c r="F83" s="40"/>
      <c r="M83" s="67">
        <v>2</v>
      </c>
      <c r="N83" s="31"/>
      <c r="O83" s="162" t="s">
        <v>3520</v>
      </c>
      <c r="P83" s="162" t="s">
        <v>3520</v>
      </c>
    </row>
    <row r="84" spans="1:18" s="51" customFormat="1" ht="12.6" customHeight="1">
      <c r="A84" s="209"/>
      <c r="B84" s="693" t="s">
        <v>3714</v>
      </c>
      <c r="D84" s="49"/>
      <c r="M84" s="3"/>
      <c r="N84" s="803" t="s">
        <v>2865</v>
      </c>
      <c r="O84" s="1579" t="s">
        <v>3974</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54" t="s">
        <v>4084</v>
      </c>
      <c r="B86" s="1655"/>
      <c r="C86" s="1655"/>
      <c r="D86" s="1655"/>
      <c r="E86" s="1655"/>
      <c r="F86" s="1655"/>
      <c r="G86" s="1655"/>
      <c r="H86" s="1655"/>
      <c r="I86" s="1655"/>
      <c r="J86" s="1655"/>
      <c r="K86" s="1655"/>
      <c r="L86" s="1655"/>
      <c r="M86" s="1655"/>
      <c r="N86" s="1655"/>
      <c r="O86" s="1655"/>
      <c r="P86" s="1656"/>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3381</v>
      </c>
      <c r="C90" s="123"/>
      <c r="D90" s="71"/>
      <c r="E90" s="71"/>
      <c r="I90" s="1288" t="s">
        <v>4018</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3519</v>
      </c>
      <c r="D92" s="40"/>
      <c r="H92" s="73"/>
      <c r="I92" s="40"/>
      <c r="J92" s="40"/>
      <c r="M92" s="157"/>
      <c r="N92" s="31"/>
      <c r="O92" s="31"/>
      <c r="P92" s="31"/>
    </row>
    <row r="93" spans="1:18" ht="11.45" customHeight="1">
      <c r="A93" s="550" t="str">
        <f>IF($I$90="Stable Communities &lt; 10%", "X","")</f>
        <v/>
      </c>
      <c r="B93" s="551" t="s">
        <v>2866</v>
      </c>
      <c r="C93" s="721" t="s">
        <v>3894</v>
      </c>
      <c r="E93" s="160"/>
      <c r="M93" s="108">
        <v>4</v>
      </c>
      <c r="N93" s="31"/>
      <c r="O93" s="162" t="s">
        <v>3520</v>
      </c>
      <c r="P93" s="162" t="s">
        <v>3520</v>
      </c>
    </row>
    <row r="94" spans="1:18" ht="11.45" customHeight="1">
      <c r="B94" s="231" t="s">
        <v>3417</v>
      </c>
      <c r="C94" s="721" t="s">
        <v>3363</v>
      </c>
      <c r="E94" s="160"/>
      <c r="G94" s="132" t="s">
        <v>3364</v>
      </c>
      <c r="M94" s="694" t="str">
        <f>IF(AND($I$90="Stable Communities &lt; 10%",O94=""), "X","")</f>
        <v/>
      </c>
      <c r="N94" s="231" t="s">
        <v>3417</v>
      </c>
      <c r="O94" s="1652"/>
      <c r="P94" s="355"/>
    </row>
    <row r="95" spans="1:18" ht="11.45" customHeight="1">
      <c r="B95" s="231" t="s">
        <v>3418</v>
      </c>
      <c r="C95" s="665" t="s">
        <v>3365</v>
      </c>
      <c r="E95" s="160"/>
      <c r="G95" s="132" t="s">
        <v>3366</v>
      </c>
      <c r="M95" s="694" t="str">
        <f>IF(AND($I$90="Stable Communities &lt; 10%",O95=""), "X","")</f>
        <v/>
      </c>
      <c r="N95" s="231" t="s">
        <v>3418</v>
      </c>
      <c r="O95" s="1657"/>
      <c r="P95" s="541"/>
    </row>
    <row r="96" spans="1:18" ht="11.45" customHeight="1">
      <c r="B96" s="231" t="s">
        <v>3419</v>
      </c>
      <c r="C96" s="665" t="s">
        <v>3751</v>
      </c>
      <c r="E96" s="160"/>
      <c r="M96" s="694" t="str">
        <f>IF(AND($I$90="Stable Communities &lt; 10%",O96=""), "X","")</f>
        <v/>
      </c>
      <c r="N96" s="231" t="s">
        <v>3419</v>
      </c>
      <c r="O96" s="1653"/>
      <c r="P96" s="356"/>
    </row>
    <row r="97" spans="1:18" ht="3" customHeight="1">
      <c r="B97" s="160"/>
      <c r="C97" s="160"/>
      <c r="D97" s="160"/>
      <c r="E97" s="160"/>
      <c r="R97" s="51"/>
    </row>
    <row r="98" spans="1:18" ht="11.45" customHeight="1">
      <c r="A98" s="550" t="str">
        <f>IF($I$90="Stable Communities &lt; 20%", "X","")</f>
        <v>X</v>
      </c>
      <c r="B98" s="551" t="s">
        <v>2868</v>
      </c>
      <c r="C98" s="721" t="s">
        <v>3894</v>
      </c>
      <c r="E98" s="160"/>
      <c r="M98" s="695">
        <v>2</v>
      </c>
      <c r="N98" s="31"/>
      <c r="O98" s="162"/>
      <c r="P98" s="162"/>
    </row>
    <row r="99" spans="1:18" ht="11.45" customHeight="1">
      <c r="B99" s="231" t="s">
        <v>3417</v>
      </c>
      <c r="C99" s="721" t="s">
        <v>3439</v>
      </c>
      <c r="E99" s="160"/>
      <c r="G99" s="132" t="s">
        <v>3364</v>
      </c>
      <c r="M99" s="572" t="str">
        <f>IF(AND($I$90="Stable Communities &lt; 20%",O99=""), "X","")</f>
        <v/>
      </c>
      <c r="N99" s="231" t="s">
        <v>3417</v>
      </c>
      <c r="O99" s="1652" t="s">
        <v>3974</v>
      </c>
      <c r="P99" s="355"/>
    </row>
    <row r="100" spans="1:18" ht="11.45" customHeight="1">
      <c r="B100" s="231" t="s">
        <v>3418</v>
      </c>
      <c r="C100" s="665" t="s">
        <v>3365</v>
      </c>
      <c r="E100" s="160"/>
      <c r="G100" s="132" t="s">
        <v>3366</v>
      </c>
      <c r="M100" s="572" t="str">
        <f>IF(AND($I$90="Stable Communities &lt; 20%",O100=""), "X","")</f>
        <v/>
      </c>
      <c r="N100" s="231" t="s">
        <v>3418</v>
      </c>
      <c r="O100" s="1657" t="s">
        <v>3974</v>
      </c>
      <c r="P100" s="541"/>
    </row>
    <row r="101" spans="1:18" ht="11.45" customHeight="1">
      <c r="B101" s="231" t="s">
        <v>3419</v>
      </c>
      <c r="C101" s="665" t="s">
        <v>3751</v>
      </c>
      <c r="E101" s="160"/>
      <c r="M101" s="572" t="str">
        <f>IF(AND($I$90="Stable Communities &lt; 20%",O101=""), "X","")</f>
        <v/>
      </c>
      <c r="N101" s="231" t="s">
        <v>3419</v>
      </c>
      <c r="O101" s="1653" t="s">
        <v>3974</v>
      </c>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3440</v>
      </c>
      <c r="D104" s="134"/>
      <c r="G104" s="195"/>
      <c r="K104" s="134"/>
      <c r="L104" s="134"/>
      <c r="M104" s="664">
        <v>6</v>
      </c>
      <c r="N104" s="31"/>
      <c r="O104" s="162" t="s">
        <v>3520</v>
      </c>
      <c r="P104" s="162" t="s">
        <v>3520</v>
      </c>
    </row>
    <row r="105" spans="1:18" ht="10.9" customHeight="1">
      <c r="B105" s="552" t="s">
        <v>3417</v>
      </c>
      <c r="C105" s="553" t="s">
        <v>842</v>
      </c>
      <c r="D105" s="132"/>
      <c r="M105" s="859" t="str">
        <f>IF(AND($I$90="HOPE VI Initiative",O105=""), "X","")</f>
        <v/>
      </c>
      <c r="N105" s="231" t="s">
        <v>3417</v>
      </c>
      <c r="O105" s="1652"/>
      <c r="P105" s="355"/>
    </row>
    <row r="106" spans="1:18" ht="10.9" customHeight="1">
      <c r="B106" s="552" t="s">
        <v>3418</v>
      </c>
      <c r="C106" s="553" t="s">
        <v>843</v>
      </c>
      <c r="M106" s="859" t="str">
        <f>IF(AND($I$90="HOPE VI Initiative",O106=""), "X","")</f>
        <v/>
      </c>
      <c r="N106" s="231" t="s">
        <v>3418</v>
      </c>
      <c r="O106" s="1657"/>
      <c r="P106" s="541"/>
    </row>
    <row r="107" spans="1:18" ht="10.9" customHeight="1">
      <c r="B107" s="552" t="s">
        <v>3419</v>
      </c>
      <c r="C107" s="553" t="s">
        <v>844</v>
      </c>
      <c r="M107" s="859" t="str">
        <f>IF(AND($I$90="HOPE VI Initiative",O107=""), "X","")</f>
        <v/>
      </c>
      <c r="N107" s="231" t="s">
        <v>3419</v>
      </c>
      <c r="O107" s="1657"/>
      <c r="P107" s="541"/>
    </row>
    <row r="108" spans="1:18" ht="10.9" customHeight="1">
      <c r="B108" s="552" t="s">
        <v>3420</v>
      </c>
      <c r="C108" s="69" t="s">
        <v>845</v>
      </c>
      <c r="M108" s="859" t="str">
        <f>IF(AND($I$90="HOPE VI Initiative",O108=""), "X","")</f>
        <v/>
      </c>
      <c r="N108" s="231" t="s">
        <v>3420</v>
      </c>
      <c r="O108" s="1653"/>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3927</v>
      </c>
      <c r="M110" s="696">
        <v>2</v>
      </c>
      <c r="N110" s="551" t="s">
        <v>2868</v>
      </c>
      <c r="O110" s="1579"/>
      <c r="P110" s="232"/>
    </row>
    <row r="111" spans="1:18" ht="3" customHeight="1">
      <c r="B111" s="160"/>
      <c r="C111" s="160"/>
      <c r="D111" s="160"/>
      <c r="E111" s="160"/>
      <c r="R111" s="51"/>
    </row>
    <row r="112" spans="1:18" s="51" customFormat="1" ht="11.45" customHeight="1">
      <c r="A112" s="550" t="str">
        <f>IF($I$90="Redevelopment Zone", "X","")</f>
        <v/>
      </c>
      <c r="B112" s="551" t="s">
        <v>3547</v>
      </c>
      <c r="C112" s="154" t="s">
        <v>504</v>
      </c>
      <c r="D112" s="134"/>
      <c r="F112" s="571"/>
      <c r="G112" s="48" t="s">
        <v>1536</v>
      </c>
      <c r="H112" s="1658" t="s">
        <v>2626</v>
      </c>
      <c r="I112" s="162" t="s">
        <v>1458</v>
      </c>
      <c r="J112" s="1659"/>
      <c r="K112" s="1660"/>
      <c r="L112" s="1661"/>
      <c r="M112" s="696">
        <v>1</v>
      </c>
      <c r="N112" s="551" t="s">
        <v>3547</v>
      </c>
      <c r="O112" s="1579"/>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62"/>
      <c r="I114" s="1341"/>
      <c r="J114" s="1341"/>
      <c r="K114" s="1341"/>
      <c r="L114" s="1342"/>
      <c r="M114" s="696">
        <v>1</v>
      </c>
      <c r="N114" s="551" t="s">
        <v>1762</v>
      </c>
      <c r="O114" s="1579"/>
      <c r="P114" s="232"/>
    </row>
    <row r="115" spans="1:18" ht="11.45" customHeight="1">
      <c r="B115" s="552" t="s">
        <v>3417</v>
      </c>
      <c r="C115" s="48" t="s">
        <v>3750</v>
      </c>
      <c r="D115" s="132"/>
      <c r="G115" s="132" t="s">
        <v>848</v>
      </c>
      <c r="H115" s="1663"/>
      <c r="M115" s="571" t="str">
        <f>IF(AND($I$90="Local Redevelopment Plan",O115=""), "X","")</f>
        <v/>
      </c>
      <c r="N115" s="552" t="s">
        <v>3417</v>
      </c>
      <c r="O115" s="1652"/>
      <c r="P115" s="355"/>
    </row>
    <row r="116" spans="1:18" ht="10.9" customHeight="1">
      <c r="B116" s="552" t="s">
        <v>3418</v>
      </c>
      <c r="C116" s="553" t="s">
        <v>3443</v>
      </c>
      <c r="D116" s="132"/>
      <c r="M116" s="571"/>
      <c r="N116" s="552" t="s">
        <v>3418</v>
      </c>
      <c r="O116" s="1664"/>
      <c r="P116" s="602"/>
    </row>
    <row r="117" spans="1:18" ht="10.9" customHeight="1">
      <c r="B117" s="552" t="s">
        <v>3419</v>
      </c>
      <c r="C117" s="553" t="s">
        <v>3444</v>
      </c>
      <c r="M117" s="571" t="str">
        <f t="shared" ref="M117:M121" si="0">IF(AND($I$90="Local Redevelopment Plan",O117=""), "X","")</f>
        <v/>
      </c>
      <c r="N117" s="552" t="s">
        <v>3419</v>
      </c>
      <c r="O117" s="1657"/>
      <c r="P117" s="541"/>
    </row>
    <row r="118" spans="1:18" ht="10.9" customHeight="1">
      <c r="B118" s="552" t="s">
        <v>3420</v>
      </c>
      <c r="C118" s="553" t="s">
        <v>3445</v>
      </c>
      <c r="M118" s="571" t="str">
        <f t="shared" si="0"/>
        <v/>
      </c>
      <c r="N118" s="552" t="s">
        <v>3420</v>
      </c>
      <c r="O118" s="1657"/>
      <c r="P118" s="541"/>
    </row>
    <row r="119" spans="1:18" ht="10.9" customHeight="1">
      <c r="B119" s="552" t="s">
        <v>3421</v>
      </c>
      <c r="C119" s="69" t="s">
        <v>3446</v>
      </c>
      <c r="M119" s="571" t="str">
        <f t="shared" si="0"/>
        <v/>
      </c>
      <c r="N119" s="552" t="s">
        <v>3421</v>
      </c>
      <c r="O119" s="1657"/>
      <c r="P119" s="541"/>
    </row>
    <row r="120" spans="1:18" ht="10.9" customHeight="1">
      <c r="B120" s="552" t="s">
        <v>3441</v>
      </c>
      <c r="C120" s="553" t="s">
        <v>3447</v>
      </c>
      <c r="D120" s="132"/>
      <c r="M120" s="571" t="str">
        <f t="shared" si="0"/>
        <v/>
      </c>
      <c r="N120" s="552" t="s">
        <v>3441</v>
      </c>
      <c r="O120" s="1657"/>
      <c r="P120" s="541"/>
    </row>
    <row r="121" spans="1:18" ht="10.9" customHeight="1">
      <c r="B121" s="552" t="s">
        <v>3442</v>
      </c>
      <c r="C121" s="553" t="s">
        <v>3448</v>
      </c>
      <c r="M121" s="571" t="str">
        <f t="shared" si="0"/>
        <v/>
      </c>
      <c r="N121" s="552" t="s">
        <v>3442</v>
      </c>
      <c r="O121" s="1653"/>
      <c r="P121" s="356"/>
    </row>
    <row r="122" spans="1:18" ht="11.45" customHeight="1">
      <c r="A122" s="550" t="str">
        <f>IF($I$90="Stable Communities &lt; 20%", "X","")</f>
        <v>X</v>
      </c>
      <c r="C122" s="568" t="s">
        <v>3452</v>
      </c>
      <c r="E122" s="160"/>
      <c r="M122" s="573"/>
      <c r="N122" s="31"/>
      <c r="O122" s="162"/>
      <c r="P122" s="162"/>
    </row>
    <row r="123" spans="1:18" ht="10.9" customHeight="1">
      <c r="B123" s="552" t="s">
        <v>3449</v>
      </c>
      <c r="C123" s="553" t="s">
        <v>3453</v>
      </c>
      <c r="M123" s="571"/>
      <c r="O123" s="552" t="s">
        <v>3449</v>
      </c>
      <c r="P123" s="355"/>
    </row>
    <row r="124" spans="1:18" ht="10.9" customHeight="1">
      <c r="B124" s="552" t="s">
        <v>3450</v>
      </c>
      <c r="C124" s="69" t="s">
        <v>3454</v>
      </c>
      <c r="M124" s="571"/>
      <c r="O124" s="552" t="s">
        <v>3450</v>
      </c>
      <c r="P124" s="541"/>
    </row>
    <row r="125" spans="1:18" ht="10.9" customHeight="1">
      <c r="B125" s="552" t="s">
        <v>3451</v>
      </c>
      <c r="C125" s="553" t="s">
        <v>3455</v>
      </c>
      <c r="M125" s="571"/>
      <c r="O125" s="552" t="s">
        <v>3451</v>
      </c>
      <c r="P125" s="541"/>
    </row>
    <row r="126" spans="1:18" ht="10.9" customHeight="1">
      <c r="B126" s="552" t="s">
        <v>847</v>
      </c>
      <c r="C126" s="69" t="s">
        <v>3456</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54" t="s">
        <v>4106</v>
      </c>
      <c r="B128" s="1655"/>
      <c r="C128" s="1655"/>
      <c r="D128" s="1655"/>
      <c r="E128" s="1655"/>
      <c r="F128" s="1655"/>
      <c r="G128" s="1655"/>
      <c r="H128" s="1655"/>
      <c r="I128" s="1655"/>
      <c r="J128" s="1655"/>
      <c r="K128" s="1655"/>
      <c r="L128" s="1655"/>
      <c r="M128" s="1655"/>
      <c r="N128" s="1655"/>
      <c r="O128" s="1655"/>
      <c r="P128" s="1656"/>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3457</v>
      </c>
      <c r="D132" s="49"/>
      <c r="E132" s="49"/>
      <c r="F132" s="49"/>
      <c r="H132" s="73"/>
      <c r="J132" s="73" t="s">
        <v>474</v>
      </c>
      <c r="K132" s="56"/>
      <c r="M132" s="3">
        <v>3</v>
      </c>
      <c r="N132" s="7"/>
      <c r="O132" s="93">
        <f>MIN($M132,(O133+O139))</f>
        <v>3</v>
      </c>
      <c r="P132" s="93">
        <f>MIN($M132,(P133+P139))</f>
        <v>0</v>
      </c>
      <c r="Q132" s="148" t="s">
        <v>612</v>
      </c>
    </row>
    <row r="133" spans="1:17" ht="12" customHeight="1">
      <c r="B133" s="851" t="s">
        <v>2862</v>
      </c>
      <c r="C133" s="254" t="s">
        <v>3140</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65"/>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579" t="s">
        <v>2104</v>
      </c>
      <c r="P134" s="232"/>
    </row>
    <row r="135" spans="1:17" s="132" customFormat="1" ht="11.45" customHeight="1">
      <c r="B135" s="250"/>
      <c r="C135" s="161" t="s">
        <v>1460</v>
      </c>
      <c r="H135" s="704" t="s">
        <v>3618</v>
      </c>
      <c r="I135" s="1658"/>
      <c r="J135" s="704" t="s">
        <v>3217</v>
      </c>
      <c r="K135" s="1666"/>
      <c r="L135" s="1667"/>
      <c r="M135" s="1668"/>
    </row>
    <row r="136" spans="1:17" s="132" customFormat="1" ht="11.45" customHeight="1">
      <c r="B136" s="250" t="s">
        <v>2868</v>
      </c>
      <c r="C136" s="161" t="s">
        <v>1461</v>
      </c>
      <c r="M136" s="8"/>
      <c r="N136" s="250" t="s">
        <v>2868</v>
      </c>
      <c r="O136" s="1652"/>
      <c r="P136" s="355"/>
    </row>
    <row r="137" spans="1:17" s="132" customFormat="1" ht="11.45" customHeight="1">
      <c r="B137" s="250" t="s">
        <v>3547</v>
      </c>
      <c r="C137" s="161" t="s">
        <v>1462</v>
      </c>
      <c r="M137" s="8"/>
      <c r="N137" s="250" t="s">
        <v>3547</v>
      </c>
      <c r="O137" s="1657"/>
      <c r="P137" s="541"/>
    </row>
    <row r="138" spans="1:17" s="132" customFormat="1" ht="11.45" customHeight="1">
      <c r="B138" s="250" t="s">
        <v>1762</v>
      </c>
      <c r="C138" s="161" t="s">
        <v>1463</v>
      </c>
      <c r="M138" s="8"/>
      <c r="N138" s="250" t="s">
        <v>1762</v>
      </c>
      <c r="O138" s="1653"/>
      <c r="P138" s="356"/>
    </row>
    <row r="139" spans="1:17" ht="12" customHeight="1">
      <c r="A139" s="254" t="s">
        <v>1921</v>
      </c>
      <c r="B139" s="851" t="s">
        <v>2865</v>
      </c>
      <c r="C139" s="254" t="s">
        <v>3141</v>
      </c>
      <c r="D139" s="160"/>
      <c r="E139" s="666" t="s">
        <v>3647</v>
      </c>
      <c r="M139" s="3">
        <v>3</v>
      </c>
      <c r="N139" s="803" t="s">
        <v>2865</v>
      </c>
      <c r="O139" s="659">
        <f>IF($M140=5,3,IF($M140=4,2,0))</f>
        <v>3</v>
      </c>
      <c r="P139" s="85"/>
    </row>
    <row r="140" spans="1:17" ht="12" customHeight="1">
      <c r="B140" s="122"/>
      <c r="D140" s="40"/>
      <c r="E140" s="40"/>
      <c r="F140" s="40"/>
      <c r="G140" s="48"/>
      <c r="H140" s="48"/>
      <c r="I140" s="48"/>
      <c r="J140" s="48"/>
      <c r="L140" s="574" t="s">
        <v>688</v>
      </c>
      <c r="M140" s="1579">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30" customHeight="1">
      <c r="A142" s="1583"/>
      <c r="B142" s="1584"/>
      <c r="C142" s="1584"/>
      <c r="D142" s="1584"/>
      <c r="E142" s="1584"/>
      <c r="F142" s="1584"/>
      <c r="G142" s="1584"/>
      <c r="H142" s="1584"/>
      <c r="I142" s="1584"/>
      <c r="J142" s="1584"/>
      <c r="K142" s="1584"/>
      <c r="L142" s="1584"/>
      <c r="M142" s="1584"/>
      <c r="N142" s="1584"/>
      <c r="O142" s="1584"/>
      <c r="P142" s="1585"/>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3458</v>
      </c>
      <c r="D146" s="49"/>
      <c r="E146" s="49"/>
      <c r="F146" s="49"/>
      <c r="H146" s="73"/>
      <c r="K146" s="56"/>
      <c r="L146" s="558" t="str">
        <f>IF(OR($O146=$M146,$O146=0,$O146=""),"","* * Check Score! * *")</f>
        <v/>
      </c>
      <c r="M146" s="3">
        <v>2</v>
      </c>
      <c r="N146" s="601" t="str">
        <f>IF(OR($O146=$M146,$O146=0,$O146=""),"","***")</f>
        <v/>
      </c>
      <c r="O146" s="1645">
        <v>2</v>
      </c>
      <c r="P146" s="85"/>
      <c r="Q146" s="148" t="s">
        <v>612</v>
      </c>
    </row>
    <row r="147" spans="1:17" ht="11.45" customHeight="1">
      <c r="B147" s="233" t="s">
        <v>2504</v>
      </c>
      <c r="E147" s="160"/>
      <c r="M147" s="573"/>
      <c r="N147" s="31"/>
      <c r="O147" s="31"/>
      <c r="P147" s="162" t="s">
        <v>3520</v>
      </c>
    </row>
    <row r="148" spans="1:17" s="583" customFormat="1" ht="11.45" customHeight="1">
      <c r="A148" s="575" t="s">
        <v>3417</v>
      </c>
      <c r="B148" s="716" t="s">
        <v>3459</v>
      </c>
      <c r="D148" s="717"/>
      <c r="M148" s="718"/>
      <c r="N148" s="575"/>
      <c r="O148" s="575" t="s">
        <v>3417</v>
      </c>
      <c r="P148" s="357"/>
    </row>
    <row r="149" spans="1:17" s="583" customFormat="1">
      <c r="A149" s="575" t="s">
        <v>3418</v>
      </c>
      <c r="B149" s="1208" t="s">
        <v>3752</v>
      </c>
      <c r="C149" s="1006"/>
      <c r="D149" s="1006"/>
      <c r="E149" s="1006"/>
      <c r="F149" s="1006"/>
      <c r="G149" s="1006"/>
      <c r="H149" s="1006"/>
      <c r="I149" s="1006"/>
      <c r="J149" s="1006"/>
      <c r="K149" s="1006"/>
      <c r="L149" s="1006"/>
      <c r="M149" s="1006"/>
      <c r="N149" s="1006"/>
      <c r="O149" s="575" t="s">
        <v>3418</v>
      </c>
      <c r="P149" s="719"/>
    </row>
    <row r="150" spans="1:17" s="583" customFormat="1">
      <c r="A150" s="575" t="s">
        <v>3419</v>
      </c>
      <c r="B150" s="1208" t="s">
        <v>3753</v>
      </c>
      <c r="C150" s="1179"/>
      <c r="D150" s="1179"/>
      <c r="E150" s="1179"/>
      <c r="F150" s="1179"/>
      <c r="G150" s="1179"/>
      <c r="H150" s="1179"/>
      <c r="I150" s="1179"/>
      <c r="J150" s="1179"/>
      <c r="K150" s="1179"/>
      <c r="L150" s="1179"/>
      <c r="M150" s="1179"/>
      <c r="N150" s="1179"/>
      <c r="O150" s="575" t="s">
        <v>3419</v>
      </c>
      <c r="P150" s="719"/>
    </row>
    <row r="151" spans="1:17" s="583" customFormat="1">
      <c r="A151" s="575" t="s">
        <v>3420</v>
      </c>
      <c r="B151" s="1121" t="s">
        <v>3754</v>
      </c>
      <c r="C151" s="1212"/>
      <c r="D151" s="1212"/>
      <c r="E151" s="1212"/>
      <c r="F151" s="1212"/>
      <c r="G151" s="1212"/>
      <c r="H151" s="1212"/>
      <c r="I151" s="1212"/>
      <c r="J151" s="1212"/>
      <c r="K151" s="1212"/>
      <c r="L151" s="1212"/>
      <c r="M151" s="1212"/>
      <c r="N151" s="1212"/>
      <c r="O151" s="575" t="s">
        <v>3420</v>
      </c>
      <c r="P151" s="719"/>
    </row>
    <row r="152" spans="1:17" s="583" customFormat="1" ht="23.45" customHeight="1">
      <c r="A152" s="575" t="s">
        <v>3421</v>
      </c>
      <c r="B152" s="1179" t="s">
        <v>3123</v>
      </c>
      <c r="C152" s="1006"/>
      <c r="D152" s="1006"/>
      <c r="E152" s="1006"/>
      <c r="F152" s="1006"/>
      <c r="G152" s="1006"/>
      <c r="H152" s="1006"/>
      <c r="I152" s="1006"/>
      <c r="J152" s="1006"/>
      <c r="K152" s="1006"/>
      <c r="L152" s="1006"/>
      <c r="M152" s="1006"/>
      <c r="N152" s="1006"/>
      <c r="O152" s="575" t="s">
        <v>3421</v>
      </c>
      <c r="P152" s="719"/>
    </row>
    <row r="153" spans="1:17" s="583" customFormat="1" ht="12.75" customHeight="1">
      <c r="A153" s="575" t="s">
        <v>3441</v>
      </c>
      <c r="B153" s="716" t="s">
        <v>3124</v>
      </c>
      <c r="M153" s="718"/>
      <c r="N153" s="575"/>
      <c r="O153" s="575" t="s">
        <v>3441</v>
      </c>
      <c r="P153" s="719"/>
    </row>
    <row r="154" spans="1:17" s="583" customFormat="1" ht="12.75" customHeight="1">
      <c r="A154" s="575" t="s">
        <v>3442</v>
      </c>
      <c r="B154" s="716" t="s">
        <v>2505</v>
      </c>
      <c r="M154" s="718"/>
      <c r="N154" s="575"/>
      <c r="O154" s="575" t="s">
        <v>3442</v>
      </c>
      <c r="P154" s="719"/>
    </row>
    <row r="155" spans="1:17" s="583" customFormat="1" ht="12.75" customHeight="1">
      <c r="A155" s="575" t="s">
        <v>3449</v>
      </c>
      <c r="B155" s="295" t="s">
        <v>2506</v>
      </c>
      <c r="M155" s="718"/>
      <c r="N155" s="575"/>
      <c r="O155" s="575" t="s">
        <v>3449</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83"/>
      <c r="B157" s="1584"/>
      <c r="C157" s="1584"/>
      <c r="D157" s="1584"/>
      <c r="E157" s="1584"/>
      <c r="F157" s="1584"/>
      <c r="G157" s="1584"/>
      <c r="H157" s="1584"/>
      <c r="I157" s="1584"/>
      <c r="J157" s="1584"/>
      <c r="K157" s="1584"/>
      <c r="L157" s="1584"/>
      <c r="M157" s="1584"/>
      <c r="N157" s="1584"/>
      <c r="O157" s="1584"/>
      <c r="P157" s="1585"/>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3142</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3143</v>
      </c>
      <c r="D162" s="73"/>
      <c r="E162" s="73"/>
      <c r="F162" s="52"/>
      <c r="G162" s="31"/>
      <c r="K162" s="803" t="s">
        <v>3962</v>
      </c>
      <c r="L162" s="1579" t="s">
        <v>3974</v>
      </c>
      <c r="M162" s="8">
        <v>1</v>
      </c>
      <c r="N162" s="803" t="s">
        <v>2862</v>
      </c>
      <c r="O162" s="1645">
        <v>1</v>
      </c>
      <c r="P162" s="85"/>
      <c r="Q162" s="148"/>
      <c r="R162" s="558" t="str">
        <f>IF(OR($O162=$M162,$O162=0,$O162=""),"","* * Check Score! * *")</f>
        <v/>
      </c>
    </row>
    <row r="163" spans="1:18" s="51" customFormat="1" ht="12" customHeight="1">
      <c r="A163" s="189" t="s">
        <v>2865</v>
      </c>
      <c r="B163" s="236" t="s">
        <v>3144</v>
      </c>
      <c r="D163" s="69"/>
      <c r="E163" s="38"/>
      <c r="F163" s="62" t="s">
        <v>3895</v>
      </c>
      <c r="K163" s="62"/>
      <c r="L163" s="558"/>
      <c r="M163" s="8">
        <v>1</v>
      </c>
      <c r="N163" s="803" t="s">
        <v>2865</v>
      </c>
      <c r="O163" s="1645"/>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83"/>
      <c r="B165" s="1584"/>
      <c r="C165" s="1584"/>
      <c r="D165" s="1584"/>
      <c r="E165" s="1584"/>
      <c r="F165" s="1584"/>
      <c r="G165" s="1584"/>
      <c r="H165" s="1584"/>
      <c r="I165" s="1584"/>
      <c r="J165" s="1584"/>
      <c r="K165" s="1584"/>
      <c r="L165" s="1584"/>
      <c r="M165" s="1584"/>
      <c r="N165" s="1584"/>
      <c r="O165" s="1584"/>
      <c r="P165" s="1585"/>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3877</v>
      </c>
      <c r="C169" s="116"/>
      <c r="D169" s="70"/>
      <c r="E169" s="62"/>
      <c r="J169" s="73"/>
      <c r="K169" s="733" t="s">
        <v>3930</v>
      </c>
      <c r="L169" s="800" t="str">
        <f>'Part I-Project Information'!E81</f>
        <v>No</v>
      </c>
      <c r="M169" s="3">
        <v>3</v>
      </c>
      <c r="N169" s="7"/>
      <c r="O169" s="7"/>
      <c r="P169" s="85"/>
      <c r="Q169" s="148" t="s">
        <v>612</v>
      </c>
    </row>
    <row r="170" spans="1:18" s="51" customFormat="1" ht="12" customHeight="1">
      <c r="A170" s="189"/>
      <c r="B170" s="65" t="s">
        <v>3285</v>
      </c>
      <c r="D170" s="40"/>
      <c r="N170" s="803"/>
      <c r="O170" s="1579"/>
      <c r="P170" s="232"/>
      <c r="R170" s="558"/>
    </row>
    <row r="171" spans="1:18" s="51" customFormat="1" ht="12" customHeight="1">
      <c r="A171" s="189"/>
      <c r="B171" s="65" t="s">
        <v>3944</v>
      </c>
      <c r="D171" s="40"/>
      <c r="N171" s="803"/>
      <c r="O171" s="1579"/>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83"/>
      <c r="B173" s="1584"/>
      <c r="C173" s="1584"/>
      <c r="D173" s="1584"/>
      <c r="E173" s="1584"/>
      <c r="F173" s="1584"/>
      <c r="G173" s="1584"/>
      <c r="H173" s="1584"/>
      <c r="I173" s="1584"/>
      <c r="J173" s="1584"/>
      <c r="K173" s="1584"/>
      <c r="L173" s="1584"/>
      <c r="M173" s="1584"/>
      <c r="N173" s="1584"/>
      <c r="O173" s="1584"/>
      <c r="P173" s="1585"/>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3946</v>
      </c>
      <c r="G177" s="159"/>
      <c r="H177" s="665"/>
      <c r="I177" s="159"/>
      <c r="J177" s="801">
        <f>'Part VI-Revenues &amp; Expenses'!$M$74</f>
        <v>100</v>
      </c>
      <c r="K177" s="159"/>
      <c r="L177" s="802" t="str">
        <f>IF(AND(J177=0,O177&gt;0),"&lt;&lt;&lt; Check NC units!","")</f>
        <v/>
      </c>
      <c r="M177" s="3">
        <v>3</v>
      </c>
      <c r="N177" s="601" t="str">
        <f>IF(OR($O177=$M177,$O177=0,$O177=""),"","***")</f>
        <v/>
      </c>
      <c r="O177" s="1645"/>
      <c r="P177" s="85"/>
      <c r="Q177" s="148" t="s">
        <v>612</v>
      </c>
      <c r="R177" s="31"/>
    </row>
    <row r="178" spans="1:18" s="75" customFormat="1" ht="25.15" customHeight="1">
      <c r="A178" s="209"/>
      <c r="B178" s="1096" t="s">
        <v>3945</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83"/>
      <c r="B180" s="1584"/>
      <c r="C180" s="1584"/>
      <c r="D180" s="1584"/>
      <c r="E180" s="1584"/>
      <c r="F180" s="1584"/>
      <c r="G180" s="1584"/>
      <c r="H180" s="1584"/>
      <c r="I180" s="1585"/>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5"/>
      <c r="P182" s="85"/>
      <c r="Q182" s="148" t="s">
        <v>612</v>
      </c>
    </row>
    <row r="183" spans="1:18" s="51" customFormat="1" ht="12.6" customHeight="1">
      <c r="A183" s="50"/>
      <c r="B183" s="154" t="s">
        <v>2713</v>
      </c>
      <c r="D183" s="134"/>
      <c r="E183" s="1669" t="s">
        <v>2639</v>
      </c>
      <c r="F183" s="1670"/>
      <c r="G183" s="1671"/>
      <c r="H183" s="1672"/>
      <c r="I183" s="61" t="s">
        <v>2712</v>
      </c>
      <c r="O183" s="162" t="s">
        <v>3520</v>
      </c>
      <c r="P183" s="162" t="s">
        <v>3520</v>
      </c>
    </row>
    <row r="184" spans="1:18" s="132" customFormat="1" ht="11.45" customHeight="1">
      <c r="A184" s="189" t="s">
        <v>2862</v>
      </c>
      <c r="B184" s="161" t="s">
        <v>2512</v>
      </c>
      <c r="D184" s="161"/>
      <c r="E184" s="161"/>
      <c r="F184" s="161"/>
      <c r="G184" s="1673" t="s">
        <v>3533</v>
      </c>
      <c r="H184" s="1674"/>
      <c r="I184" s="1675"/>
      <c r="J184" s="1673" t="s">
        <v>1715</v>
      </c>
      <c r="K184" s="1674"/>
      <c r="L184" s="1675"/>
      <c r="N184" s="803" t="s">
        <v>2862</v>
      </c>
      <c r="O184" s="1579"/>
      <c r="P184" s="232"/>
    </row>
    <row r="185" spans="1:18" s="132" customFormat="1" ht="11.45" customHeight="1">
      <c r="A185" s="189" t="s">
        <v>2865</v>
      </c>
      <c r="B185" s="161" t="s">
        <v>475</v>
      </c>
      <c r="D185" s="161"/>
      <c r="E185" s="161"/>
      <c r="F185" s="161"/>
      <c r="G185" s="161"/>
      <c r="L185" s="161"/>
      <c r="M185" s="161"/>
      <c r="N185" s="803" t="s">
        <v>2865</v>
      </c>
      <c r="O185" s="1579"/>
      <c r="P185" s="232"/>
    </row>
    <row r="186" spans="1:18" s="132" customFormat="1" ht="11.45" customHeight="1">
      <c r="A186" s="189" t="s">
        <v>1145</v>
      </c>
      <c r="B186" s="161" t="s">
        <v>2467</v>
      </c>
      <c r="D186" s="161"/>
      <c r="E186" s="161"/>
      <c r="F186" s="161"/>
      <c r="G186" s="161"/>
      <c r="H186" s="161"/>
      <c r="L186" s="161"/>
      <c r="M186" s="161"/>
      <c r="N186" s="803" t="s">
        <v>1145</v>
      </c>
      <c r="O186" s="1579"/>
      <c r="P186" s="232"/>
    </row>
    <row r="187" spans="1:18" s="132" customFormat="1" ht="11.45" customHeight="1">
      <c r="A187" s="189" t="s">
        <v>3004</v>
      </c>
      <c r="B187" s="184" t="s">
        <v>3843</v>
      </c>
      <c r="D187" s="161"/>
      <c r="E187" s="161"/>
      <c r="F187" s="161"/>
      <c r="G187" s="161"/>
      <c r="H187" s="161"/>
      <c r="I187" s="161"/>
      <c r="J187" s="161"/>
      <c r="K187" s="161"/>
      <c r="L187" s="161"/>
      <c r="M187" s="161"/>
      <c r="N187" s="803" t="s">
        <v>3004</v>
      </c>
      <c r="O187" s="1579"/>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83"/>
      <c r="B189" s="1584"/>
      <c r="C189" s="1584"/>
      <c r="D189" s="1584"/>
      <c r="E189" s="1584"/>
      <c r="F189" s="1584"/>
      <c r="G189" s="1584"/>
      <c r="H189" s="1584"/>
      <c r="I189" s="1584"/>
      <c r="J189" s="1584"/>
      <c r="K189" s="1584"/>
      <c r="L189" s="1584"/>
      <c r="M189" s="1584"/>
      <c r="N189" s="1584"/>
      <c r="O189" s="1584"/>
      <c r="P189" s="1585"/>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4</v>
      </c>
      <c r="P193" s="77">
        <f>P201+P216+P218</f>
        <v>0</v>
      </c>
      <c r="Q193" s="148" t="s">
        <v>612</v>
      </c>
    </row>
    <row r="194" spans="1:18" s="51" customFormat="1" ht="12.75" customHeight="1">
      <c r="A194" s="50"/>
      <c r="B194" s="154" t="s">
        <v>3860</v>
      </c>
      <c r="E194" s="117"/>
      <c r="F194" s="62"/>
      <c r="G194" s="62"/>
      <c r="H194" s="62"/>
      <c r="I194" s="62"/>
      <c r="J194" s="64"/>
      <c r="K194" s="72"/>
      <c r="L194" s="68"/>
      <c r="O194" s="162" t="s">
        <v>3520</v>
      </c>
      <c r="P194" s="162" t="s">
        <v>3520</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52" t="s">
        <v>3974</v>
      </c>
      <c r="P195" s="355"/>
    </row>
    <row r="196" spans="1:18" s="132" customFormat="1" ht="11.25" customHeight="1">
      <c r="B196" s="715" t="s">
        <v>2868</v>
      </c>
      <c r="C196" s="132" t="s">
        <v>809</v>
      </c>
      <c r="N196" s="250" t="s">
        <v>2868</v>
      </c>
      <c r="O196" s="1657" t="s">
        <v>3974</v>
      </c>
      <c r="P196" s="541"/>
    </row>
    <row r="197" spans="1:18" s="132" customFormat="1" ht="11.25" customHeight="1">
      <c r="B197" s="715" t="s">
        <v>3547</v>
      </c>
      <c r="C197" s="132" t="s">
        <v>810</v>
      </c>
      <c r="N197" s="250" t="s">
        <v>3547</v>
      </c>
      <c r="O197" s="1657" t="s">
        <v>3974</v>
      </c>
      <c r="P197" s="541"/>
    </row>
    <row r="198" spans="1:18" s="132" customFormat="1" ht="11.25" customHeight="1">
      <c r="B198" s="715" t="s">
        <v>1762</v>
      </c>
      <c r="C198" s="132" t="s">
        <v>811</v>
      </c>
      <c r="N198" s="250" t="s">
        <v>1762</v>
      </c>
      <c r="O198" s="1657" t="s">
        <v>3974</v>
      </c>
      <c r="P198" s="541"/>
    </row>
    <row r="199" spans="1:18" s="132" customFormat="1" ht="11.25" customHeight="1">
      <c r="B199" s="715" t="s">
        <v>1763</v>
      </c>
      <c r="C199" s="132" t="s">
        <v>819</v>
      </c>
      <c r="N199" s="250" t="s">
        <v>1763</v>
      </c>
      <c r="O199" s="1653" t="s">
        <v>3974</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2</v>
      </c>
      <c r="P201" s="204">
        <f>IF($L$214&gt;=0.15, 4,IF($L$214&gt;=0.1, 3,IF($L$214&gt;=0.05, 2,IF($L$214&gt;=0.02, 1,0))))</f>
        <v>0</v>
      </c>
    </row>
    <row r="202" spans="1:18" ht="12" customHeight="1">
      <c r="B202" s="551" t="s">
        <v>2866</v>
      </c>
      <c r="C202" s="722" t="s">
        <v>3720</v>
      </c>
      <c r="I202" s="1180" t="s">
        <v>2870</v>
      </c>
      <c r="J202" s="1180"/>
      <c r="L202" s="862" t="s">
        <v>2870</v>
      </c>
      <c r="M202" s="216"/>
      <c r="N202" s="250" t="s">
        <v>2866</v>
      </c>
    </row>
    <row r="203" spans="1:18" s="51" customFormat="1" ht="11.25" customHeight="1">
      <c r="A203" s="251"/>
      <c r="B203" s="150"/>
      <c r="C203" s="552" t="s">
        <v>3417</v>
      </c>
      <c r="D203" s="44" t="s">
        <v>2073</v>
      </c>
      <c r="H203" s="65"/>
      <c r="I203" s="1676">
        <v>177587</v>
      </c>
      <c r="J203" s="1677"/>
      <c r="K203" s="253"/>
      <c r="L203" s="705"/>
      <c r="M203" s="89"/>
      <c r="N203" s="552" t="s">
        <v>3417</v>
      </c>
      <c r="O203" s="1652"/>
      <c r="P203" s="355"/>
      <c r="R203" s="558"/>
    </row>
    <row r="204" spans="1:18" ht="11.25" customHeight="1">
      <c r="A204" s="252"/>
      <c r="B204" s="108"/>
      <c r="C204" s="575" t="s">
        <v>3418</v>
      </c>
      <c r="D204" s="44" t="s">
        <v>2074</v>
      </c>
      <c r="H204" s="65"/>
      <c r="I204" s="1676"/>
      <c r="J204" s="1677"/>
      <c r="L204" s="705"/>
      <c r="M204" s="89"/>
      <c r="N204" s="575" t="s">
        <v>3418</v>
      </c>
      <c r="O204" s="1657"/>
      <c r="P204" s="541"/>
      <c r="R204" s="558"/>
    </row>
    <row r="205" spans="1:18" ht="11.25" customHeight="1">
      <c r="B205" s="715"/>
      <c r="C205" s="552" t="s">
        <v>3419</v>
      </c>
      <c r="D205" s="44" t="s">
        <v>3717</v>
      </c>
      <c r="H205" s="65"/>
      <c r="I205" s="1676">
        <v>100000</v>
      </c>
      <c r="J205" s="1677"/>
      <c r="L205" s="705"/>
      <c r="M205" s="89"/>
      <c r="N205" s="552" t="s">
        <v>3419</v>
      </c>
      <c r="O205" s="1657"/>
      <c r="P205" s="541"/>
      <c r="R205" s="558"/>
    </row>
    <row r="206" spans="1:18" ht="11.25" customHeight="1">
      <c r="A206" s="252"/>
      <c r="B206" s="715"/>
      <c r="C206" s="552" t="s">
        <v>3420</v>
      </c>
      <c r="D206" s="44" t="s">
        <v>3718</v>
      </c>
      <c r="I206" s="1676"/>
      <c r="J206" s="1677"/>
      <c r="L206" s="705"/>
      <c r="M206" s="89"/>
      <c r="N206" s="552" t="s">
        <v>3420</v>
      </c>
      <c r="O206" s="1657"/>
      <c r="P206" s="541"/>
      <c r="R206" s="558"/>
    </row>
    <row r="207" spans="1:18" s="51" customFormat="1" ht="11.25" customHeight="1">
      <c r="A207" s="251"/>
      <c r="B207" s="715"/>
      <c r="C207" s="575" t="s">
        <v>3421</v>
      </c>
      <c r="D207" s="44" t="s">
        <v>2075</v>
      </c>
      <c r="H207" s="65"/>
      <c r="I207" s="1676"/>
      <c r="J207" s="1677"/>
      <c r="K207" s="253"/>
      <c r="L207" s="705"/>
      <c r="M207" s="89"/>
      <c r="N207" s="575" t="s">
        <v>3421</v>
      </c>
      <c r="O207" s="1657"/>
      <c r="P207" s="541"/>
      <c r="R207" s="558"/>
    </row>
    <row r="208" spans="1:18" ht="11.25" customHeight="1">
      <c r="A208" s="252"/>
      <c r="B208" s="715"/>
      <c r="C208" s="552" t="s">
        <v>3441</v>
      </c>
      <c r="D208" s="44" t="s">
        <v>2076</v>
      </c>
      <c r="H208" s="65"/>
      <c r="I208" s="1676"/>
      <c r="J208" s="1677"/>
      <c r="L208" s="705"/>
      <c r="M208" s="89"/>
      <c r="N208" s="552" t="s">
        <v>3441</v>
      </c>
      <c r="O208" s="1657"/>
      <c r="P208" s="541"/>
      <c r="R208" s="558"/>
    </row>
    <row r="209" spans="1:18" ht="11.25" customHeight="1">
      <c r="A209" s="252"/>
      <c r="B209" s="715"/>
      <c r="C209" s="552" t="s">
        <v>3442</v>
      </c>
      <c r="D209" s="44" t="s">
        <v>2077</v>
      </c>
      <c r="H209" s="65"/>
      <c r="I209" s="1676"/>
      <c r="J209" s="1677"/>
      <c r="L209" s="705"/>
      <c r="M209" s="89"/>
      <c r="N209" s="552" t="s">
        <v>3442</v>
      </c>
      <c r="O209" s="1657"/>
      <c r="P209" s="541"/>
      <c r="R209" s="558"/>
    </row>
    <row r="210" spans="1:18" ht="11.25" customHeight="1" thickBot="1">
      <c r="A210" s="252"/>
      <c r="B210" s="715"/>
      <c r="C210" s="552" t="s">
        <v>3449</v>
      </c>
      <c r="D210" s="701" t="s">
        <v>3719</v>
      </c>
      <c r="E210" s="702"/>
      <c r="F210" s="702"/>
      <c r="G210" s="702"/>
      <c r="H210" s="703"/>
      <c r="I210" s="1678">
        <v>600000</v>
      </c>
      <c r="J210" s="1679"/>
      <c r="L210" s="709"/>
      <c r="M210" s="89"/>
      <c r="N210" s="552" t="s">
        <v>3449</v>
      </c>
      <c r="O210" s="1653"/>
      <c r="P210" s="356"/>
      <c r="R210" s="558"/>
    </row>
    <row r="211" spans="1:18" ht="12" customHeight="1" thickBot="1">
      <c r="A211" s="252"/>
      <c r="B211" s="715"/>
      <c r="D211" s="699" t="s">
        <v>3722</v>
      </c>
      <c r="H211" s="65"/>
      <c r="I211" s="1680">
        <f>SUM(I203:J210)</f>
        <v>877587</v>
      </c>
      <c r="J211" s="1681"/>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3721</v>
      </c>
      <c r="D213" s="699" t="s">
        <v>3723</v>
      </c>
      <c r="I213" s="1181">
        <f>'Part IV-Uses of Funds'!$G$123</f>
        <v>12999341</v>
      </c>
      <c r="J213" s="1182"/>
      <c r="M213" s="216"/>
      <c r="N213" s="31"/>
      <c r="O213" s="31"/>
      <c r="P213" s="31"/>
    </row>
    <row r="214" spans="1:18" ht="12" customHeight="1">
      <c r="B214" s="250"/>
      <c r="C214" s="698"/>
      <c r="D214" s="720" t="s">
        <v>3724</v>
      </c>
      <c r="G214" s="708"/>
      <c r="H214" s="708"/>
      <c r="I214" s="1183">
        <f>IF($I$213=0,0,$I$211/$I$213)</f>
        <v>6.7510114551191477E-2</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3896</v>
      </c>
      <c r="D216" s="47"/>
      <c r="E216" s="44"/>
      <c r="F216" s="1"/>
      <c r="G216" s="38" t="s">
        <v>3897</v>
      </c>
      <c r="H216" s="44"/>
      <c r="I216" s="1"/>
      <c r="J216" s="38"/>
      <c r="K216" s="38"/>
      <c r="L216" s="38"/>
      <c r="M216" s="89">
        <v>1</v>
      </c>
      <c r="N216" s="803" t="s">
        <v>2865</v>
      </c>
      <c r="O216" s="1579">
        <v>1</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1</v>
      </c>
      <c r="P218" s="204">
        <f>IF($M$221&gt;=0.1, 2,IF($M$221&gt;=0.05, 1,0))</f>
        <v>0</v>
      </c>
      <c r="R218" s="558" t="str">
        <f>IF(OR($O218=$M218,$O218=0,$O218=""),"","* * Check Score! * *")</f>
        <v>* * Check Score! * *</v>
      </c>
    </row>
    <row r="219" spans="1:18" s="51" customFormat="1" ht="12.6" customHeight="1">
      <c r="A219" s="251"/>
      <c r="B219" s="44" t="s">
        <v>906</v>
      </c>
      <c r="E219" s="1682" t="s">
        <v>4020</v>
      </c>
      <c r="F219" s="1683"/>
      <c r="G219" s="1683"/>
      <c r="H219" s="1684"/>
      <c r="K219" s="253"/>
      <c r="M219" s="7"/>
      <c r="N219" s="7"/>
      <c r="O219" s="7"/>
      <c r="P219" s="7"/>
    </row>
    <row r="220" spans="1:18" ht="21" customHeight="1">
      <c r="A220" s="252"/>
      <c r="B220" s="582" t="s">
        <v>3319</v>
      </c>
      <c r="D220" s="583"/>
      <c r="E220" s="1685" t="s">
        <v>4107</v>
      </c>
      <c r="F220" s="1686"/>
      <c r="G220" s="1686"/>
      <c r="H220" s="1686"/>
      <c r="I220" s="1686"/>
      <c r="J220" s="1686"/>
      <c r="K220" s="1686"/>
      <c r="L220" s="1686"/>
      <c r="M220" s="1686"/>
      <c r="N220" s="1686"/>
      <c r="O220" s="1686"/>
      <c r="P220" s="1313"/>
    </row>
    <row r="221" spans="1:18" ht="12.6" customHeight="1">
      <c r="B221" s="44" t="s">
        <v>3861</v>
      </c>
      <c r="E221" s="704"/>
      <c r="I221" s="1687">
        <v>650000</v>
      </c>
      <c r="J221" s="1688"/>
      <c r="K221" s="700">
        <f>IF($I$221=0,0,$I$221/$I$213)</f>
        <v>5.0002534743876635E-2</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42" customHeight="1">
      <c r="A224" s="1583" t="s">
        <v>4108</v>
      </c>
      <c r="B224" s="1584"/>
      <c r="C224" s="1584"/>
      <c r="D224" s="1584"/>
      <c r="E224" s="1584"/>
      <c r="F224" s="1584"/>
      <c r="G224" s="1584"/>
      <c r="H224" s="1584"/>
      <c r="I224" s="1584"/>
      <c r="J224" s="1584"/>
      <c r="K224" s="1584"/>
      <c r="L224" s="1584"/>
      <c r="M224" s="1584"/>
      <c r="N224" s="1584"/>
      <c r="O224" s="1584"/>
      <c r="P224" s="1585"/>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3657</v>
      </c>
      <c r="D229" s="40"/>
      <c r="H229" s="65" t="s">
        <v>3285</v>
      </c>
      <c r="N229" s="803" t="s">
        <v>2862</v>
      </c>
      <c r="O229" s="1652"/>
      <c r="P229" s="355"/>
      <c r="R229" s="558"/>
    </row>
    <row r="230" spans="1:18" s="51" customFormat="1" ht="24.6" customHeight="1">
      <c r="A230" s="50"/>
      <c r="B230" s="1185" t="s">
        <v>3640</v>
      </c>
      <c r="C230" s="1186"/>
      <c r="D230" s="1186"/>
      <c r="E230" s="1186"/>
      <c r="F230" s="1186"/>
      <c r="G230" s="1186"/>
      <c r="H230" s="1186"/>
      <c r="I230" s="1186"/>
      <c r="J230" s="1186"/>
      <c r="K230" s="1186"/>
      <c r="L230" s="1186"/>
      <c r="M230" s="54"/>
      <c r="N230" s="74"/>
      <c r="O230" s="1653"/>
      <c r="P230" s="356"/>
    </row>
    <row r="231" spans="1:18" s="51" customFormat="1" ht="12" customHeight="1">
      <c r="A231" s="189" t="s">
        <v>2865</v>
      </c>
      <c r="B231" s="236" t="s">
        <v>3725</v>
      </c>
      <c r="D231" s="40"/>
      <c r="E231" s="40"/>
      <c r="F231" s="40"/>
      <c r="H231" s="65" t="s">
        <v>3285</v>
      </c>
      <c r="N231" s="803" t="s">
        <v>2865</v>
      </c>
      <c r="O231" s="1579" t="s">
        <v>3974</v>
      </c>
      <c r="P231" s="232"/>
      <c r="R231" s="558"/>
    </row>
    <row r="232" spans="1:18" s="51" customFormat="1" ht="12" customHeight="1">
      <c r="A232" s="50"/>
      <c r="B232" s="65" t="s">
        <v>3728</v>
      </c>
      <c r="D232" s="47"/>
      <c r="E232" s="44"/>
      <c r="F232" s="1"/>
      <c r="G232" s="1"/>
      <c r="H232" s="1"/>
      <c r="I232" s="1"/>
      <c r="J232" s="38"/>
      <c r="K232" s="38"/>
      <c r="L232" s="38"/>
      <c r="M232" s="823"/>
      <c r="N232" s="1"/>
      <c r="O232" s="854"/>
      <c r="P232" s="4"/>
    </row>
    <row r="233" spans="1:18" s="132" customFormat="1" ht="11.25" customHeight="1">
      <c r="B233" s="551" t="s">
        <v>2866</v>
      </c>
      <c r="C233" s="697" t="s">
        <v>3726</v>
      </c>
      <c r="E233" s="117"/>
      <c r="F233" s="62"/>
      <c r="G233" s="62"/>
      <c r="H233" s="62"/>
      <c r="I233" s="62"/>
      <c r="J233" s="64"/>
      <c r="K233" s="72"/>
      <c r="L233" s="68" t="str">
        <f>IF(M233&gt;14,"Over limit!","")</f>
        <v/>
      </c>
      <c r="N233" s="250" t="s">
        <v>2866</v>
      </c>
      <c r="O233" s="1652" t="s">
        <v>3974</v>
      </c>
      <c r="P233" s="355"/>
    </row>
    <row r="234" spans="1:18" s="132" customFormat="1" ht="11.25" customHeight="1">
      <c r="B234" s="551" t="s">
        <v>2868</v>
      </c>
      <c r="C234" s="697" t="s">
        <v>3727</v>
      </c>
      <c r="N234" s="250" t="s">
        <v>2868</v>
      </c>
      <c r="O234" s="1657" t="s">
        <v>3974</v>
      </c>
      <c r="P234" s="541"/>
    </row>
    <row r="235" spans="1:18" s="132" customFormat="1" ht="11.25" customHeight="1">
      <c r="B235" s="551" t="s">
        <v>3547</v>
      </c>
      <c r="C235" s="697" t="s">
        <v>3729</v>
      </c>
      <c r="N235" s="250" t="s">
        <v>3547</v>
      </c>
      <c r="O235" s="1657" t="s">
        <v>3974</v>
      </c>
      <c r="P235" s="541"/>
    </row>
    <row r="236" spans="1:18" s="132" customFormat="1" ht="11.25" customHeight="1">
      <c r="B236" s="551" t="s">
        <v>1762</v>
      </c>
      <c r="C236" s="697" t="s">
        <v>3730</v>
      </c>
      <c r="N236" s="250" t="s">
        <v>1762</v>
      </c>
      <c r="O236" s="1653" t="s">
        <v>3974</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60" customHeight="1">
      <c r="A238" s="1583" t="s">
        <v>4110</v>
      </c>
      <c r="B238" s="1584"/>
      <c r="C238" s="1584"/>
      <c r="D238" s="1584"/>
      <c r="E238" s="1584"/>
      <c r="F238" s="1584"/>
      <c r="G238" s="1584"/>
      <c r="H238" s="1584"/>
      <c r="I238" s="1584"/>
      <c r="J238" s="1584"/>
      <c r="K238" s="1584"/>
      <c r="L238" s="1584"/>
      <c r="M238" s="1584"/>
      <c r="N238" s="1584"/>
      <c r="O238" s="1584"/>
      <c r="P238" s="1585"/>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3731</v>
      </c>
      <c r="D243" s="40"/>
      <c r="E243" s="40"/>
      <c r="F243" s="40"/>
      <c r="L243" s="558" t="str">
        <f>IF(OR($O243=$M243,$O243=0,$O243=""),"","* * Check Score! * *")</f>
        <v/>
      </c>
      <c r="M243" s="7">
        <v>3</v>
      </c>
      <c r="N243" s="803" t="s">
        <v>2862</v>
      </c>
      <c r="O243" s="1689">
        <v>3</v>
      </c>
      <c r="P243" s="743"/>
      <c r="Q243" s="148"/>
      <c r="R243" s="558" t="str">
        <f>IF(OR($O243=$M243,$O243=0,$O243=""),"","* * Check Score! * *")</f>
        <v/>
      </c>
    </row>
    <row r="244" spans="1:18" s="51" customFormat="1" ht="36" customHeight="1">
      <c r="A244" s="189"/>
      <c r="B244" s="1213" t="s">
        <v>3733</v>
      </c>
      <c r="C244" s="1213"/>
      <c r="D244" s="1213"/>
      <c r="E244" s="1213"/>
      <c r="F244" s="1213"/>
      <c r="G244" s="1213"/>
      <c r="H244" s="1213"/>
      <c r="I244" s="1213"/>
      <c r="J244" s="1213"/>
      <c r="K244" s="1213"/>
      <c r="L244" s="1213"/>
      <c r="M244" s="558"/>
      <c r="N244" s="558"/>
      <c r="O244" s="1690"/>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3732</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689"/>
      <c r="P247" s="743"/>
    </row>
    <row r="248" spans="1:18" s="655" customFormat="1" ht="24" customHeight="1">
      <c r="A248" s="711" t="s">
        <v>1921</v>
      </c>
      <c r="B248" s="723" t="s">
        <v>2868</v>
      </c>
      <c r="C248" s="1162" t="s">
        <v>3759</v>
      </c>
      <c r="D248" s="1162"/>
      <c r="E248" s="1162"/>
      <c r="F248" s="1162"/>
      <c r="G248" s="1162"/>
      <c r="H248" s="1162"/>
      <c r="I248" s="1162"/>
      <c r="J248" s="1162"/>
      <c r="K248" s="1162"/>
      <c r="L248" s="1162"/>
      <c r="M248" s="656">
        <v>1</v>
      </c>
      <c r="O248" s="1690"/>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83"/>
      <c r="B250" s="1584"/>
      <c r="C250" s="1584"/>
      <c r="D250" s="1584"/>
      <c r="E250" s="1584"/>
      <c r="F250" s="1584"/>
      <c r="G250" s="1584"/>
      <c r="H250" s="1584"/>
      <c r="I250" s="1584"/>
      <c r="J250" s="1584"/>
      <c r="K250" s="1584"/>
      <c r="L250" s="1584"/>
      <c r="M250" s="1584"/>
      <c r="N250" s="1584"/>
      <c r="O250" s="1584"/>
      <c r="P250" s="1585"/>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3561</v>
      </c>
      <c r="M255" s="50"/>
      <c r="N255" s="50"/>
      <c r="O255" s="1579" t="s">
        <v>3974</v>
      </c>
      <c r="P255" s="232"/>
    </row>
    <row r="256" spans="1:18" ht="12.6" customHeight="1">
      <c r="A256" s="189" t="s">
        <v>2862</v>
      </c>
      <c r="B256" s="254" t="s">
        <v>2020</v>
      </c>
      <c r="D256" s="40"/>
      <c r="E256" s="40"/>
      <c r="F256" s="40"/>
      <c r="G256" s="40"/>
      <c r="H256" s="40"/>
      <c r="I256" s="40"/>
      <c r="J256" s="40"/>
      <c r="K256" s="40"/>
      <c r="L256" s="40"/>
      <c r="M256" s="157"/>
      <c r="N256" s="803" t="s">
        <v>2862</v>
      </c>
      <c r="O256" s="1691">
        <v>10</v>
      </c>
      <c r="P256" s="580"/>
    </row>
    <row r="257" spans="1:18" ht="12.6" customHeight="1">
      <c r="A257" s="189" t="s">
        <v>2865</v>
      </c>
      <c r="B257" s="254" t="s">
        <v>325</v>
      </c>
      <c r="D257" s="40"/>
      <c r="E257" s="40"/>
      <c r="F257" s="40"/>
      <c r="G257" s="48"/>
      <c r="H257" s="48"/>
      <c r="I257" s="48"/>
      <c r="J257" s="48"/>
      <c r="K257" s="48"/>
      <c r="M257" s="134"/>
      <c r="N257" s="803" t="s">
        <v>2865</v>
      </c>
      <c r="O257" s="1579" t="s">
        <v>4019</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83"/>
      <c r="B259" s="1584"/>
      <c r="C259" s="1584"/>
      <c r="D259" s="1584"/>
      <c r="E259" s="1584"/>
      <c r="F259" s="1584"/>
      <c r="G259" s="1584"/>
      <c r="H259" s="1584"/>
      <c r="I259" s="1584"/>
      <c r="J259" s="1584"/>
      <c r="K259" s="1584"/>
      <c r="L259" s="1584"/>
      <c r="M259" s="1584"/>
      <c r="N259" s="1584"/>
      <c r="O259" s="1584"/>
      <c r="P259" s="1585"/>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3734</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3735</v>
      </c>
      <c r="D264" s="73" t="s">
        <v>3966</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3736</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3947</v>
      </c>
      <c r="D266" s="582"/>
      <c r="E266" s="582"/>
      <c r="F266" s="582"/>
      <c r="G266" s="582"/>
      <c r="H266" s="582"/>
      <c r="I266" s="582"/>
      <c r="J266" s="858"/>
      <c r="K266" s="858"/>
      <c r="L266" s="858"/>
      <c r="M266" s="714"/>
      <c r="O266" s="1645"/>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3948</v>
      </c>
      <c r="D268" s="1162"/>
      <c r="E268" s="1162"/>
      <c r="F268" s="1162"/>
      <c r="G268" s="1162"/>
      <c r="H268" s="1162"/>
      <c r="I268" s="1162"/>
      <c r="J268" s="1162"/>
      <c r="K268" s="1162"/>
      <c r="L268" s="1162"/>
      <c r="M268" s="714"/>
      <c r="N268" s="656"/>
      <c r="O268" s="1692"/>
      <c r="P268" s="712"/>
    </row>
    <row r="269" spans="1:18" s="655" customFormat="1" ht="12" customHeight="1">
      <c r="A269" s="713" t="s">
        <v>1921</v>
      </c>
      <c r="B269" s="723" t="s">
        <v>3547</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3417</v>
      </c>
      <c r="C270" s="1171" t="s">
        <v>3949</v>
      </c>
      <c r="D270" s="1171"/>
      <c r="E270" s="1171"/>
      <c r="F270" s="1171"/>
      <c r="G270" s="1171"/>
      <c r="H270" s="1171"/>
      <c r="I270" s="1171"/>
      <c r="J270" s="1171"/>
      <c r="K270" s="1171"/>
      <c r="L270" s="1171"/>
      <c r="M270" s="656"/>
      <c r="N270" s="575" t="s">
        <v>3417</v>
      </c>
      <c r="O270" s="1693"/>
      <c r="P270" s="740"/>
    </row>
    <row r="271" spans="1:18" s="655" customFormat="1" ht="22.5" customHeight="1">
      <c r="A271" s="654"/>
      <c r="B271" s="575" t="s">
        <v>3418</v>
      </c>
      <c r="C271" s="1162" t="s">
        <v>3760</v>
      </c>
      <c r="D271" s="1162"/>
      <c r="E271" s="1162"/>
      <c r="F271" s="1162"/>
      <c r="G271" s="1162"/>
      <c r="H271" s="1162"/>
      <c r="I271" s="1162"/>
      <c r="J271" s="1162"/>
      <c r="K271" s="1162"/>
      <c r="L271" s="1162"/>
      <c r="M271" s="656"/>
      <c r="N271" s="575" t="s">
        <v>3418</v>
      </c>
      <c r="O271" s="1694"/>
      <c r="P271" s="741"/>
    </row>
    <row r="272" spans="1:18" s="655" customFormat="1" ht="22.5" customHeight="1">
      <c r="A272" s="654"/>
      <c r="B272" s="575" t="s">
        <v>3419</v>
      </c>
      <c r="C272" s="1162" t="s">
        <v>3737</v>
      </c>
      <c r="D272" s="1162"/>
      <c r="E272" s="1162"/>
      <c r="F272" s="1162"/>
      <c r="G272" s="1162"/>
      <c r="H272" s="1162"/>
      <c r="I272" s="1162"/>
      <c r="J272" s="1162"/>
      <c r="K272" s="1162"/>
      <c r="L272" s="1162"/>
      <c r="M272" s="656"/>
      <c r="N272" s="575" t="s">
        <v>3419</v>
      </c>
      <c r="O272" s="1695"/>
      <c r="P272" s="742"/>
    </row>
    <row r="273" spans="1:18" ht="13.5" customHeight="1">
      <c r="A273" s="189" t="s">
        <v>2865</v>
      </c>
      <c r="B273" s="236" t="s">
        <v>3738</v>
      </c>
      <c r="D273" s="40"/>
      <c r="E273" s="73" t="s">
        <v>3965</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3739</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3417</v>
      </c>
      <c r="C275" s="1162" t="s">
        <v>3741</v>
      </c>
      <c r="D275" s="1162"/>
      <c r="E275" s="1162"/>
      <c r="F275" s="1162"/>
      <c r="G275" s="1162"/>
      <c r="H275" s="1162"/>
      <c r="I275" s="1162"/>
      <c r="J275" s="1162"/>
      <c r="K275" s="1162"/>
      <c r="L275" s="1162"/>
      <c r="M275" s="656">
        <v>4</v>
      </c>
      <c r="N275" s="575" t="s">
        <v>3417</v>
      </c>
      <c r="O275" s="1693"/>
      <c r="P275" s="740"/>
    </row>
    <row r="276" spans="1:18" s="655" customFormat="1" ht="22.5" customHeight="1">
      <c r="A276" s="219" t="s">
        <v>3761</v>
      </c>
      <c r="B276" s="575" t="s">
        <v>3418</v>
      </c>
      <c r="C276" s="1162" t="s">
        <v>3742</v>
      </c>
      <c r="D276" s="1162"/>
      <c r="E276" s="1162"/>
      <c r="F276" s="1162"/>
      <c r="G276" s="1162"/>
      <c r="H276" s="1162"/>
      <c r="I276" s="1162"/>
      <c r="J276" s="1162"/>
      <c r="K276" s="1162"/>
      <c r="L276" s="1162"/>
      <c r="M276" s="656">
        <v>2</v>
      </c>
      <c r="N276" s="575" t="s">
        <v>3418</v>
      </c>
      <c r="O276" s="1695"/>
      <c r="P276" s="742"/>
    </row>
    <row r="277" spans="1:18" s="132" customFormat="1" ht="12" customHeight="1">
      <c r="B277" s="551" t="s">
        <v>2868</v>
      </c>
      <c r="C277" s="724" t="s">
        <v>3740</v>
      </c>
      <c r="L277" s="558" t="str">
        <f>IF(OR($O277=$M277,$O277=0,$O277=""),"","* * Check Score! * *")</f>
        <v/>
      </c>
      <c r="M277" s="8">
        <v>1</v>
      </c>
      <c r="N277" s="250" t="s">
        <v>2868</v>
      </c>
      <c r="O277" s="1645"/>
      <c r="P277" s="85"/>
    </row>
    <row r="278" spans="1:18" s="132" customFormat="1" ht="12" customHeight="1">
      <c r="B278" s="551" t="s">
        <v>3547</v>
      </c>
      <c r="C278" s="724" t="s">
        <v>3743</v>
      </c>
      <c r="L278" s="558" t="str">
        <f>IF(OR($O278=$M278,$O278=0,$O278=""),"","* * Check Score! * *")</f>
        <v/>
      </c>
      <c r="M278" s="8">
        <v>2</v>
      </c>
      <c r="N278" s="250" t="s">
        <v>3547</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3417</v>
      </c>
      <c r="C279" s="1162" t="s">
        <v>3745</v>
      </c>
      <c r="D279" s="1162"/>
      <c r="E279" s="1162"/>
      <c r="F279" s="1162"/>
      <c r="G279" s="1162"/>
      <c r="H279" s="1162"/>
      <c r="I279" s="1162"/>
      <c r="J279" s="1162"/>
      <c r="K279" s="1162"/>
      <c r="L279" s="1162"/>
      <c r="M279" s="656">
        <v>2</v>
      </c>
      <c r="N279" s="575" t="s">
        <v>3417</v>
      </c>
      <c r="O279" s="1689"/>
      <c r="P279" s="743"/>
    </row>
    <row r="280" spans="1:18" s="655" customFormat="1" ht="12" customHeight="1">
      <c r="A280" s="219" t="s">
        <v>3761</v>
      </c>
      <c r="B280" s="575" t="s">
        <v>3418</v>
      </c>
      <c r="C280" s="1162" t="s">
        <v>3744</v>
      </c>
      <c r="D280" s="1162"/>
      <c r="E280" s="1162"/>
      <c r="F280" s="1162"/>
      <c r="G280" s="1162"/>
      <c r="H280" s="1162"/>
      <c r="I280" s="1162"/>
      <c r="J280" s="1162"/>
      <c r="K280" s="1162"/>
      <c r="L280" s="1162"/>
      <c r="M280" s="656">
        <v>1</v>
      </c>
      <c r="N280" s="575" t="s">
        <v>3418</v>
      </c>
      <c r="O280" s="1690"/>
      <c r="P280" s="744"/>
    </row>
    <row r="281" spans="1:18" s="132" customFormat="1" ht="12" customHeight="1">
      <c r="B281" s="551" t="s">
        <v>1762</v>
      </c>
      <c r="C281" s="724" t="s">
        <v>3746</v>
      </c>
      <c r="F281" s="697" t="s">
        <v>3862</v>
      </c>
      <c r="L281" s="558"/>
      <c r="M281" s="8">
        <v>2</v>
      </c>
      <c r="N281" s="250" t="s">
        <v>1762</v>
      </c>
      <c r="O281" s="1645"/>
      <c r="P281" s="85"/>
    </row>
    <row r="282" spans="1:18" s="132" customFormat="1" ht="12" customHeight="1">
      <c r="B282" s="551" t="s">
        <v>1763</v>
      </c>
      <c r="C282" s="724" t="s">
        <v>3747</v>
      </c>
      <c r="F282" s="697" t="s">
        <v>3749</v>
      </c>
      <c r="J282" s="1209">
        <f>'Part IV-Uses of Funds'!$B$39/'Part IV-Uses of Funds'!$G$123</f>
        <v>0.66455730332791485</v>
      </c>
      <c r="K282" s="1210"/>
      <c r="L282" s="558"/>
      <c r="M282" s="8">
        <v>2</v>
      </c>
      <c r="N282" s="250" t="s">
        <v>1763</v>
      </c>
      <c r="O282" s="1645"/>
      <c r="P282" s="85"/>
    </row>
    <row r="283" spans="1:18" s="132" customFormat="1" ht="12" customHeight="1">
      <c r="B283" s="551" t="s">
        <v>2757</v>
      </c>
      <c r="C283" s="724" t="s">
        <v>3748</v>
      </c>
      <c r="F283" s="697" t="s">
        <v>3950</v>
      </c>
      <c r="L283" s="558"/>
      <c r="M283" s="8">
        <v>3</v>
      </c>
      <c r="N283" s="250" t="s">
        <v>2757</v>
      </c>
      <c r="P283" s="85"/>
    </row>
    <row r="284" spans="1:18" s="51" customFormat="1" ht="12" customHeight="1">
      <c r="A284" s="189"/>
      <c r="B284" s="575" t="s">
        <v>3417</v>
      </c>
      <c r="C284" s="65" t="s">
        <v>3285</v>
      </c>
      <c r="D284" s="40"/>
      <c r="N284" s="803"/>
      <c r="O284" s="1579"/>
      <c r="P284" s="232"/>
      <c r="R284" s="558"/>
    </row>
    <row r="285" spans="1:18" s="51" customFormat="1" ht="12" customHeight="1">
      <c r="A285" s="189"/>
      <c r="B285" s="575" t="s">
        <v>3418</v>
      </c>
      <c r="C285" s="65" t="s">
        <v>3944</v>
      </c>
      <c r="D285" s="40"/>
      <c r="N285" s="803"/>
      <c r="O285" s="1579"/>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83"/>
      <c r="B287" s="1584"/>
      <c r="C287" s="1584"/>
      <c r="D287" s="1584"/>
      <c r="E287" s="1584"/>
      <c r="F287" s="1584"/>
      <c r="G287" s="1584"/>
      <c r="H287" s="1584"/>
      <c r="I287" s="1584"/>
      <c r="J287" s="1584"/>
      <c r="K287" s="1584"/>
      <c r="L287" s="1584"/>
      <c r="M287" s="1584"/>
      <c r="N287" s="1584"/>
      <c r="O287" s="1584"/>
      <c r="P287" s="1585"/>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3859</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53</v>
      </c>
      <c r="P291" s="214">
        <f>P8+P30+P38+P49+P58+P67+P74+P90+P132+P146+P161+P169+P177+P182+P193+P228+P242+P254+P263</f>
        <v>13</v>
      </c>
    </row>
    <row r="292" spans="1:19" s="50" customFormat="1" ht="13.5" customHeight="1">
      <c r="A292" s="64"/>
      <c r="B292" s="81"/>
      <c r="C292" s="64"/>
      <c r="D292" s="43"/>
      <c r="E292" s="43"/>
      <c r="F292" s="83"/>
      <c r="G292" s="83"/>
      <c r="H292" s="236" t="s">
        <v>3898</v>
      </c>
      <c r="I292" s="82"/>
      <c r="J292" s="82"/>
      <c r="K292" s="82"/>
      <c r="L292" s="51"/>
      <c r="M292" s="43"/>
      <c r="N292" s="3"/>
      <c r="O292" s="793">
        <f>O291-O263</f>
        <v>53</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3567</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3510</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3194</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3533</v>
      </c>
      <c r="H322" s="812" t="s">
        <v>3534</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3554</v>
      </c>
      <c r="I325" s="813" t="s">
        <v>1899</v>
      </c>
      <c r="J325" s="167"/>
      <c r="K325" s="167"/>
      <c r="L325" s="167"/>
      <c r="M325" s="248"/>
      <c r="N325" s="249"/>
    </row>
    <row r="326" spans="1:14" ht="25.5">
      <c r="A326" s="156"/>
      <c r="B326" s="156"/>
      <c r="C326" s="167"/>
      <c r="D326" s="167"/>
      <c r="E326" s="167"/>
      <c r="F326" s="167"/>
      <c r="G326" s="812" t="s">
        <v>12</v>
      </c>
      <c r="H326" s="813" t="s">
        <v>3555</v>
      </c>
      <c r="I326" s="813" t="s">
        <v>3484</v>
      </c>
      <c r="J326" s="167"/>
      <c r="K326" s="167"/>
      <c r="L326" s="167"/>
      <c r="M326" s="248"/>
      <c r="N326" s="249"/>
    </row>
    <row r="327" spans="1:14">
      <c r="A327" s="156"/>
      <c r="B327" s="156"/>
      <c r="C327" s="167"/>
      <c r="D327" s="167"/>
      <c r="E327" s="167"/>
      <c r="F327" s="167"/>
      <c r="G327" s="812" t="s">
        <v>1899</v>
      </c>
      <c r="H327" s="813" t="s">
        <v>2806</v>
      </c>
      <c r="I327" s="813" t="s">
        <v>3490</v>
      </c>
      <c r="J327" s="167"/>
      <c r="K327" s="167"/>
      <c r="L327" s="167"/>
      <c r="M327" s="248"/>
      <c r="N327" s="249"/>
    </row>
    <row r="328" spans="1:14">
      <c r="A328" s="156"/>
      <c r="B328" s="156"/>
      <c r="C328" s="167"/>
      <c r="D328" s="167"/>
      <c r="E328" s="167"/>
      <c r="F328" s="167"/>
      <c r="G328" s="812" t="s">
        <v>2102</v>
      </c>
      <c r="H328" s="813" t="s">
        <v>3191</v>
      </c>
      <c r="I328" s="813" t="s">
        <v>3492</v>
      </c>
      <c r="J328" s="167"/>
      <c r="K328" s="167"/>
      <c r="L328" s="167"/>
      <c r="M328" s="248"/>
      <c r="N328" s="249"/>
    </row>
    <row r="329" spans="1:14">
      <c r="A329" s="156"/>
      <c r="B329" s="156"/>
      <c r="C329" s="167"/>
      <c r="D329" s="167"/>
      <c r="E329" s="167"/>
      <c r="F329" s="167"/>
      <c r="G329" s="812" t="s">
        <v>1528</v>
      </c>
      <c r="H329" s="813" t="s">
        <v>3556</v>
      </c>
      <c r="I329" s="813" t="s">
        <v>3542</v>
      </c>
      <c r="J329" s="167"/>
      <c r="K329" s="167"/>
      <c r="L329" s="167"/>
      <c r="M329" s="248"/>
      <c r="N329" s="249"/>
    </row>
    <row r="330" spans="1:14">
      <c r="A330" s="156"/>
      <c r="B330" s="156"/>
      <c r="C330" s="167"/>
      <c r="D330" s="167"/>
      <c r="E330" s="167"/>
      <c r="F330" s="167"/>
      <c r="G330" s="812" t="s">
        <v>3492</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3557</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3180</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3560</v>
      </c>
      <c r="I336" s="813" t="s">
        <v>935</v>
      </c>
      <c r="J336" s="167"/>
      <c r="K336" s="167"/>
      <c r="L336" s="167"/>
      <c r="M336" s="248"/>
      <c r="N336" s="249"/>
    </row>
    <row r="337" spans="1:14">
      <c r="A337" s="156"/>
      <c r="B337" s="156"/>
      <c r="C337" s="167"/>
      <c r="D337" s="167"/>
      <c r="E337" s="167"/>
      <c r="F337" s="167"/>
      <c r="G337" s="812" t="s">
        <v>1759</v>
      </c>
      <c r="H337" s="813" t="s">
        <v>3553</v>
      </c>
      <c r="I337" s="813" t="s">
        <v>381</v>
      </c>
      <c r="J337" s="167"/>
      <c r="K337" s="167"/>
      <c r="L337" s="167"/>
      <c r="M337" s="248"/>
      <c r="N337" s="249"/>
    </row>
    <row r="338" spans="1:14" ht="25.5">
      <c r="A338" s="156"/>
      <c r="B338" s="156"/>
      <c r="C338" s="167"/>
      <c r="D338" s="167"/>
      <c r="E338" s="167"/>
      <c r="F338" s="167"/>
      <c r="G338" s="812" t="s">
        <v>1761</v>
      </c>
      <c r="H338" s="813" t="s">
        <v>3558</v>
      </c>
      <c r="I338" s="813" t="s">
        <v>390</v>
      </c>
      <c r="J338" s="167"/>
      <c r="K338" s="167"/>
      <c r="L338" s="167"/>
      <c r="M338" s="248"/>
      <c r="N338" s="249"/>
    </row>
    <row r="339" spans="1:14" ht="25.5">
      <c r="A339" s="156"/>
      <c r="B339" s="156"/>
      <c r="C339" s="167"/>
      <c r="D339" s="167"/>
      <c r="E339" s="167"/>
      <c r="F339" s="167"/>
      <c r="G339" s="812" t="s">
        <v>2391</v>
      </c>
      <c r="H339" s="813" t="s">
        <v>3559</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3180</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3169</v>
      </c>
      <c r="H350" s="813"/>
      <c r="I350" s="813" t="s">
        <v>1624</v>
      </c>
      <c r="J350" s="167"/>
      <c r="K350" s="167"/>
      <c r="L350" s="167"/>
      <c r="M350" s="248"/>
      <c r="N350" s="249"/>
    </row>
    <row r="351" spans="1:14">
      <c r="A351" s="156"/>
      <c r="B351" s="156"/>
      <c r="C351" s="167"/>
      <c r="D351" s="167"/>
      <c r="E351" s="167"/>
      <c r="F351" s="167"/>
      <c r="G351" s="812" t="s">
        <v>3171</v>
      </c>
      <c r="H351" s="813"/>
      <c r="I351" s="813" t="s">
        <v>3063</v>
      </c>
      <c r="J351" s="167"/>
      <c r="K351" s="167"/>
      <c r="L351" s="167"/>
      <c r="M351" s="248"/>
      <c r="N351" s="249"/>
    </row>
    <row r="352" spans="1:14">
      <c r="A352" s="156"/>
      <c r="B352" s="156"/>
      <c r="C352" s="167"/>
      <c r="D352" s="167"/>
      <c r="E352" s="167"/>
      <c r="F352" s="167"/>
      <c r="G352" s="812" t="s">
        <v>3016</v>
      </c>
      <c r="H352" s="813"/>
      <c r="I352" s="813" t="s">
        <v>3068</v>
      </c>
      <c r="J352" s="167"/>
      <c r="K352" s="167"/>
      <c r="L352" s="167"/>
      <c r="M352" s="248"/>
      <c r="N352" s="249"/>
    </row>
    <row r="353" spans="1:14" ht="25.5">
      <c r="A353" s="156"/>
      <c r="B353" s="156"/>
      <c r="C353" s="167"/>
      <c r="D353" s="167"/>
      <c r="E353" s="167"/>
      <c r="F353" s="167"/>
      <c r="G353" s="812" t="s">
        <v>2394</v>
      </c>
      <c r="H353" s="813"/>
      <c r="I353" s="813" t="s">
        <v>3070</v>
      </c>
      <c r="J353" s="167"/>
      <c r="K353" s="167"/>
      <c r="L353" s="167"/>
      <c r="M353" s="248"/>
      <c r="N353" s="249"/>
    </row>
    <row r="354" spans="1:14" ht="13.5">
      <c r="A354" s="156"/>
      <c r="B354" s="156"/>
      <c r="C354" s="640"/>
      <c r="D354" s="640"/>
      <c r="E354" s="167"/>
      <c r="F354" s="167"/>
      <c r="G354" s="812" t="s">
        <v>3255</v>
      </c>
      <c r="H354" s="761"/>
      <c r="I354" s="813" t="s">
        <v>3074</v>
      </c>
      <c r="J354" s="167"/>
      <c r="K354" s="167"/>
      <c r="L354" s="167"/>
      <c r="M354" s="248"/>
      <c r="N354" s="249"/>
    </row>
    <row r="355" spans="1:14" ht="13.5">
      <c r="A355" s="156"/>
      <c r="B355" s="156"/>
      <c r="C355" s="640"/>
      <c r="D355" s="640"/>
      <c r="E355" s="167"/>
      <c r="F355" s="167"/>
      <c r="G355" s="812" t="s">
        <v>3172</v>
      </c>
      <c r="H355" s="761"/>
      <c r="I355" s="813" t="s">
        <v>3078</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3372</v>
      </c>
      <c r="J361" s="167"/>
      <c r="K361" s="167"/>
      <c r="L361" s="167"/>
      <c r="M361" s="156"/>
    </row>
    <row r="362" spans="1:14" ht="13.5">
      <c r="A362" s="156"/>
      <c r="B362" s="156"/>
      <c r="C362" s="641"/>
      <c r="D362" s="167"/>
      <c r="E362" s="167"/>
      <c r="F362" s="167"/>
      <c r="G362" s="767" t="s">
        <v>364</v>
      </c>
      <c r="H362" s="745"/>
      <c r="I362" s="761" t="s">
        <v>3374</v>
      </c>
      <c r="J362" s="167"/>
      <c r="K362" s="167"/>
      <c r="L362" s="167"/>
      <c r="M362" s="156"/>
    </row>
    <row r="363" spans="1:14" ht="13.5">
      <c r="A363" s="156"/>
      <c r="B363" s="156"/>
      <c r="C363" s="167"/>
      <c r="D363" s="167"/>
      <c r="E363" s="167"/>
      <c r="F363" s="167"/>
      <c r="G363" s="767" t="s">
        <v>2147</v>
      </c>
      <c r="H363" s="745"/>
      <c r="I363" s="761" t="s">
        <v>3376</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3938</v>
      </c>
    </row>
    <row r="2" spans="1:6" ht="16.5">
      <c r="A2" s="576" t="str">
        <f>'Part I-Project Information'!F22</f>
        <v>Veranda at Groveway</v>
      </c>
    </row>
    <row r="3" spans="1:6" ht="16.5">
      <c r="A3" s="576" t="str">
        <f>CONCATENATE('Part I-Project Information'!F24,", ", 'Part I-Project Information'!J25," County")</f>
        <v>Roswell, Fulton County</v>
      </c>
    </row>
    <row r="4" spans="1:6" ht="12" customHeight="1"/>
    <row r="5" spans="1:6" ht="113.25" customHeight="1">
      <c r="A5" s="1216" t="s">
        <v>3958</v>
      </c>
      <c r="B5" s="1146" t="s">
        <v>3959</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7">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3939</v>
      </c>
    </row>
    <row r="2" spans="1:6" ht="16.5">
      <c r="A2" s="576" t="str">
        <f>'Part I-Project Information'!F22</f>
        <v>Veranda at Groveway</v>
      </c>
    </row>
    <row r="3" spans="1:6" ht="16.5">
      <c r="A3" s="576" t="str">
        <f>CONCATENATE('Part I-Project Information'!F24,", ", 'Part I-Project Information'!J25," County")</f>
        <v>Roswell, Fulton County</v>
      </c>
    </row>
    <row r="4" spans="1:6" ht="12" customHeight="1"/>
    <row r="5" spans="1:6" ht="60" customHeight="1">
      <c r="A5" s="1216" t="s">
        <v>3957</v>
      </c>
      <c r="B5" s="1146" t="s">
        <v>3960</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3248</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3329</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58" zoomScaleNormal="100" workbookViewId="0">
      <selection activeCell="Q21" sqref="Q2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3389</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3355</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3422</v>
      </c>
      <c r="L10" s="426" t="s">
        <v>3423</v>
      </c>
      <c r="M10" s="426" t="s">
        <v>3424</v>
      </c>
      <c r="N10" s="426" t="s">
        <v>3425</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13211820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15854160</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14533020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3851</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3852</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3856</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3853</v>
      </c>
      <c r="G46" s="241"/>
      <c r="H46" s="239"/>
      <c r="I46" s="239"/>
      <c r="J46" s="241" t="s">
        <v>3854</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3211</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3341</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3342</v>
      </c>
      <c r="K54" s="241"/>
      <c r="L54" s="241"/>
      <c r="M54" s="241"/>
      <c r="N54" s="241"/>
      <c r="O54" s="241"/>
      <c r="P54" s="239"/>
      <c r="Q54" s="1228" t="s">
        <v>3343</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3391</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3846</v>
      </c>
      <c r="B72" s="241"/>
      <c r="C72" s="241"/>
      <c r="D72" s="239"/>
      <c r="E72" s="239"/>
      <c r="F72" s="241" t="s">
        <v>3637</v>
      </c>
      <c r="G72" s="241"/>
      <c r="H72" s="239"/>
      <c r="I72" s="239"/>
      <c r="J72" s="241" t="s">
        <v>3849</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3636</v>
      </c>
      <c r="G73" s="241"/>
      <c r="H73" s="239"/>
      <c r="I73" s="239"/>
      <c r="J73" s="241" t="s">
        <v>3849</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3849</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3024</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3847</v>
      </c>
      <c r="J76" s="241" t="s">
        <v>2618</v>
      </c>
      <c r="Q76" s="1229">
        <v>1000000</v>
      </c>
      <c r="R76" s="1230"/>
    </row>
    <row r="77" spans="1:26" s="416" customFormat="1" ht="11.45" customHeight="1">
      <c r="A77" s="241"/>
      <c r="B77" s="241"/>
      <c r="C77" s="241"/>
      <c r="D77" s="239"/>
      <c r="E77" s="239"/>
      <c r="F77" s="241" t="s">
        <v>3848</v>
      </c>
      <c r="G77" s="241"/>
      <c r="H77" s="239"/>
      <c r="I77" s="239"/>
      <c r="J77" s="241" t="s">
        <v>3850</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3623</v>
      </c>
      <c r="D101" s="734">
        <v>47700</v>
      </c>
    </row>
    <row r="102" spans="3:4" ht="10.5" customHeight="1">
      <c r="C102" s="561" t="s">
        <v>3180</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3485</v>
      </c>
      <c r="D120" s="734">
        <v>44800</v>
      </c>
    </row>
    <row r="121" spans="3:4" ht="10.5" customHeight="1">
      <c r="C121" s="562" t="s">
        <v>3488</v>
      </c>
      <c r="D121" s="734">
        <v>42200</v>
      </c>
    </row>
    <row r="122" spans="3:4" ht="10.5" customHeight="1">
      <c r="C122" s="562" t="s">
        <v>3491</v>
      </c>
      <c r="D122" s="734">
        <v>42900</v>
      </c>
    </row>
    <row r="123" spans="3:4" ht="10.5" customHeight="1">
      <c r="C123" s="562" t="s">
        <v>3540</v>
      </c>
      <c r="D123" s="734">
        <v>40900</v>
      </c>
    </row>
    <row r="124" spans="3:4" ht="10.5" customHeight="1">
      <c r="C124" s="562" t="s">
        <v>3543</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3153</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3621</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3060</v>
      </c>
      <c r="D165" s="734">
        <v>48700</v>
      </c>
    </row>
    <row r="166" spans="3:4" ht="10.5" customHeight="1">
      <c r="C166" s="562" t="s">
        <v>3062</v>
      </c>
      <c r="D166" s="734">
        <v>49700</v>
      </c>
    </row>
    <row r="167" spans="3:4" ht="10.5" customHeight="1">
      <c r="C167" s="561" t="s">
        <v>3064</v>
      </c>
      <c r="D167" s="734">
        <v>45800</v>
      </c>
    </row>
    <row r="168" spans="3:4" ht="10.5" customHeight="1">
      <c r="C168" s="561" t="s">
        <v>3067</v>
      </c>
      <c r="D168" s="734">
        <v>45300</v>
      </c>
    </row>
    <row r="169" spans="3:4" ht="10.5" customHeight="1">
      <c r="C169" s="562" t="s">
        <v>3069</v>
      </c>
      <c r="D169" s="734">
        <v>38700</v>
      </c>
    </row>
    <row r="170" spans="3:4" ht="10.5" customHeight="1">
      <c r="C170" s="562" t="s">
        <v>3071</v>
      </c>
      <c r="D170" s="734">
        <v>41400</v>
      </c>
    </row>
    <row r="171" spans="3:4" ht="10.5" customHeight="1">
      <c r="C171" s="562" t="s">
        <v>3073</v>
      </c>
      <c r="D171" s="734">
        <v>47300</v>
      </c>
    </row>
    <row r="172" spans="3:4" ht="10.5" customHeight="1">
      <c r="C172" s="562" t="s">
        <v>3075</v>
      </c>
      <c r="D172" s="734">
        <v>25600</v>
      </c>
    </row>
    <row r="173" spans="3:4" ht="10.5" customHeight="1">
      <c r="C173" s="562" t="s">
        <v>3077</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3371</v>
      </c>
      <c r="D192" s="734">
        <v>41700</v>
      </c>
    </row>
    <row r="193" spans="3:4" ht="10.5" customHeight="1">
      <c r="C193" s="561" t="s">
        <v>3373</v>
      </c>
      <c r="D193" s="734">
        <v>42600</v>
      </c>
    </row>
    <row r="194" spans="3:4" ht="10.5" customHeight="1">
      <c r="C194" s="561" t="s">
        <v>3375</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Veranda at Groveway</v>
      </c>
    </row>
    <row r="3" spans="1:6" ht="16.5">
      <c r="A3" s="1281" t="str">
        <f>CONCATENATE('Part I-Project Information'!F24,", ", 'Part I-Project Information'!J25," County")</f>
        <v>Roswell, Fulton County</v>
      </c>
    </row>
    <row r="4" spans="1:6" ht="12" customHeight="1"/>
    <row r="5" spans="1:6" ht="111" customHeight="1">
      <c r="A5" s="1282" t="s">
        <v>4109</v>
      </c>
      <c r="B5" s="886" t="s">
        <v>3964</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- 2012-028 Veranda at Groveway, Roswell, Fulton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3328</v>
      </c>
      <c r="B3" s="450"/>
      <c r="C3" s="450"/>
      <c r="D3" s="451"/>
      <c r="E3" s="400" t="s">
        <v>614</v>
      </c>
      <c r="L3" s="450"/>
      <c r="O3" s="891" t="s">
        <v>3865</v>
      </c>
      <c r="P3" s="891"/>
    </row>
    <row r="4" spans="1:16" s="449" customFormat="1" ht="12" customHeight="1" thickBot="1">
      <c r="A4" s="846"/>
      <c r="B4" s="452"/>
      <c r="C4" s="452"/>
      <c r="D4" s="453"/>
      <c r="E4" s="400" t="s">
        <v>615</v>
      </c>
      <c r="H4" s="839"/>
      <c r="I4" s="839"/>
      <c r="J4" s="839"/>
      <c r="O4" s="1284" t="s">
        <v>4122</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3346</v>
      </c>
      <c r="D6" s="416"/>
      <c r="E6" s="454"/>
      <c r="F6" s="455" t="s">
        <v>2567</v>
      </c>
      <c r="J6" s="906">
        <f>'Part IV-Uses of Funds'!J165</f>
        <v>715604.86814477423</v>
      </c>
      <c r="K6" s="907"/>
      <c r="O6" s="892" t="s">
        <v>3864</v>
      </c>
      <c r="P6" s="892"/>
    </row>
    <row r="7" spans="1:16" s="2" customFormat="1" ht="13.15" customHeight="1">
      <c r="A7" s="5"/>
      <c r="C7" s="5"/>
      <c r="D7" s="31"/>
      <c r="E7" s="549"/>
      <c r="F7" s="449" t="s">
        <v>1850</v>
      </c>
      <c r="J7" s="908">
        <f>'Part III A-Sources of Funds'!J5</f>
        <v>0</v>
      </c>
      <c r="K7" s="909"/>
      <c r="M7" s="449"/>
      <c r="N7" s="449"/>
      <c r="O7" s="1286" t="s">
        <v>4101</v>
      </c>
      <c r="P7" s="1287"/>
    </row>
    <row r="8" spans="1:16" s="449" customFormat="1" ht="7.15" customHeight="1">
      <c r="A8" s="452"/>
      <c r="C8" s="452"/>
      <c r="D8" s="416"/>
      <c r="E8" s="454"/>
      <c r="F8" s="454"/>
      <c r="I8" s="456"/>
      <c r="N8" s="457"/>
    </row>
    <row r="9" spans="1:16" s="449" customFormat="1" ht="13.15" customHeight="1">
      <c r="A9" s="456" t="s">
        <v>1136</v>
      </c>
      <c r="C9" s="452" t="s">
        <v>2925</v>
      </c>
      <c r="F9" s="1288" t="s">
        <v>3978</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3217</v>
      </c>
      <c r="F13" s="1292" t="s">
        <v>3979</v>
      </c>
      <c r="G13" s="1293"/>
      <c r="H13" s="1293"/>
      <c r="I13" s="1293"/>
      <c r="J13" s="1293"/>
      <c r="K13" s="1293"/>
      <c r="L13" s="1294"/>
      <c r="M13" s="828" t="s">
        <v>2859</v>
      </c>
      <c r="N13" s="1292" t="s">
        <v>3981</v>
      </c>
      <c r="O13" s="1293"/>
      <c r="P13" s="1294"/>
    </row>
    <row r="14" spans="1:16" s="449" customFormat="1" ht="13.15" customHeight="1">
      <c r="C14" s="455" t="s">
        <v>2860</v>
      </c>
      <c r="F14" s="1292" t="s">
        <v>3980</v>
      </c>
      <c r="G14" s="1293"/>
      <c r="H14" s="1293"/>
      <c r="I14" s="1293"/>
      <c r="J14" s="1293"/>
      <c r="K14" s="1293"/>
      <c r="L14" s="1294"/>
      <c r="M14" s="828" t="s">
        <v>2573</v>
      </c>
      <c r="O14" s="1295">
        <v>4042241889</v>
      </c>
      <c r="P14" s="1296"/>
    </row>
    <row r="15" spans="1:16" s="449" customFormat="1" ht="13.15" customHeight="1">
      <c r="C15" s="455" t="s">
        <v>876</v>
      </c>
      <c r="F15" s="1297" t="s">
        <v>1743</v>
      </c>
      <c r="G15" s="1298"/>
      <c r="H15" s="1299"/>
      <c r="M15" s="828" t="s">
        <v>2658</v>
      </c>
      <c r="O15" s="1300">
        <v>4042241899</v>
      </c>
      <c r="P15" s="1301"/>
    </row>
    <row r="16" spans="1:16" s="449" customFormat="1" ht="13.15" customHeight="1">
      <c r="C16" s="455" t="s">
        <v>2655</v>
      </c>
      <c r="F16" s="1302" t="s">
        <v>1337</v>
      </c>
      <c r="I16" s="839" t="s">
        <v>3136</v>
      </c>
      <c r="J16" s="1303">
        <v>303032540</v>
      </c>
      <c r="K16" s="1304"/>
      <c r="M16" s="828" t="s">
        <v>2858</v>
      </c>
      <c r="O16" s="1300">
        <v>4044490042</v>
      </c>
      <c r="P16" s="1301"/>
    </row>
    <row r="17" spans="1:16" s="449" customFormat="1" ht="13.15" customHeight="1">
      <c r="B17" s="833"/>
      <c r="C17" s="455" t="s">
        <v>2572</v>
      </c>
      <c r="F17" s="1300">
        <v>4042241860</v>
      </c>
      <c r="G17" s="1305"/>
      <c r="H17" s="1301"/>
      <c r="I17" s="830" t="s">
        <v>2571</v>
      </c>
      <c r="J17" s="1306"/>
      <c r="K17" s="839" t="s">
        <v>2863</v>
      </c>
      <c r="L17" s="1292" t="s">
        <v>3982</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4009</v>
      </c>
      <c r="G22" s="1308"/>
      <c r="H22" s="1308"/>
      <c r="I22" s="1308"/>
      <c r="J22" s="1308"/>
      <c r="K22" s="1308"/>
      <c r="L22" s="1309"/>
      <c r="M22" s="828" t="s">
        <v>3085</v>
      </c>
      <c r="O22" s="1292" t="s">
        <v>4102</v>
      </c>
      <c r="P22" s="1294"/>
    </row>
    <row r="23" spans="1:16" s="449" customFormat="1" ht="13.15" customHeight="1">
      <c r="A23" s="462"/>
      <c r="B23" s="452"/>
      <c r="C23" s="449" t="s">
        <v>875</v>
      </c>
      <c r="D23" s="463"/>
      <c r="F23" s="1292" t="s">
        <v>4010</v>
      </c>
      <c r="G23" s="1293"/>
      <c r="H23" s="1293"/>
      <c r="I23" s="1293"/>
      <c r="J23" s="1293"/>
      <c r="K23" s="1293"/>
      <c r="L23" s="1294"/>
      <c r="M23" s="828" t="s">
        <v>2938</v>
      </c>
      <c r="O23" s="1292" t="s">
        <v>3984</v>
      </c>
      <c r="P23" s="1294"/>
    </row>
    <row r="24" spans="1:16" s="449" customFormat="1" ht="13.15" customHeight="1">
      <c r="A24" s="846"/>
      <c r="B24" s="452"/>
      <c r="C24" s="449" t="s">
        <v>876</v>
      </c>
      <c r="F24" s="1292" t="s">
        <v>3055</v>
      </c>
      <c r="G24" s="1293"/>
      <c r="H24" s="1294"/>
      <c r="I24" s="839" t="s">
        <v>418</v>
      </c>
      <c r="J24" s="1303">
        <v>300754559</v>
      </c>
      <c r="K24" s="1304"/>
      <c r="L24" s="540" t="str">
        <f>IF(AND(NOT(F22=""),NOT(F24="Select from list"),J24=""),"Enter Zip!","")</f>
        <v/>
      </c>
      <c r="M24" s="828" t="s">
        <v>3195</v>
      </c>
      <c r="O24" s="1292">
        <v>2.4350000000000001</v>
      </c>
      <c r="P24" s="1294"/>
    </row>
    <row r="25" spans="1:16" s="449" customFormat="1" ht="13.15" customHeight="1">
      <c r="A25" s="846"/>
      <c r="B25" s="452"/>
      <c r="C25" s="887" t="s">
        <v>2937</v>
      </c>
      <c r="D25" s="887"/>
      <c r="F25" s="1310" t="s">
        <v>3974</v>
      </c>
      <c r="I25" s="494" t="s">
        <v>877</v>
      </c>
      <c r="J25" s="1311" t="str">
        <f>IF($F$24="","",VLOOKUP($F$24,$N$181:$O$784,2,FALSE))</f>
        <v>Fulton</v>
      </c>
      <c r="K25" s="1312"/>
      <c r="M25" s="465" t="s">
        <v>3210</v>
      </c>
      <c r="O25" s="1292" t="s">
        <v>4021</v>
      </c>
      <c r="P25" s="1313"/>
    </row>
    <row r="26" spans="1:16" s="449" customFormat="1" ht="13.15" customHeight="1">
      <c r="A26" s="846"/>
      <c r="B26" s="452"/>
      <c r="C26" s="449" t="s">
        <v>2162</v>
      </c>
      <c r="F26" s="1314" t="s">
        <v>3984</v>
      </c>
      <c r="H26" s="457" t="s">
        <v>3654</v>
      </c>
      <c r="I26" s="682" t="str">
        <f>VLOOKUP($J$25,$C$181:$F$340,4)</f>
        <v>MSA</v>
      </c>
      <c r="J26" s="1315" t="str">
        <f>IF($F$24="","",VLOOKUP($J$25,$C$181:$H$340,3,FALSE))</f>
        <v>Atlanta-Sandy Springs-Marietta</v>
      </c>
      <c r="K26" s="1316"/>
      <c r="L26" s="1317"/>
      <c r="M26" s="828" t="s">
        <v>625</v>
      </c>
      <c r="N26" s="1318" t="s">
        <v>3984</v>
      </c>
      <c r="O26" s="457" t="s">
        <v>626</v>
      </c>
      <c r="P26" s="1318" t="s">
        <v>3984</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92" t="s">
        <v>1132</v>
      </c>
      <c r="I28" s="892"/>
      <c r="J28" s="892" t="s">
        <v>1133</v>
      </c>
      <c r="K28" s="892"/>
      <c r="L28" s="459"/>
    </row>
    <row r="29" spans="1:16" s="449" customFormat="1" ht="13.15" customHeight="1">
      <c r="A29" s="846"/>
      <c r="B29" s="452"/>
      <c r="C29" s="449" t="s">
        <v>878</v>
      </c>
      <c r="D29" s="452"/>
      <c r="F29" s="1319">
        <v>6</v>
      </c>
      <c r="G29" s="1320"/>
      <c r="H29" s="1319">
        <v>56</v>
      </c>
      <c r="I29" s="1320"/>
      <c r="J29" s="1319">
        <v>48</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4020</v>
      </c>
      <c r="G32" s="1322"/>
      <c r="H32" s="1322"/>
      <c r="I32" s="1322"/>
      <c r="J32" s="1322"/>
      <c r="K32" s="1323"/>
      <c r="L32" s="466"/>
      <c r="M32" s="466"/>
      <c r="N32" s="466"/>
    </row>
    <row r="33" spans="1:19" s="449" customFormat="1" ht="13.15" customHeight="1">
      <c r="A33" s="846"/>
      <c r="B33" s="846"/>
      <c r="C33" s="449" t="s">
        <v>897</v>
      </c>
      <c r="F33" s="1324" t="s">
        <v>4022</v>
      </c>
      <c r="G33" s="1325"/>
      <c r="H33" s="1325"/>
      <c r="I33" s="1325"/>
      <c r="J33" s="1326"/>
      <c r="K33" s="467" t="s">
        <v>2859</v>
      </c>
      <c r="L33" s="1321" t="s">
        <v>4023</v>
      </c>
      <c r="M33" s="1322"/>
      <c r="N33" s="1323"/>
    </row>
    <row r="34" spans="1:19" s="449" customFormat="1" ht="13.15" customHeight="1">
      <c r="A34" s="846"/>
      <c r="B34" s="846"/>
      <c r="C34" s="449" t="s">
        <v>2860</v>
      </c>
      <c r="F34" s="1321" t="s">
        <v>4024</v>
      </c>
      <c r="G34" s="1322"/>
      <c r="H34" s="1322"/>
      <c r="I34" s="1322"/>
      <c r="J34" s="1323"/>
      <c r="K34" s="468" t="s">
        <v>876</v>
      </c>
      <c r="L34" s="1292" t="s">
        <v>3055</v>
      </c>
      <c r="M34" s="1293"/>
      <c r="N34" s="1294"/>
    </row>
    <row r="35" spans="1:19" s="449" customFormat="1" ht="13.15" customHeight="1">
      <c r="A35" s="846"/>
      <c r="B35" s="846"/>
      <c r="C35" s="828" t="s">
        <v>3136</v>
      </c>
      <c r="F35" s="1327">
        <v>300754537</v>
      </c>
      <c r="G35" s="1328"/>
      <c r="H35" s="830" t="s">
        <v>2861</v>
      </c>
      <c r="I35" s="1329" t="s">
        <v>4025</v>
      </c>
      <c r="J35" s="1330"/>
      <c r="K35" s="1331"/>
      <c r="L35" s="830" t="s">
        <v>2658</v>
      </c>
      <c r="M35" s="1329" t="s">
        <v>4026</v>
      </c>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3660</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3212</v>
      </c>
      <c r="F39" s="1306" t="s">
        <v>3984</v>
      </c>
      <c r="J39" s="590" t="s">
        <v>1841</v>
      </c>
      <c r="K39" s="833"/>
      <c r="L39" s="899" t="s">
        <v>1842</v>
      </c>
      <c r="M39" s="899"/>
      <c r="N39" s="899"/>
      <c r="O39" s="899"/>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89" t="s">
        <v>1840</v>
      </c>
      <c r="M41" s="889"/>
      <c r="N41" s="889"/>
      <c r="O41" s="889"/>
      <c r="P41" s="890"/>
      <c r="Q41" s="839"/>
    </row>
    <row r="42" spans="1:19" ht="13.15" customHeight="1">
      <c r="B42" s="846"/>
      <c r="C42" s="449" t="s">
        <v>3211</v>
      </c>
      <c r="D42" s="449"/>
      <c r="E42" s="449"/>
      <c r="F42" s="473">
        <f>'Part VI-Revenues &amp; Expenses'!$M$74</f>
        <v>100</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3188</v>
      </c>
      <c r="D48" s="833"/>
      <c r="I48" s="900" t="s">
        <v>1993</v>
      </c>
      <c r="J48" s="462" t="s">
        <v>3004</v>
      </c>
      <c r="K48" s="475" t="s">
        <v>3218</v>
      </c>
      <c r="M48" s="833"/>
      <c r="N48" s="833"/>
      <c r="O48" s="833"/>
      <c r="P48" s="839"/>
      <c r="Q48" s="839"/>
      <c r="R48" s="839"/>
      <c r="S48" s="833"/>
    </row>
    <row r="49" spans="1:16" s="449" customFormat="1" ht="13.15" customHeight="1">
      <c r="A49" s="846"/>
      <c r="B49" s="829"/>
      <c r="C49" s="459" t="s">
        <v>3189</v>
      </c>
      <c r="D49" s="833"/>
      <c r="E49" s="833"/>
      <c r="H49" s="476">
        <f>SUM(H50:H51)</f>
        <v>84</v>
      </c>
      <c r="I49" s="901"/>
      <c r="J49" s="846"/>
      <c r="K49" s="459" t="s">
        <v>3219</v>
      </c>
      <c r="M49" s="833"/>
      <c r="N49" s="833"/>
      <c r="O49" s="833"/>
      <c r="P49" s="476">
        <f>'Part VI-Revenues &amp; Expenses'!$M$96</f>
        <v>65290</v>
      </c>
    </row>
    <row r="50" spans="1:16" s="449" customFormat="1" ht="13.15" customHeight="1">
      <c r="A50" s="846"/>
      <c r="B50" s="472"/>
      <c r="D50" s="477" t="s">
        <v>459</v>
      </c>
      <c r="E50" s="477"/>
      <c r="H50" s="476">
        <f>'Part VI-Revenues &amp; Expenses'!$M$57</f>
        <v>25</v>
      </c>
      <c r="I50" s="476">
        <f>'Part VI-Revenues &amp; Expenses'!$M$65</f>
        <v>0</v>
      </c>
      <c r="K50" s="459" t="s">
        <v>306</v>
      </c>
      <c r="M50" s="833"/>
      <c r="N50" s="833"/>
      <c r="O50" s="833"/>
      <c r="P50" s="476">
        <f>'Part VI-Revenues &amp; Expenses'!$M$97</f>
        <v>15310</v>
      </c>
    </row>
    <row r="51" spans="1:16" s="449" customFormat="1" ht="13.15" customHeight="1">
      <c r="A51" s="846"/>
      <c r="D51" s="477" t="s">
        <v>2686</v>
      </c>
      <c r="E51" s="477"/>
      <c r="H51" s="476">
        <f>'Part VI-Revenues &amp; Expenses'!$M$56</f>
        <v>59</v>
      </c>
      <c r="I51" s="476">
        <f>'Part VI-Revenues &amp; Expenses'!$M$64</f>
        <v>0</v>
      </c>
      <c r="K51" s="459" t="s">
        <v>3220</v>
      </c>
      <c r="M51" s="833"/>
      <c r="N51" s="833"/>
      <c r="O51" s="833"/>
      <c r="P51" s="476">
        <f>+P49+P50</f>
        <v>80600</v>
      </c>
    </row>
    <row r="52" spans="1:16" s="449" customFormat="1" ht="13.15" customHeight="1">
      <c r="A52" s="846"/>
      <c r="C52" s="459" t="s">
        <v>307</v>
      </c>
      <c r="D52" s="833"/>
      <c r="E52" s="833"/>
      <c r="H52" s="476">
        <f>'Part VI-Revenues &amp; Expenses'!$M$59</f>
        <v>16</v>
      </c>
      <c r="J52" s="846"/>
      <c r="K52" s="459" t="s">
        <v>1996</v>
      </c>
      <c r="M52" s="833"/>
      <c r="N52" s="833"/>
      <c r="O52" s="833"/>
      <c r="P52" s="476">
        <f>'Part VI-Revenues &amp; Expenses'!$M$99</f>
        <v>0</v>
      </c>
    </row>
    <row r="53" spans="1:16" s="449" customFormat="1" ht="13.15" customHeight="1">
      <c r="A53" s="846"/>
      <c r="C53" s="459" t="s">
        <v>3387</v>
      </c>
      <c r="D53" s="833"/>
      <c r="E53" s="833"/>
      <c r="H53" s="476">
        <f>+H49+H52</f>
        <v>100</v>
      </c>
      <c r="J53" s="846"/>
      <c r="K53" s="459" t="s">
        <v>1995</v>
      </c>
      <c r="M53" s="833"/>
      <c r="N53" s="833"/>
      <c r="O53" s="833"/>
      <c r="P53" s="476">
        <f>+P51+P52</f>
        <v>80600</v>
      </c>
    </row>
    <row r="54" spans="1:16" s="449" customFormat="1" ht="13.15" customHeight="1">
      <c r="A54" s="846"/>
      <c r="C54" s="459" t="s">
        <v>3388</v>
      </c>
      <c r="D54" s="833"/>
      <c r="E54" s="833"/>
      <c r="H54" s="476">
        <f>'Part VI-Revenues &amp; Expenses'!$M$61</f>
        <v>0</v>
      </c>
      <c r="J54" s="846"/>
    </row>
    <row r="55" spans="1:16" s="449" customFormat="1" ht="13.15" customHeight="1">
      <c r="A55" s="846"/>
      <c r="C55" s="459" t="s">
        <v>2649</v>
      </c>
      <c r="D55" s="833"/>
      <c r="E55" s="833"/>
      <c r="H55" s="476">
        <f>+H53+H54</f>
        <v>100</v>
      </c>
      <c r="J55" s="833"/>
    </row>
    <row r="56" spans="1:16" s="449" customFormat="1" ht="3" customHeight="1">
      <c r="A56" s="846"/>
      <c r="I56" s="839"/>
      <c r="L56" s="839"/>
      <c r="M56" s="839"/>
      <c r="N56" s="833"/>
      <c r="P56" s="460"/>
    </row>
    <row r="57" spans="1:16" s="449" customFormat="1" ht="13.15" customHeight="1">
      <c r="A57" s="846"/>
      <c r="B57" s="846" t="s">
        <v>2588</v>
      </c>
      <c r="C57" s="461" t="s">
        <v>3213</v>
      </c>
      <c r="D57" s="477" t="s">
        <v>2876</v>
      </c>
      <c r="G57" s="833"/>
      <c r="H57" s="1333">
        <v>1</v>
      </c>
      <c r="K57" s="459" t="s">
        <v>1641</v>
      </c>
      <c r="O57" s="833"/>
      <c r="P57" s="1333">
        <f>24000</f>
        <v>24000</v>
      </c>
    </row>
    <row r="58" spans="1:16" s="449" customFormat="1" ht="13.15" customHeight="1">
      <c r="A58" s="846"/>
      <c r="B58" s="846"/>
      <c r="D58" s="829" t="s">
        <v>2877</v>
      </c>
      <c r="H58" s="1333"/>
      <c r="I58" s="833"/>
      <c r="K58" s="459" t="s">
        <v>305</v>
      </c>
      <c r="O58" s="833"/>
      <c r="P58" s="476">
        <f>+P53+P57</f>
        <v>104600</v>
      </c>
    </row>
    <row r="59" spans="1:16" s="449" customFormat="1" ht="13.15" customHeight="1">
      <c r="A59" s="846"/>
      <c r="B59" s="846"/>
      <c r="D59" s="829" t="s">
        <v>2878</v>
      </c>
      <c r="H59" s="476">
        <f>+H57+H58</f>
        <v>1</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v>128</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6"/>
      <c r="D64" s="826"/>
      <c r="E64" s="826"/>
      <c r="F64" s="833"/>
      <c r="G64" s="839"/>
      <c r="K64" s="833"/>
      <c r="P64" s="460"/>
    </row>
    <row r="65" spans="1:16" s="449" customFormat="1" ht="13.15" customHeight="1">
      <c r="A65" s="846"/>
      <c r="B65" s="846" t="s">
        <v>2862</v>
      </c>
      <c r="C65" s="394" t="s">
        <v>3963</v>
      </c>
      <c r="D65" s="826"/>
      <c r="E65" s="826"/>
      <c r="F65" s="833"/>
      <c r="G65" s="839"/>
      <c r="H65" s="1334" t="s">
        <v>3983</v>
      </c>
      <c r="I65" s="1335"/>
      <c r="K65" s="887" t="s">
        <v>2627</v>
      </c>
      <c r="L65" s="887"/>
      <c r="N65" s="1292"/>
      <c r="O65" s="1293"/>
      <c r="P65" s="1294"/>
    </row>
    <row r="66" spans="1:16" s="449" customFormat="1" ht="3" customHeight="1">
      <c r="A66" s="846"/>
      <c r="B66" s="846"/>
      <c r="D66" s="829"/>
      <c r="E66" s="829"/>
      <c r="F66" s="829"/>
      <c r="G66" s="829"/>
      <c r="I66" s="839"/>
      <c r="K66" s="828"/>
      <c r="L66" s="828"/>
      <c r="M66" s="839"/>
      <c r="N66" s="833"/>
      <c r="P66" s="460"/>
    </row>
    <row r="67" spans="1:16" s="449" customFormat="1" ht="13.15" customHeight="1">
      <c r="A67" s="846"/>
      <c r="B67" s="846" t="s">
        <v>2865</v>
      </c>
      <c r="C67" s="461" t="s">
        <v>1985</v>
      </c>
      <c r="D67" s="833"/>
      <c r="E67" s="477"/>
      <c r="G67" s="479" t="s">
        <v>1282</v>
      </c>
      <c r="H67" s="1333">
        <v>5</v>
      </c>
      <c r="K67" s="887" t="s">
        <v>755</v>
      </c>
      <c r="L67" s="887"/>
      <c r="P67" s="480">
        <f>IF('Part VI-Revenues &amp; Expenses'!$M$62=0,0,$H67/'Part VI-Revenues &amp; Expenses'!$M$62)</f>
        <v>0.05</v>
      </c>
    </row>
    <row r="68" spans="1:16" s="449" customFormat="1" ht="3" customHeight="1">
      <c r="A68" s="846"/>
      <c r="B68" s="846"/>
      <c r="D68" s="829"/>
      <c r="E68" s="829"/>
      <c r="F68" s="829"/>
      <c r="G68" s="829"/>
      <c r="I68" s="839"/>
      <c r="K68" s="828"/>
      <c r="L68" s="828"/>
      <c r="M68" s="839"/>
      <c r="P68" s="839"/>
    </row>
    <row r="69" spans="1:16" s="449" customFormat="1" ht="13.15" customHeight="1">
      <c r="A69" s="846"/>
      <c r="B69" s="846" t="s">
        <v>1145</v>
      </c>
      <c r="C69" s="461" t="s">
        <v>2711</v>
      </c>
      <c r="D69" s="477"/>
      <c r="E69" s="477"/>
      <c r="G69" s="479" t="s">
        <v>1282</v>
      </c>
      <c r="H69" s="1333">
        <v>2</v>
      </c>
      <c r="K69" s="887" t="s">
        <v>755</v>
      </c>
      <c r="L69" s="887"/>
      <c r="P69" s="480">
        <f>IF('Part VI-Revenues &amp; Expenses'!$M$62=0,0,$H69/'Part VI-Revenues &amp; Expenses'!$M$62)</f>
        <v>0.02</v>
      </c>
    </row>
    <row r="70" spans="1:16" s="449" customFormat="1" ht="3" customHeight="1">
      <c r="A70" s="846"/>
      <c r="B70" s="846"/>
      <c r="D70" s="829"/>
      <c r="E70" s="829"/>
      <c r="F70" s="829"/>
      <c r="G70" s="829"/>
      <c r="I70" s="839"/>
      <c r="K70" s="828"/>
      <c r="L70" s="828"/>
      <c r="M70" s="839"/>
      <c r="P70" s="839"/>
    </row>
    <row r="71" spans="1:16" s="449" customFormat="1" ht="13.15" customHeight="1">
      <c r="A71" s="846"/>
      <c r="B71" s="846" t="s">
        <v>3004</v>
      </c>
      <c r="C71" s="461" t="s">
        <v>1847</v>
      </c>
      <c r="D71" s="477"/>
      <c r="E71" s="477"/>
      <c r="G71" s="479" t="s">
        <v>1848</v>
      </c>
      <c r="H71" s="1333"/>
      <c r="K71" s="887" t="s">
        <v>755</v>
      </c>
      <c r="L71" s="887"/>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6" t="s">
        <v>3348</v>
      </c>
      <c r="D73" s="829"/>
      <c r="E73" s="829"/>
      <c r="F73" s="829"/>
      <c r="G73" s="829"/>
      <c r="H73" s="829"/>
      <c r="I73" s="839"/>
      <c r="M73" s="839"/>
      <c r="N73" s="833"/>
      <c r="P73" s="460"/>
    </row>
    <row r="74" spans="1:16" s="449" customFormat="1" ht="3" customHeight="1">
      <c r="A74" s="846"/>
      <c r="B74" s="846"/>
      <c r="C74" s="826"/>
      <c r="D74" s="829"/>
      <c r="E74" s="829"/>
      <c r="F74" s="829"/>
      <c r="L74" s="839"/>
      <c r="M74" s="839"/>
      <c r="N74" s="833"/>
      <c r="P74" s="460"/>
    </row>
    <row r="75" spans="1:16" s="449" customFormat="1" ht="13.15" customHeight="1">
      <c r="A75" s="846"/>
      <c r="B75" s="846" t="s">
        <v>2862</v>
      </c>
      <c r="C75" s="394" t="s">
        <v>3347</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1306" t="s">
        <v>3984</v>
      </c>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6"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3984</v>
      </c>
      <c r="F81" s="477" t="s">
        <v>3637</v>
      </c>
      <c r="H81" s="1306" t="s">
        <v>3984</v>
      </c>
      <c r="I81" s="828" t="s">
        <v>3636</v>
      </c>
      <c r="K81" s="1306" t="s">
        <v>3984</v>
      </c>
      <c r="L81" s="449" t="s">
        <v>339</v>
      </c>
    </row>
    <row r="82" spans="1:16" s="449" customFormat="1" ht="13.15" customHeight="1">
      <c r="A82" s="846"/>
      <c r="B82" s="846"/>
      <c r="D82" s="470"/>
      <c r="E82" s="1306" t="s">
        <v>3984</v>
      </c>
      <c r="F82" s="828" t="s">
        <v>611</v>
      </c>
      <c r="H82" s="1306" t="s">
        <v>3984</v>
      </c>
      <c r="I82" s="829" t="s">
        <v>3024</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9"/>
      <c r="P86" s="1340"/>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41"/>
      <c r="G88" s="1342"/>
      <c r="H88" s="830" t="s">
        <v>2655</v>
      </c>
      <c r="I88" s="1306"/>
      <c r="J88" s="483" t="s">
        <v>3136</v>
      </c>
      <c r="K88" s="1303"/>
      <c r="L88" s="1342"/>
      <c r="M88" s="416"/>
      <c r="N88" s="416"/>
      <c r="O88" s="416"/>
      <c r="P88" s="416"/>
    </row>
    <row r="89" spans="1:16" s="449" customFormat="1" ht="13.15" customHeight="1">
      <c r="C89" s="449" t="s">
        <v>3087</v>
      </c>
      <c r="E89" s="1292"/>
      <c r="F89" s="1341"/>
      <c r="G89" s="1342"/>
      <c r="H89" s="839" t="s">
        <v>2859</v>
      </c>
      <c r="I89" s="1292"/>
      <c r="J89" s="1341"/>
      <c r="K89" s="1342"/>
      <c r="L89" s="844" t="s">
        <v>2863</v>
      </c>
      <c r="M89" s="1292"/>
      <c r="N89" s="1341"/>
      <c r="O89" s="1341"/>
      <c r="P89" s="1342"/>
    </row>
    <row r="90" spans="1:16" s="449" customFormat="1" ht="13.15" customHeight="1">
      <c r="C90" s="455" t="s">
        <v>3086</v>
      </c>
      <c r="E90" s="1300"/>
      <c r="F90" s="1305"/>
      <c r="G90" s="1301"/>
      <c r="H90" s="839" t="s">
        <v>2658</v>
      </c>
      <c r="I90" s="1329"/>
      <c r="J90" s="1342"/>
      <c r="K90" s="483" t="s">
        <v>2659</v>
      </c>
      <c r="L90" s="1329"/>
      <c r="M90" s="1342"/>
      <c r="N90" s="483" t="s">
        <v>2858</v>
      </c>
      <c r="O90" s="1329"/>
      <c r="P90" s="1342"/>
    </row>
    <row r="91" spans="1:16" s="449" customFormat="1" ht="3" customHeight="1">
      <c r="A91" s="846"/>
      <c r="B91" s="846"/>
      <c r="G91" s="470"/>
      <c r="H91" s="839"/>
      <c r="I91" s="839"/>
      <c r="M91" s="460"/>
    </row>
    <row r="92" spans="1:16" s="449" customFormat="1" ht="13.15" customHeight="1">
      <c r="A92" s="481" t="s">
        <v>435</v>
      </c>
      <c r="B92" s="846"/>
      <c r="C92" s="826" t="s">
        <v>2503</v>
      </c>
      <c r="D92" s="470"/>
      <c r="E92" s="470"/>
      <c r="F92" s="839"/>
      <c r="G92" s="839"/>
      <c r="H92" s="839"/>
      <c r="I92" s="839"/>
      <c r="J92" s="470"/>
      <c r="K92" s="839"/>
      <c r="L92" s="839"/>
      <c r="N92" s="833"/>
      <c r="O92" s="833"/>
      <c r="P92" s="460"/>
    </row>
    <row r="93" spans="1:16" s="449" customFormat="1" ht="3.6" customHeight="1">
      <c r="A93" s="481"/>
      <c r="B93" s="846"/>
      <c r="C93" s="826"/>
      <c r="D93" s="470"/>
      <c r="E93" s="470"/>
      <c r="F93" s="839"/>
      <c r="G93" s="839"/>
      <c r="H93" s="839"/>
      <c r="I93" s="839"/>
      <c r="J93" s="470"/>
      <c r="K93" s="839"/>
      <c r="L93" s="839"/>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6" t="s">
        <v>1986</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6" t="s">
        <v>493</v>
      </c>
      <c r="D98" s="829"/>
      <c r="E98" s="829"/>
      <c r="F98" s="839"/>
      <c r="G98" s="839"/>
      <c r="H98" s="1344">
        <v>1396806</v>
      </c>
      <c r="J98" s="470"/>
      <c r="K98" s="828"/>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6" t="s">
        <v>369</v>
      </c>
      <c r="D100" s="829"/>
      <c r="E100" s="829"/>
      <c r="F100" s="839"/>
      <c r="G100" s="839"/>
      <c r="H100" s="839"/>
      <c r="I100" s="839"/>
      <c r="J100" s="470"/>
      <c r="K100" s="839"/>
      <c r="L100" s="839"/>
      <c r="N100" s="833"/>
      <c r="O100" s="833"/>
    </row>
    <row r="101" spans="1:16" s="449" customFormat="1" ht="13.15" customHeight="1">
      <c r="B101" s="846"/>
      <c r="C101" s="829" t="s">
        <v>3025</v>
      </c>
      <c r="D101" s="829"/>
      <c r="F101" s="829" t="s">
        <v>1652</v>
      </c>
      <c r="G101" s="839"/>
      <c r="H101" s="839"/>
      <c r="I101" s="839"/>
      <c r="J101" s="829" t="s">
        <v>3025</v>
      </c>
      <c r="K101" s="829"/>
      <c r="M101" s="829" t="s">
        <v>1652</v>
      </c>
      <c r="N101" s="839"/>
      <c r="O101" s="839"/>
      <c r="P101" s="839"/>
    </row>
    <row r="102" spans="1:16" s="449" customFormat="1" ht="13.15" customHeight="1">
      <c r="A102" s="846"/>
      <c r="B102" s="846"/>
      <c r="C102" s="1345" t="s">
        <v>4032</v>
      </c>
      <c r="D102" s="1346"/>
      <c r="E102" s="1346"/>
      <c r="F102" s="1346" t="s">
        <v>4027</v>
      </c>
      <c r="G102" s="1346"/>
      <c r="H102" s="1346"/>
      <c r="I102" s="1347"/>
      <c r="J102" s="1345" t="s">
        <v>4099</v>
      </c>
      <c r="K102" s="1346"/>
      <c r="L102" s="1346"/>
      <c r="M102" s="1346" t="s">
        <v>4009</v>
      </c>
      <c r="N102" s="1346"/>
      <c r="O102" s="1346"/>
      <c r="P102" s="1347"/>
    </row>
    <row r="103" spans="1:16" s="449" customFormat="1" ht="13.15" customHeight="1">
      <c r="A103" s="846"/>
      <c r="B103" s="846"/>
      <c r="C103" s="1348" t="s">
        <v>4097</v>
      </c>
      <c r="D103" s="1349"/>
      <c r="E103" s="1349"/>
      <c r="F103" s="1349" t="s">
        <v>4027</v>
      </c>
      <c r="G103" s="1349"/>
      <c r="H103" s="1349"/>
      <c r="I103" s="1350"/>
      <c r="J103" s="1348" t="s">
        <v>467</v>
      </c>
      <c r="K103" s="1349"/>
      <c r="L103" s="1349"/>
      <c r="M103" s="1349" t="s">
        <v>4009</v>
      </c>
      <c r="N103" s="1349"/>
      <c r="O103" s="1349"/>
      <c r="P103" s="1350"/>
    </row>
    <row r="104" spans="1:16" s="449" customFormat="1" ht="13.15" customHeight="1">
      <c r="A104" s="846"/>
      <c r="B104" s="846"/>
      <c r="C104" s="1351" t="s">
        <v>4098</v>
      </c>
      <c r="D104" s="1352"/>
      <c r="E104" s="1352"/>
      <c r="F104" s="1352" t="s">
        <v>4027</v>
      </c>
      <c r="G104" s="1352"/>
      <c r="H104" s="1352"/>
      <c r="I104" s="1353"/>
      <c r="J104" s="1348">
        <v>10</v>
      </c>
      <c r="K104" s="1349"/>
      <c r="L104" s="1349"/>
      <c r="M104" s="1349"/>
      <c r="N104" s="1349"/>
      <c r="O104" s="1349"/>
      <c r="P104" s="1350"/>
    </row>
    <row r="105" spans="1:16" s="449" customFormat="1" ht="13.15" customHeight="1">
      <c r="A105" s="846"/>
      <c r="B105" s="846"/>
      <c r="C105" s="1351" t="s">
        <v>4032</v>
      </c>
      <c r="D105" s="1352"/>
      <c r="E105" s="1352"/>
      <c r="F105" s="1352" t="s">
        <v>4009</v>
      </c>
      <c r="G105" s="1352"/>
      <c r="H105" s="1352"/>
      <c r="I105" s="1353"/>
      <c r="J105" s="1348">
        <v>11</v>
      </c>
      <c r="K105" s="1349"/>
      <c r="L105" s="1349"/>
      <c r="M105" s="1349"/>
      <c r="N105" s="1349"/>
      <c r="O105" s="1349"/>
      <c r="P105" s="1350"/>
    </row>
    <row r="106" spans="1:16" s="449" customFormat="1" ht="13.15" customHeight="1">
      <c r="A106" s="846"/>
      <c r="B106" s="846"/>
      <c r="C106" s="1351" t="s">
        <v>3985</v>
      </c>
      <c r="D106" s="1352"/>
      <c r="E106" s="1352"/>
      <c r="F106" s="1352" t="s">
        <v>4009</v>
      </c>
      <c r="G106" s="1352"/>
      <c r="H106" s="1352"/>
      <c r="I106" s="1353"/>
      <c r="J106" s="1348">
        <v>12</v>
      </c>
      <c r="K106" s="1349"/>
      <c r="L106" s="1349"/>
      <c r="M106" s="1349"/>
      <c r="N106" s="1349"/>
      <c r="O106" s="1349"/>
      <c r="P106" s="1350"/>
    </row>
    <row r="107" spans="1:16" s="449" customFormat="1" ht="13.15" customHeight="1">
      <c r="A107" s="846"/>
      <c r="B107" s="846"/>
      <c r="C107" s="1354" t="s">
        <v>3987</v>
      </c>
      <c r="D107" s="1355"/>
      <c r="E107" s="1355"/>
      <c r="F107" s="1355" t="s">
        <v>4009</v>
      </c>
      <c r="G107" s="1355"/>
      <c r="H107" s="1355"/>
      <c r="I107" s="1356"/>
      <c r="J107" s="1348">
        <v>13</v>
      </c>
      <c r="K107" s="1349"/>
      <c r="L107" s="1349"/>
      <c r="M107" s="1349"/>
      <c r="N107" s="1349"/>
      <c r="O107" s="1349"/>
      <c r="P107" s="1350"/>
    </row>
    <row r="108" spans="1:16" s="449" customFormat="1" ht="13.15" customHeight="1">
      <c r="A108" s="846"/>
      <c r="B108" s="846"/>
      <c r="C108" s="1354"/>
      <c r="D108" s="1355"/>
      <c r="E108" s="1355"/>
      <c r="F108" s="1355"/>
      <c r="G108" s="1355"/>
      <c r="H108" s="1355"/>
      <c r="I108" s="1356"/>
      <c r="J108" s="1354">
        <v>14</v>
      </c>
      <c r="K108" s="1355"/>
      <c r="L108" s="1355"/>
      <c r="M108" s="1355"/>
      <c r="N108" s="1355"/>
      <c r="O108" s="1355"/>
      <c r="P108" s="1356"/>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888" t="s">
        <v>2718</v>
      </c>
      <c r="D110" s="888"/>
      <c r="E110" s="888"/>
      <c r="F110" s="888"/>
      <c r="G110" s="888"/>
      <c r="H110" s="888"/>
      <c r="I110" s="888"/>
      <c r="J110" s="888"/>
      <c r="K110" s="888"/>
      <c r="L110" s="888"/>
      <c r="M110" s="888"/>
      <c r="N110" s="888"/>
      <c r="O110" s="888"/>
      <c r="P110" s="888"/>
    </row>
    <row r="111" spans="1:16" s="449" customFormat="1" ht="13.15" customHeight="1">
      <c r="A111" s="846"/>
      <c r="B111" s="846"/>
      <c r="C111" s="888"/>
      <c r="D111" s="888"/>
      <c r="E111" s="888"/>
      <c r="F111" s="888"/>
      <c r="G111" s="888"/>
      <c r="H111" s="888"/>
      <c r="I111" s="888"/>
      <c r="J111" s="888"/>
      <c r="K111" s="888"/>
      <c r="L111" s="888"/>
      <c r="M111" s="888"/>
      <c r="N111" s="888"/>
      <c r="O111" s="888"/>
      <c r="P111" s="888"/>
    </row>
    <row r="112" spans="1:16" s="449" customFormat="1" ht="13.15" customHeight="1">
      <c r="B112" s="846"/>
      <c r="C112" s="829" t="s">
        <v>3025</v>
      </c>
      <c r="D112" s="829"/>
      <c r="F112" s="829" t="s">
        <v>1652</v>
      </c>
      <c r="G112" s="839"/>
      <c r="H112" s="839"/>
      <c r="I112" s="839"/>
      <c r="J112" s="829" t="s">
        <v>3025</v>
      </c>
      <c r="K112" s="829"/>
      <c r="M112" s="829" t="s">
        <v>1652</v>
      </c>
      <c r="N112" s="839"/>
      <c r="O112" s="839"/>
      <c r="P112" s="839"/>
    </row>
    <row r="113" spans="1:16" s="449" customFormat="1" ht="13.15" customHeight="1">
      <c r="A113" s="846"/>
      <c r="B113" s="846"/>
      <c r="C113" s="1345" t="s">
        <v>4100</v>
      </c>
      <c r="D113" s="1346"/>
      <c r="E113" s="1346"/>
      <c r="F113" s="1346"/>
      <c r="G113" s="1346"/>
      <c r="H113" s="1346"/>
      <c r="I113" s="1347"/>
      <c r="J113" s="1345">
        <v>8</v>
      </c>
      <c r="K113" s="1346"/>
      <c r="L113" s="1346"/>
      <c r="M113" s="1346"/>
      <c r="N113" s="1346"/>
      <c r="O113" s="1346"/>
      <c r="P113" s="1347"/>
    </row>
    <row r="114" spans="1:16" s="449" customFormat="1" ht="13.15" customHeight="1">
      <c r="A114" s="846"/>
      <c r="B114" s="846"/>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4">
        <v>7</v>
      </c>
      <c r="D119" s="1355"/>
      <c r="E119" s="1355"/>
      <c r="F119" s="1355"/>
      <c r="G119" s="1355"/>
      <c r="H119" s="1355"/>
      <c r="I119" s="1356"/>
      <c r="J119" s="1354">
        <v>14</v>
      </c>
      <c r="K119" s="1355"/>
      <c r="L119" s="1355"/>
      <c r="M119" s="1355"/>
      <c r="N119" s="1355"/>
      <c r="O119" s="1355"/>
      <c r="P119" s="1356"/>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3400</v>
      </c>
      <c r="D121" s="478"/>
      <c r="E121" s="478"/>
      <c r="F121" s="478"/>
      <c r="H121" s="1306"/>
      <c r="M121" s="839"/>
      <c r="N121" s="833"/>
      <c r="O121" s="833"/>
      <c r="P121" s="460"/>
    </row>
    <row r="122" spans="1:16" s="449" customFormat="1" ht="3" customHeight="1">
      <c r="A122" s="481"/>
      <c r="B122" s="846"/>
      <c r="C122" s="826"/>
      <c r="D122" s="826"/>
      <c r="E122" s="826"/>
      <c r="F122" s="826"/>
      <c r="G122" s="839"/>
      <c r="M122" s="839"/>
      <c r="N122" s="833"/>
      <c r="O122" s="833"/>
    </row>
    <row r="123" spans="1:16" s="449" customFormat="1" ht="13.15" customHeight="1">
      <c r="A123" s="846"/>
      <c r="B123" s="846" t="s">
        <v>2862</v>
      </c>
      <c r="C123" s="456" t="s">
        <v>2560</v>
      </c>
      <c r="H123" s="1306"/>
      <c r="M123" s="839"/>
      <c r="N123" s="833"/>
      <c r="O123" s="833"/>
      <c r="P123" s="460"/>
    </row>
    <row r="124" spans="1:16" s="449" customFormat="1" ht="13.15" customHeight="1">
      <c r="A124" s="846"/>
      <c r="B124" s="846"/>
      <c r="C124" s="829" t="s">
        <v>3402</v>
      </c>
      <c r="D124" s="829"/>
      <c r="E124" s="829"/>
      <c r="F124" s="839"/>
      <c r="H124" s="1357"/>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3403</v>
      </c>
      <c r="D126" s="829"/>
      <c r="E126" s="829"/>
      <c r="F126" s="839"/>
      <c r="H126" s="1357"/>
      <c r="K126" s="416" t="s">
        <v>3155</v>
      </c>
      <c r="O126" s="1292" t="s">
        <v>671</v>
      </c>
      <c r="P126" s="1294"/>
    </row>
    <row r="127" spans="1:16" s="449" customFormat="1" ht="13.15" customHeight="1">
      <c r="A127" s="846"/>
      <c r="B127" s="846"/>
      <c r="C127" s="829" t="s">
        <v>3401</v>
      </c>
      <c r="F127" s="839"/>
      <c r="H127" s="1343"/>
      <c r="K127" s="416" t="s">
        <v>3156</v>
      </c>
      <c r="O127" s="1292" t="s">
        <v>671</v>
      </c>
      <c r="P127" s="1294"/>
    </row>
    <row r="128" spans="1:16" s="449" customFormat="1" ht="13.15" customHeight="1">
      <c r="A128" s="846"/>
      <c r="B128" s="846"/>
      <c r="C128" s="829" t="s">
        <v>3058</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6" t="s">
        <v>3495</v>
      </c>
      <c r="D130" s="829"/>
      <c r="E130" s="829"/>
      <c r="F130" s="839"/>
      <c r="H130" s="1343"/>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6"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c r="K133" s="829" t="s">
        <v>2136</v>
      </c>
      <c r="L133" s="829"/>
      <c r="M133" s="839"/>
      <c r="N133" s="839"/>
      <c r="O133" s="1343"/>
      <c r="P133" s="460"/>
    </row>
    <row r="134" spans="1:16" s="449" customFormat="1" ht="13.15" customHeight="1">
      <c r="A134" s="846"/>
      <c r="B134" s="846"/>
      <c r="C134" s="829" t="s">
        <v>999</v>
      </c>
      <c r="D134" s="829"/>
      <c r="E134" s="829"/>
      <c r="F134" s="839"/>
      <c r="G134" s="839"/>
      <c r="H134" s="1343"/>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6"/>
      <c r="D137" s="826"/>
      <c r="E137" s="826"/>
      <c r="F137" s="826"/>
      <c r="G137" s="839"/>
      <c r="H137" s="839"/>
      <c r="I137" s="839"/>
      <c r="J137" s="470"/>
      <c r="K137" s="839"/>
      <c r="L137" s="839"/>
      <c r="N137" s="833"/>
      <c r="O137" s="833"/>
    </row>
    <row r="138" spans="1:16" s="449" customFormat="1" ht="13.15" customHeight="1">
      <c r="A138" s="846"/>
      <c r="B138" s="846" t="s">
        <v>2862</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3974</v>
      </c>
      <c r="N139" s="833"/>
      <c r="O139" s="833"/>
      <c r="P139" s="460"/>
    </row>
    <row r="140" spans="1:16" s="449" customFormat="1" ht="12.6" customHeight="1">
      <c r="A140" s="846"/>
      <c r="B140" s="846"/>
      <c r="C140" s="449" t="s">
        <v>872</v>
      </c>
      <c r="K140" s="1333">
        <v>4</v>
      </c>
      <c r="L140" s="455" t="s">
        <v>2651</v>
      </c>
      <c r="P140" s="487">
        <f>IF('Part VI-Revenues &amp; Expenses'!$M$60=0,0,$K140/'Part VI-Revenues &amp; Expenses'!$M$60)</f>
        <v>0.04</v>
      </c>
    </row>
    <row r="141" spans="1:16" s="449" customFormat="1" ht="12.6" customHeight="1">
      <c r="A141" s="846"/>
      <c r="B141" s="846"/>
      <c r="C141" s="449" t="s">
        <v>3059</v>
      </c>
      <c r="K141" s="1333">
        <v>4</v>
      </c>
      <c r="L141" s="455" t="s">
        <v>2651</v>
      </c>
      <c r="P141" s="487">
        <f>IF('Part VI-Revenues &amp; Expenses'!$M$60=0,0,$K141/'Part VI-Revenues &amp; Expenses'!$M$60)</f>
        <v>0.04</v>
      </c>
    </row>
    <row r="142" spans="1:16" s="449" customFormat="1" ht="12.6" customHeight="1">
      <c r="A142" s="846"/>
      <c r="B142" s="846"/>
      <c r="C142" s="449" t="s">
        <v>2652</v>
      </c>
      <c r="E142" s="1292" t="s">
        <v>4028</v>
      </c>
      <c r="F142" s="1293"/>
      <c r="G142" s="1293"/>
      <c r="H142" s="1293"/>
      <c r="I142" s="1293"/>
      <c r="J142" s="1293"/>
      <c r="K142" s="1294"/>
      <c r="L142" s="488" t="s">
        <v>2653</v>
      </c>
      <c r="M142" s="1292" t="s">
        <v>4030</v>
      </c>
      <c r="N142" s="1293"/>
      <c r="O142" s="1293"/>
      <c r="P142" s="1294"/>
    </row>
    <row r="143" spans="1:16" s="449" customFormat="1" ht="12.6" customHeight="1">
      <c r="A143" s="846"/>
      <c r="B143" s="846"/>
      <c r="C143" s="455" t="s">
        <v>2654</v>
      </c>
      <c r="D143" s="463"/>
      <c r="E143" s="1292" t="s">
        <v>4029</v>
      </c>
      <c r="F143" s="1293"/>
      <c r="G143" s="1293"/>
      <c r="H143" s="1293"/>
      <c r="I143" s="1293"/>
      <c r="J143" s="1293"/>
      <c r="K143" s="1358"/>
      <c r="L143" s="828" t="s">
        <v>2656</v>
      </c>
      <c r="M143" s="1307" t="s">
        <v>4031</v>
      </c>
      <c r="N143" s="1308"/>
      <c r="O143" s="1308"/>
      <c r="P143" s="1309"/>
    </row>
    <row r="144" spans="1:16" s="449" customFormat="1" ht="12.6" customHeight="1">
      <c r="A144" s="846"/>
      <c r="B144" s="846"/>
      <c r="C144" s="455" t="s">
        <v>876</v>
      </c>
      <c r="E144" s="1292" t="s">
        <v>3055</v>
      </c>
      <c r="F144" s="1293"/>
      <c r="G144" s="1293"/>
      <c r="H144" s="1294"/>
      <c r="I144" s="483" t="s">
        <v>3136</v>
      </c>
      <c r="J144" s="1303">
        <v>300756500</v>
      </c>
      <c r="K144" s="1304"/>
      <c r="L144" s="488" t="s">
        <v>2659</v>
      </c>
      <c r="M144" s="1300">
        <v>7709936226</v>
      </c>
      <c r="N144" s="1305"/>
      <c r="O144" s="1301"/>
    </row>
    <row r="145" spans="1:16" s="449" customFormat="1" ht="12.6" customHeight="1">
      <c r="A145" s="846"/>
      <c r="B145" s="846"/>
      <c r="C145" s="455" t="s">
        <v>2657</v>
      </c>
      <c r="E145" s="1300">
        <v>7709936226</v>
      </c>
      <c r="F145" s="1305"/>
      <c r="G145" s="1301"/>
      <c r="H145" s="489" t="s">
        <v>2658</v>
      </c>
      <c r="I145" s="1300"/>
      <c r="J145" s="1305"/>
      <c r="K145" s="1301"/>
      <c r="L145" s="490" t="s">
        <v>2858</v>
      </c>
      <c r="M145" s="1300">
        <v>7706850633</v>
      </c>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6" t="s">
        <v>2219</v>
      </c>
      <c r="D147" s="826"/>
      <c r="E147" s="826"/>
      <c r="F147" s="826"/>
      <c r="G147" s="826"/>
      <c r="I147" s="1343"/>
      <c r="J147" s="896" t="s">
        <v>1158</v>
      </c>
      <c r="K147" s="897"/>
      <c r="L147" s="1343"/>
      <c r="M147" s="893" t="s">
        <v>3245</v>
      </c>
      <c r="N147" s="894"/>
      <c r="O147" s="895"/>
      <c r="P147" s="1357"/>
    </row>
    <row r="148" spans="1:16" s="449" customFormat="1" ht="1.9" customHeight="1">
      <c r="A148" s="846"/>
      <c r="B148" s="846"/>
      <c r="C148" s="826"/>
      <c r="D148" s="826"/>
      <c r="E148" s="452"/>
      <c r="F148" s="826"/>
      <c r="G148" s="826"/>
      <c r="J148" s="459"/>
      <c r="K148" s="492"/>
      <c r="M148" s="833"/>
      <c r="O148" s="839"/>
      <c r="P148" s="460"/>
    </row>
    <row r="149" spans="1:16" s="449" customFormat="1" ht="12.6" customHeight="1">
      <c r="A149" s="846"/>
      <c r="B149" s="846" t="s">
        <v>1145</v>
      </c>
      <c r="C149" s="826" t="s">
        <v>2611</v>
      </c>
      <c r="D149" s="826"/>
      <c r="E149" s="826"/>
      <c r="F149" s="826"/>
      <c r="G149" s="826"/>
      <c r="H149" s="1343" t="s">
        <v>3984</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6"/>
      <c r="H151" s="1343" t="s">
        <v>3984</v>
      </c>
    </row>
    <row r="152" spans="1:16" s="449" customFormat="1" ht="12.6" customHeight="1">
      <c r="B152" s="846"/>
      <c r="C152" s="913" t="s">
        <v>2067</v>
      </c>
      <c r="D152" s="913"/>
      <c r="E152" s="826"/>
      <c r="F152" s="826"/>
      <c r="G152" s="826"/>
      <c r="H152" s="1359"/>
    </row>
    <row r="153" spans="1:16" s="449" customFormat="1" ht="12.6" customHeight="1">
      <c r="A153" s="846"/>
      <c r="B153" s="846"/>
      <c r="C153" s="887" t="s">
        <v>1283</v>
      </c>
      <c r="D153" s="887"/>
      <c r="E153" s="452"/>
      <c r="F153" s="826"/>
      <c r="G153" s="826"/>
      <c r="H153" s="1359"/>
      <c r="K153" s="459"/>
      <c r="P153" s="460"/>
    </row>
    <row r="154" spans="1:16" s="449" customFormat="1" ht="12.6" customHeight="1">
      <c r="B154" s="846"/>
      <c r="C154" s="887" t="s">
        <v>2647</v>
      </c>
      <c r="D154" s="887"/>
      <c r="E154" s="452"/>
      <c r="F154" s="826"/>
      <c r="G154" s="826"/>
      <c r="H154" s="493" t="str">
        <f>IF(H152="","",H153/H152)</f>
        <v/>
      </c>
      <c r="K154" s="459"/>
      <c r="M154" s="833"/>
      <c r="P154" s="460"/>
    </row>
    <row r="155" spans="1:16" s="449" customFormat="1" ht="1.9" customHeight="1">
      <c r="A155" s="846"/>
      <c r="B155" s="846"/>
      <c r="C155" s="826"/>
      <c r="D155" s="826"/>
      <c r="E155" s="452"/>
      <c r="F155" s="826"/>
      <c r="G155" s="826"/>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3111</v>
      </c>
      <c r="D157" s="461"/>
      <c r="E157" s="833"/>
      <c r="F157" s="833"/>
      <c r="H157" s="1343" t="s">
        <v>3984</v>
      </c>
      <c r="L157" s="833" t="s">
        <v>3905</v>
      </c>
      <c r="P157" s="1343" t="s">
        <v>3984</v>
      </c>
    </row>
    <row r="158" spans="1:16" s="449" customFormat="1" ht="12.6" customHeight="1">
      <c r="A158" s="846"/>
      <c r="B158" s="846"/>
      <c r="C158" s="833" t="s">
        <v>3113</v>
      </c>
      <c r="H158" s="1343" t="s">
        <v>3984</v>
      </c>
      <c r="L158" s="833" t="s">
        <v>2222</v>
      </c>
      <c r="P158" s="1343" t="s">
        <v>3984</v>
      </c>
    </row>
    <row r="159" spans="1:16" s="449" customFormat="1" ht="12.6" customHeight="1">
      <c r="A159" s="846"/>
      <c r="C159" s="833" t="s">
        <v>1849</v>
      </c>
      <c r="D159" s="495"/>
      <c r="H159" s="1343" t="s">
        <v>3984</v>
      </c>
      <c r="L159" s="833" t="s">
        <v>2387</v>
      </c>
      <c r="P159" s="1343" t="s">
        <v>3984</v>
      </c>
    </row>
    <row r="160" spans="1:16" s="449" customFormat="1" ht="12.6" customHeight="1">
      <c r="A160" s="846"/>
      <c r="B160" s="846"/>
      <c r="C160" s="833" t="s">
        <v>2221</v>
      </c>
      <c r="D160" s="461"/>
      <c r="E160" s="833"/>
      <c r="F160" s="833"/>
      <c r="H160" s="1343" t="s">
        <v>3974</v>
      </c>
      <c r="K160" s="461"/>
      <c r="L160" s="449" t="s">
        <v>3906</v>
      </c>
      <c r="M160" s="833"/>
      <c r="P160" s="1343" t="s">
        <v>3984</v>
      </c>
    </row>
    <row r="161" spans="1:21" s="449" customFormat="1" ht="12.6" customHeight="1">
      <c r="A161" s="846"/>
      <c r="B161" s="452"/>
      <c r="C161" s="833" t="s">
        <v>2139</v>
      </c>
      <c r="D161" s="461"/>
      <c r="H161" s="1343" t="s">
        <v>3984</v>
      </c>
      <c r="L161" s="833" t="s">
        <v>3952</v>
      </c>
      <c r="M161" s="833"/>
      <c r="P161" s="1343" t="s">
        <v>3984</v>
      </c>
    </row>
    <row r="162" spans="1:21" s="449" customFormat="1" ht="12.6" customHeight="1">
      <c r="A162" s="846"/>
      <c r="B162" s="846"/>
      <c r="C162" s="833" t="s">
        <v>2668</v>
      </c>
      <c r="D162" s="461"/>
      <c r="E162" s="833"/>
      <c r="F162" s="833"/>
      <c r="H162" s="1343" t="s">
        <v>3984</v>
      </c>
      <c r="I162" s="494" t="s">
        <v>3699</v>
      </c>
      <c r="O162" s="1360"/>
      <c r="P162" s="1361"/>
    </row>
    <row r="163" spans="1:21" s="449" customFormat="1" ht="12.6" customHeight="1">
      <c r="A163" s="846"/>
      <c r="B163" s="846"/>
      <c r="C163" s="833" t="s">
        <v>3954</v>
      </c>
      <c r="E163" s="1334"/>
      <c r="F163" s="1362"/>
      <c r="G163" s="1335"/>
      <c r="H163" s="1343"/>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c r="I166" s="1340"/>
      <c r="N166" s="833"/>
      <c r="O166" s="833"/>
      <c r="P166" s="460"/>
    </row>
    <row r="167" spans="1:21" s="449" customFormat="1" ht="12.6" customHeight="1">
      <c r="A167" s="846"/>
      <c r="B167" s="846"/>
      <c r="C167" s="455" t="s">
        <v>341</v>
      </c>
      <c r="D167" s="829"/>
      <c r="E167" s="829"/>
      <c r="F167" s="839"/>
      <c r="G167" s="839"/>
      <c r="H167" s="1339"/>
      <c r="I167" s="1340"/>
      <c r="N167" s="833"/>
      <c r="O167" s="833"/>
      <c r="P167" s="460"/>
    </row>
    <row r="168" spans="1:21" s="449" customFormat="1" ht="12.6" customHeight="1">
      <c r="A168" s="846"/>
      <c r="B168" s="846"/>
      <c r="C168" s="455" t="s">
        <v>3211</v>
      </c>
      <c r="D168" s="829"/>
      <c r="E168" s="829"/>
      <c r="F168" s="839"/>
      <c r="G168" s="839"/>
      <c r="H168" s="1339">
        <v>41943</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3161</v>
      </c>
      <c r="L170" s="481" t="s">
        <v>85</v>
      </c>
    </row>
    <row r="171" spans="1:21" ht="75.75" customHeight="1">
      <c r="A171" s="1363" t="s">
        <v>4065</v>
      </c>
      <c r="B171" s="1364"/>
      <c r="C171" s="1364"/>
      <c r="D171" s="1364"/>
      <c r="E171" s="1364"/>
      <c r="F171" s="1364"/>
      <c r="G171" s="1364"/>
      <c r="H171" s="1364"/>
      <c r="I171" s="1364"/>
      <c r="J171" s="1365"/>
      <c r="K171" s="1366"/>
      <c r="L171" s="1367"/>
      <c r="M171" s="1367"/>
      <c r="N171" s="1367"/>
      <c r="O171" s="1367"/>
      <c r="P171" s="1368"/>
      <c r="Q171" s="886" t="s">
        <v>3964</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3377</v>
      </c>
      <c r="K180" s="608"/>
      <c r="L180" s="609"/>
      <c r="M180" s="610"/>
      <c r="N180" s="610" t="s">
        <v>876</v>
      </c>
      <c r="O180" s="611" t="s">
        <v>877</v>
      </c>
      <c r="P180" s="610" t="s">
        <v>3032</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3655</v>
      </c>
      <c r="G181" s="763" t="s">
        <v>1680</v>
      </c>
      <c r="H181" s="764" t="s">
        <v>500</v>
      </c>
      <c r="I181" s="680"/>
      <c r="J181" s="613" t="s">
        <v>2123</v>
      </c>
      <c r="K181" s="614"/>
      <c r="L181" s="609"/>
      <c r="M181" s="610"/>
      <c r="N181" s="615" t="s">
        <v>3378</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3655</v>
      </c>
      <c r="G182" s="763" t="s">
        <v>1681</v>
      </c>
      <c r="H182" s="764" t="s">
        <v>500</v>
      </c>
      <c r="I182" s="680"/>
      <c r="J182" s="613" t="s">
        <v>2125</v>
      </c>
      <c r="K182" s="614"/>
      <c r="L182" s="609"/>
      <c r="M182" s="610"/>
      <c r="N182" s="615" t="s">
        <v>2124</v>
      </c>
      <c r="O182" s="615" t="s">
        <v>3489</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3655</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3656</v>
      </c>
      <c r="G184" s="763" t="s">
        <v>1683</v>
      </c>
      <c r="H184" s="764" t="s">
        <v>501</v>
      </c>
      <c r="I184" s="681"/>
      <c r="J184" s="613" t="s">
        <v>2968</v>
      </c>
      <c r="K184" s="614"/>
      <c r="L184" s="609"/>
      <c r="M184" s="610"/>
      <c r="N184" s="615" t="s">
        <v>637</v>
      </c>
      <c r="O184" s="615" t="s">
        <v>3542</v>
      </c>
      <c r="P184" s="497" t="s">
        <v>2227</v>
      </c>
      <c r="Q184" s="596"/>
      <c r="S184" s="596"/>
      <c r="T184" s="615" t="s">
        <v>2216</v>
      </c>
      <c r="U184" s="615" t="s">
        <v>3541</v>
      </c>
      <c r="V184" s="596"/>
      <c r="W184" s="596"/>
      <c r="X184" s="596"/>
      <c r="Y184" s="596"/>
      <c r="Z184" s="596"/>
      <c r="AA184" s="596"/>
    </row>
    <row r="185" spans="2:27" ht="12" customHeight="1">
      <c r="B185" s="761" t="s">
        <v>1331</v>
      </c>
      <c r="C185" s="761" t="s">
        <v>2638</v>
      </c>
      <c r="D185" s="761" t="s">
        <v>1902</v>
      </c>
      <c r="E185" s="765" t="s">
        <v>193</v>
      </c>
      <c r="F185" s="765" t="s">
        <v>3655</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3655</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3656</v>
      </c>
      <c r="G187" s="763" t="s">
        <v>3610</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3656</v>
      </c>
      <c r="G188" s="763" t="s">
        <v>3610</v>
      </c>
      <c r="H188" s="764" t="s">
        <v>501</v>
      </c>
      <c r="I188" s="681"/>
      <c r="J188" s="613" t="s">
        <v>2976</v>
      </c>
      <c r="K188" s="614"/>
      <c r="L188" s="609"/>
      <c r="M188" s="610"/>
      <c r="N188" s="615" t="s">
        <v>2975</v>
      </c>
      <c r="O188" s="615" t="s">
        <v>1884</v>
      </c>
      <c r="P188" s="497" t="s">
        <v>2231</v>
      </c>
      <c r="Q188" s="1369"/>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3655</v>
      </c>
      <c r="G189" s="763" t="s">
        <v>3611</v>
      </c>
      <c r="H189" s="764" t="s">
        <v>500</v>
      </c>
      <c r="I189" s="680"/>
      <c r="J189" s="613" t="s">
        <v>2841</v>
      </c>
      <c r="K189" s="616"/>
      <c r="L189" s="609"/>
      <c r="M189" s="610"/>
      <c r="N189" s="615" t="s">
        <v>2637</v>
      </c>
      <c r="O189" s="615" t="s">
        <v>1450</v>
      </c>
      <c r="P189" s="497" t="s">
        <v>2232</v>
      </c>
      <c r="Q189" s="1369"/>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3655</v>
      </c>
      <c r="G190" s="763" t="s">
        <v>3612</v>
      </c>
      <c r="H190" s="764" t="s">
        <v>500</v>
      </c>
      <c r="I190" s="680"/>
      <c r="J190" s="613" t="s">
        <v>218</v>
      </c>
      <c r="K190" s="616"/>
      <c r="L190" s="497"/>
      <c r="M190" s="610"/>
      <c r="N190" s="615" t="s">
        <v>2842</v>
      </c>
      <c r="O190" s="615" t="s">
        <v>595</v>
      </c>
      <c r="P190" s="497" t="s">
        <v>2233</v>
      </c>
      <c r="Q190" s="1369"/>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3656</v>
      </c>
      <c r="G191" s="763" t="s">
        <v>3613</v>
      </c>
      <c r="H191" s="764" t="s">
        <v>501</v>
      </c>
      <c r="I191" s="681"/>
      <c r="J191" s="613" t="s">
        <v>220</v>
      </c>
      <c r="K191" s="616"/>
      <c r="L191" s="609"/>
      <c r="M191" s="610"/>
      <c r="N191" s="615" t="s">
        <v>219</v>
      </c>
      <c r="O191" s="615" t="s">
        <v>2041</v>
      </c>
      <c r="P191" s="497" t="s">
        <v>2234</v>
      </c>
      <c r="Q191" s="1369"/>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3655</v>
      </c>
      <c r="G192" s="763" t="s">
        <v>3614</v>
      </c>
      <c r="H192" s="764" t="s">
        <v>500</v>
      </c>
      <c r="I192" s="681"/>
      <c r="J192" s="613" t="s">
        <v>617</v>
      </c>
      <c r="K192" s="614"/>
      <c r="L192" s="609"/>
      <c r="M192" s="610"/>
      <c r="N192" s="615" t="s">
        <v>221</v>
      </c>
      <c r="O192" s="615" t="s">
        <v>3374</v>
      </c>
      <c r="P192" s="497" t="s">
        <v>2235</v>
      </c>
      <c r="Q192" s="1369"/>
      <c r="S192" s="596"/>
      <c r="T192" s="596"/>
      <c r="U192" s="596"/>
      <c r="V192" s="596"/>
      <c r="W192" s="596"/>
      <c r="X192" s="596"/>
      <c r="Y192" s="596"/>
      <c r="Z192" s="596"/>
      <c r="AA192" s="596"/>
    </row>
    <row r="193" spans="2:27" ht="12" customHeight="1">
      <c r="B193" s="761" t="s">
        <v>1339</v>
      </c>
      <c r="C193" s="761" t="s">
        <v>1890</v>
      </c>
      <c r="D193" s="761" t="s">
        <v>1749</v>
      </c>
      <c r="E193" s="762" t="s">
        <v>12</v>
      </c>
      <c r="F193" s="762" t="s">
        <v>3656</v>
      </c>
      <c r="G193" s="763" t="s">
        <v>3615</v>
      </c>
      <c r="H193" s="764" t="s">
        <v>501</v>
      </c>
      <c r="I193" s="680"/>
      <c r="J193" s="613" t="s">
        <v>619</v>
      </c>
      <c r="K193" s="614"/>
      <c r="L193" s="609"/>
      <c r="M193" s="610"/>
      <c r="N193" s="615" t="s">
        <v>618</v>
      </c>
      <c r="O193" s="615" t="s">
        <v>2634</v>
      </c>
      <c r="P193" s="497" t="s">
        <v>2236</v>
      </c>
      <c r="Q193" s="1369"/>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3656</v>
      </c>
      <c r="G194" s="763" t="s">
        <v>3616</v>
      </c>
      <c r="H194" s="764" t="s">
        <v>501</v>
      </c>
      <c r="I194" s="680"/>
      <c r="J194" s="613" t="s">
        <v>621</v>
      </c>
      <c r="K194" s="614"/>
      <c r="L194" s="609"/>
      <c r="M194" s="610"/>
      <c r="N194" s="615" t="s">
        <v>620</v>
      </c>
      <c r="O194" s="615" t="s">
        <v>1744</v>
      </c>
      <c r="P194" s="497" t="s">
        <v>2237</v>
      </c>
      <c r="Q194" s="1369"/>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3656</v>
      </c>
      <c r="G195" s="763" t="s">
        <v>2048</v>
      </c>
      <c r="H195" s="764" t="s">
        <v>501</v>
      </c>
      <c r="I195" s="681"/>
      <c r="J195" s="613" t="s">
        <v>623</v>
      </c>
      <c r="K195" s="614"/>
      <c r="L195" s="609"/>
      <c r="M195" s="610"/>
      <c r="N195" s="615" t="s">
        <v>622</v>
      </c>
      <c r="O195" s="615" t="s">
        <v>222</v>
      </c>
      <c r="P195" s="497" t="s">
        <v>2238</v>
      </c>
      <c r="Q195" s="1369"/>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3655</v>
      </c>
      <c r="G196" s="763" t="s">
        <v>3634</v>
      </c>
      <c r="H196" s="764" t="s">
        <v>500</v>
      </c>
      <c r="I196" s="681"/>
      <c r="J196" s="613" t="s">
        <v>3173</v>
      </c>
      <c r="K196" s="614"/>
      <c r="L196" s="609"/>
      <c r="M196" s="610"/>
      <c r="N196" s="615" t="s">
        <v>624</v>
      </c>
      <c r="O196" s="615" t="s">
        <v>131</v>
      </c>
      <c r="P196" s="497" t="s">
        <v>2239</v>
      </c>
      <c r="Q196" s="1369"/>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3656</v>
      </c>
      <c r="G197" s="763" t="s">
        <v>3635</v>
      </c>
      <c r="H197" s="764" t="s">
        <v>501</v>
      </c>
      <c r="I197" s="681"/>
      <c r="J197" s="613" t="s">
        <v>3175</v>
      </c>
      <c r="K197" s="614"/>
      <c r="L197" s="609"/>
      <c r="M197" s="610"/>
      <c r="N197" s="615" t="s">
        <v>3174</v>
      </c>
      <c r="O197" s="615" t="s">
        <v>3490</v>
      </c>
      <c r="P197" s="497" t="s">
        <v>2240</v>
      </c>
      <c r="Q197" s="1369"/>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3656</v>
      </c>
      <c r="G198" s="763" t="s">
        <v>1812</v>
      </c>
      <c r="H198" s="764" t="s">
        <v>501</v>
      </c>
      <c r="I198" s="681"/>
      <c r="J198" s="613" t="s">
        <v>442</v>
      </c>
      <c r="K198" s="614"/>
      <c r="L198" s="609"/>
      <c r="M198" s="610"/>
      <c r="N198" s="615" t="s">
        <v>2719</v>
      </c>
      <c r="O198" s="615" t="s">
        <v>3070</v>
      </c>
      <c r="P198" s="497" t="s">
        <v>2241</v>
      </c>
      <c r="Q198" s="1369"/>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3655</v>
      </c>
      <c r="G199" s="763" t="s">
        <v>1813</v>
      </c>
      <c r="H199" s="764" t="s">
        <v>500</v>
      </c>
      <c r="I199" s="680"/>
      <c r="J199" s="613" t="s">
        <v>444</v>
      </c>
      <c r="K199" s="614"/>
      <c r="L199" s="609"/>
      <c r="M199" s="610"/>
      <c r="N199" s="615" t="s">
        <v>443</v>
      </c>
      <c r="O199" s="615" t="s">
        <v>3070</v>
      </c>
      <c r="P199" s="497" t="s">
        <v>2242</v>
      </c>
      <c r="Q199" s="1369"/>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3655</v>
      </c>
      <c r="G200" s="763" t="s">
        <v>1814</v>
      </c>
      <c r="H200" s="764" t="s">
        <v>500</v>
      </c>
      <c r="I200" s="681"/>
      <c r="J200" s="613" t="s">
        <v>3568</v>
      </c>
      <c r="K200" s="614"/>
      <c r="L200" s="609"/>
      <c r="M200" s="610"/>
      <c r="N200" s="615" t="s">
        <v>3569</v>
      </c>
      <c r="O200" s="615" t="s">
        <v>3546</v>
      </c>
      <c r="P200" s="497" t="s">
        <v>2243</v>
      </c>
      <c r="Q200" s="1369"/>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3655</v>
      </c>
      <c r="G201" s="763" t="s">
        <v>2558</v>
      </c>
      <c r="H201" s="764" t="s">
        <v>500</v>
      </c>
      <c r="I201" s="680"/>
      <c r="J201" s="613" t="s">
        <v>3570</v>
      </c>
      <c r="K201" s="614"/>
      <c r="L201" s="609"/>
      <c r="M201" s="610"/>
      <c r="N201" s="615" t="s">
        <v>3571</v>
      </c>
      <c r="O201" s="615" t="s">
        <v>1610</v>
      </c>
      <c r="P201" s="497" t="s">
        <v>2244</v>
      </c>
      <c r="Q201" s="1369"/>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3656</v>
      </c>
      <c r="G202" s="763" t="s">
        <v>3610</v>
      </c>
      <c r="H202" s="764" t="s">
        <v>501</v>
      </c>
      <c r="I202" s="681"/>
      <c r="J202" s="613" t="s">
        <v>3572</v>
      </c>
      <c r="K202" s="614"/>
      <c r="L202" s="609"/>
      <c r="M202" s="610"/>
      <c r="N202" s="615" t="s">
        <v>3573</v>
      </c>
      <c r="O202" s="615" t="s">
        <v>392</v>
      </c>
      <c r="P202" s="497" t="s">
        <v>2245</v>
      </c>
      <c r="Q202" s="1369"/>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3656</v>
      </c>
      <c r="G203" s="763" t="s">
        <v>2527</v>
      </c>
      <c r="H203" s="764" t="s">
        <v>501</v>
      </c>
      <c r="I203" s="681"/>
      <c r="J203" s="613" t="s">
        <v>3574</v>
      </c>
      <c r="K203" s="614"/>
      <c r="L203" s="609"/>
      <c r="M203" s="610"/>
      <c r="N203" s="615" t="s">
        <v>3575</v>
      </c>
      <c r="O203" s="615" t="s">
        <v>3487</v>
      </c>
      <c r="P203" s="497" t="s">
        <v>2246</v>
      </c>
      <c r="Q203" s="1369"/>
      <c r="S203" s="596"/>
      <c r="T203" s="596"/>
      <c r="U203" s="596"/>
      <c r="V203" s="596"/>
      <c r="W203" s="596"/>
      <c r="X203" s="596"/>
      <c r="Y203" s="596"/>
      <c r="Z203" s="596"/>
      <c r="AA203" s="596"/>
    </row>
    <row r="204" spans="2:27" ht="12" customHeight="1">
      <c r="B204" s="761" t="s">
        <v>1350</v>
      </c>
      <c r="C204" s="761" t="s">
        <v>194</v>
      </c>
      <c r="D204" s="761" t="s">
        <v>1749</v>
      </c>
      <c r="E204" s="762" t="s">
        <v>195</v>
      </c>
      <c r="F204" s="762" t="s">
        <v>3655</v>
      </c>
      <c r="G204" s="763" t="s">
        <v>2528</v>
      </c>
      <c r="H204" s="764" t="s">
        <v>500</v>
      </c>
      <c r="I204" s="680"/>
      <c r="J204" s="613" t="s">
        <v>3576</v>
      </c>
      <c r="K204" s="614"/>
      <c r="L204" s="609"/>
      <c r="M204" s="610"/>
      <c r="N204" s="615" t="s">
        <v>3577</v>
      </c>
      <c r="O204" s="615" t="s">
        <v>1899</v>
      </c>
      <c r="P204" s="497" t="s">
        <v>2247</v>
      </c>
      <c r="Q204" s="1369"/>
      <c r="S204" s="596"/>
      <c r="T204" s="596"/>
      <c r="U204" s="596"/>
      <c r="V204" s="596"/>
      <c r="W204" s="596"/>
      <c r="X204" s="596"/>
      <c r="Y204" s="596"/>
      <c r="Z204" s="596"/>
      <c r="AA204" s="596"/>
    </row>
    <row r="205" spans="2:27" ht="12" customHeight="1">
      <c r="B205" s="761" t="s">
        <v>1351</v>
      </c>
      <c r="C205" s="761" t="s">
        <v>196</v>
      </c>
      <c r="D205" s="761" t="s">
        <v>1749</v>
      </c>
      <c r="E205" s="765" t="s">
        <v>1893</v>
      </c>
      <c r="F205" s="765" t="s">
        <v>3656</v>
      </c>
      <c r="G205" s="763" t="s">
        <v>2048</v>
      </c>
      <c r="H205" s="764" t="s">
        <v>501</v>
      </c>
      <c r="I205" s="681"/>
      <c r="J205" s="613" t="s">
        <v>3578</v>
      </c>
      <c r="K205" s="614"/>
      <c r="L205" s="609"/>
      <c r="M205" s="610"/>
      <c r="N205" s="615" t="s">
        <v>3580</v>
      </c>
      <c r="O205" s="615" t="s">
        <v>3627</v>
      </c>
      <c r="P205" s="497" t="s">
        <v>2248</v>
      </c>
      <c r="Q205" s="1369"/>
      <c r="S205" s="596"/>
      <c r="T205" s="596"/>
      <c r="U205" s="596"/>
      <c r="V205" s="596"/>
      <c r="W205" s="596"/>
      <c r="X205" s="596"/>
      <c r="Y205" s="596"/>
      <c r="Z205" s="596"/>
      <c r="AA205" s="596"/>
    </row>
    <row r="206" spans="2:27" ht="12" customHeight="1">
      <c r="B206" s="761" t="s">
        <v>1909</v>
      </c>
      <c r="C206" s="761" t="s">
        <v>197</v>
      </c>
      <c r="D206" s="761" t="s">
        <v>1902</v>
      </c>
      <c r="E206" s="765" t="s">
        <v>198</v>
      </c>
      <c r="F206" s="765" t="s">
        <v>3656</v>
      </c>
      <c r="G206" s="763" t="s">
        <v>2529</v>
      </c>
      <c r="H206" s="764" t="s">
        <v>501</v>
      </c>
      <c r="I206" s="681"/>
      <c r="J206" s="613" t="s">
        <v>3579</v>
      </c>
      <c r="K206" s="614"/>
      <c r="L206" s="609"/>
      <c r="M206" s="610"/>
      <c r="N206" s="615" t="s">
        <v>3582</v>
      </c>
      <c r="O206" s="615" t="s">
        <v>2794</v>
      </c>
      <c r="P206" s="497" t="s">
        <v>2249</v>
      </c>
      <c r="Q206" s="1369"/>
      <c r="S206" s="596"/>
      <c r="T206" s="596"/>
      <c r="U206" s="596"/>
      <c r="V206" s="596"/>
      <c r="W206" s="596"/>
      <c r="X206" s="596"/>
      <c r="Y206" s="596"/>
      <c r="Z206" s="596"/>
      <c r="AA206" s="596"/>
    </row>
    <row r="207" spans="2:27" ht="12" customHeight="1">
      <c r="B207" s="761" t="s">
        <v>1910</v>
      </c>
      <c r="C207" s="761" t="s">
        <v>199</v>
      </c>
      <c r="D207" s="761" t="s">
        <v>1878</v>
      </c>
      <c r="E207" s="762" t="s">
        <v>200</v>
      </c>
      <c r="F207" s="762" t="s">
        <v>3655</v>
      </c>
      <c r="G207" s="763" t="s">
        <v>2530</v>
      </c>
      <c r="H207" s="764" t="s">
        <v>500</v>
      </c>
      <c r="I207" s="680"/>
      <c r="J207" s="613" t="s">
        <v>3581</v>
      </c>
      <c r="K207" s="614"/>
      <c r="L207" s="609"/>
      <c r="M207" s="610"/>
      <c r="N207" s="615" t="s">
        <v>203</v>
      </c>
      <c r="O207" s="615" t="s">
        <v>202</v>
      </c>
      <c r="P207" s="1370"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3656</v>
      </c>
      <c r="G208" s="763" t="s">
        <v>3610</v>
      </c>
      <c r="H208" s="764" t="s">
        <v>501</v>
      </c>
      <c r="I208" s="681"/>
      <c r="J208" s="613" t="s">
        <v>494</v>
      </c>
      <c r="K208" s="614"/>
      <c r="L208" s="609"/>
      <c r="M208" s="610"/>
      <c r="N208" s="615" t="s">
        <v>1743</v>
      </c>
      <c r="O208" s="615" t="s">
        <v>1744</v>
      </c>
      <c r="P208" s="497" t="s">
        <v>2250</v>
      </c>
      <c r="Q208" s="1369"/>
      <c r="S208" s="596"/>
      <c r="T208" s="596"/>
      <c r="U208" s="596"/>
      <c r="V208" s="596"/>
      <c r="W208" s="596"/>
      <c r="X208" s="596"/>
      <c r="Y208" s="596"/>
      <c r="Z208" s="596"/>
      <c r="AA208" s="596"/>
    </row>
    <row r="209" spans="2:27" ht="12" customHeight="1">
      <c r="B209" s="761" t="s">
        <v>1912</v>
      </c>
      <c r="C209" s="761" t="s">
        <v>202</v>
      </c>
      <c r="D209" s="761" t="s">
        <v>1902</v>
      </c>
      <c r="E209" s="762" t="s">
        <v>2928</v>
      </c>
      <c r="F209" s="762" t="s">
        <v>3656</v>
      </c>
      <c r="G209" s="763" t="s">
        <v>879</v>
      </c>
      <c r="H209" s="764" t="s">
        <v>501</v>
      </c>
      <c r="I209" s="680"/>
      <c r="J209" s="613" t="s">
        <v>495</v>
      </c>
      <c r="K209" s="614"/>
      <c r="L209" s="497"/>
      <c r="M209" s="610"/>
      <c r="N209" s="615" t="s">
        <v>1262</v>
      </c>
      <c r="O209" s="615" t="s">
        <v>235</v>
      </c>
      <c r="P209" s="497" t="s">
        <v>2251</v>
      </c>
      <c r="Q209" s="1369"/>
      <c r="S209" s="596"/>
      <c r="T209" s="596"/>
      <c r="U209" s="596"/>
      <c r="V209" s="596"/>
      <c r="W209" s="596"/>
      <c r="X209" s="596"/>
      <c r="Y209" s="596"/>
      <c r="Z209" s="596"/>
      <c r="AA209" s="596"/>
    </row>
    <row r="210" spans="2:27" ht="12" customHeight="1">
      <c r="B210" s="761" t="s">
        <v>1913</v>
      </c>
      <c r="C210" s="761" t="s">
        <v>3484</v>
      </c>
      <c r="D210" s="761" t="s">
        <v>1749</v>
      </c>
      <c r="E210" s="762" t="s">
        <v>3485</v>
      </c>
      <c r="F210" s="762" t="s">
        <v>3655</v>
      </c>
      <c r="G210" s="763" t="s">
        <v>880</v>
      </c>
      <c r="H210" s="764" t="s">
        <v>500</v>
      </c>
      <c r="I210" s="680"/>
      <c r="J210" s="613" t="s">
        <v>1261</v>
      </c>
      <c r="K210" s="616"/>
      <c r="L210" s="609"/>
      <c r="M210" s="610"/>
      <c r="N210" s="615" t="s">
        <v>2959</v>
      </c>
      <c r="O210" s="615" t="s">
        <v>1880</v>
      </c>
      <c r="P210" s="497" t="s">
        <v>2252</v>
      </c>
      <c r="Q210" s="1369"/>
      <c r="S210" s="596"/>
      <c r="T210" s="596"/>
      <c r="U210" s="596"/>
      <c r="V210" s="596"/>
      <c r="W210" s="596"/>
      <c r="X210" s="596"/>
      <c r="Y210" s="596"/>
      <c r="Z210" s="596"/>
      <c r="AA210" s="596"/>
    </row>
    <row r="211" spans="2:27" ht="12" customHeight="1">
      <c r="B211" s="761" t="s">
        <v>1914</v>
      </c>
      <c r="C211" s="761" t="s">
        <v>3486</v>
      </c>
      <c r="D211" s="761" t="s">
        <v>1902</v>
      </c>
      <c r="E211" s="765" t="s">
        <v>1244</v>
      </c>
      <c r="F211" s="765" t="s">
        <v>3656</v>
      </c>
      <c r="G211" s="763" t="s">
        <v>3610</v>
      </c>
      <c r="H211" s="764" t="s">
        <v>501</v>
      </c>
      <c r="I211" s="681"/>
      <c r="J211" s="613" t="s">
        <v>1263</v>
      </c>
      <c r="K211" s="616"/>
      <c r="L211" s="609"/>
      <c r="M211" s="610"/>
      <c r="N211" s="615" t="s">
        <v>1897</v>
      </c>
      <c r="O211" s="615" t="s">
        <v>1622</v>
      </c>
      <c r="P211" s="1370" t="s">
        <v>1311</v>
      </c>
      <c r="Q211" s="596"/>
      <c r="S211" s="596"/>
      <c r="T211" s="596"/>
      <c r="U211" s="596"/>
      <c r="V211" s="596"/>
      <c r="W211" s="596"/>
      <c r="X211" s="596"/>
      <c r="Y211" s="596"/>
      <c r="Z211" s="596"/>
      <c r="AA211" s="596"/>
    </row>
    <row r="212" spans="2:27" ht="12" customHeight="1">
      <c r="B212" s="761" t="s">
        <v>1915</v>
      </c>
      <c r="C212" s="761" t="s">
        <v>3487</v>
      </c>
      <c r="D212" s="761" t="s">
        <v>1749</v>
      </c>
      <c r="E212" s="762" t="s">
        <v>3488</v>
      </c>
      <c r="F212" s="762" t="s">
        <v>3655</v>
      </c>
      <c r="G212" s="763" t="s">
        <v>881</v>
      </c>
      <c r="H212" s="764" t="s">
        <v>500</v>
      </c>
      <c r="I212" s="680"/>
      <c r="J212" s="613" t="s">
        <v>2960</v>
      </c>
      <c r="K212" s="616"/>
      <c r="L212" s="609"/>
      <c r="M212" s="610"/>
      <c r="N212" s="615" t="s">
        <v>2962</v>
      </c>
      <c r="O212" s="615" t="s">
        <v>3489</v>
      </c>
      <c r="P212" s="497" t="s">
        <v>2253</v>
      </c>
      <c r="Q212" s="1369"/>
      <c r="S212" s="596"/>
      <c r="T212" s="596"/>
      <c r="U212" s="596"/>
      <c r="V212" s="596"/>
      <c r="W212" s="596"/>
      <c r="X212" s="596"/>
      <c r="Y212" s="596"/>
      <c r="Z212" s="596"/>
      <c r="AA212" s="596"/>
    </row>
    <row r="213" spans="2:27" ht="12" customHeight="1">
      <c r="B213" s="761" t="s">
        <v>1916</v>
      </c>
      <c r="C213" s="761" t="s">
        <v>3489</v>
      </c>
      <c r="D213" s="761" t="s">
        <v>1878</v>
      </c>
      <c r="E213" s="765" t="s">
        <v>1244</v>
      </c>
      <c r="F213" s="765" t="s">
        <v>3656</v>
      </c>
      <c r="G213" s="763" t="s">
        <v>3610</v>
      </c>
      <c r="H213" s="764" t="s">
        <v>501</v>
      </c>
      <c r="I213" s="681"/>
      <c r="J213" s="613" t="s">
        <v>2961</v>
      </c>
      <c r="K213" s="616"/>
      <c r="L213" s="609"/>
      <c r="M213" s="610"/>
      <c r="N213" s="615" t="s">
        <v>2879</v>
      </c>
      <c r="O213" s="615" t="s">
        <v>3066</v>
      </c>
      <c r="P213" s="497" t="s">
        <v>2254</v>
      </c>
      <c r="Q213" s="1369"/>
      <c r="S213" s="596"/>
      <c r="T213" s="596"/>
      <c r="U213" s="596"/>
      <c r="V213" s="596"/>
      <c r="W213" s="596"/>
      <c r="X213" s="596"/>
      <c r="Y213" s="596"/>
      <c r="Z213" s="596"/>
      <c r="AA213" s="596"/>
    </row>
    <row r="214" spans="2:27" ht="12" customHeight="1">
      <c r="B214" s="761" t="s">
        <v>1917</v>
      </c>
      <c r="C214" s="761" t="s">
        <v>3490</v>
      </c>
      <c r="D214" s="761" t="s">
        <v>1749</v>
      </c>
      <c r="E214" s="762" t="s">
        <v>3491</v>
      </c>
      <c r="F214" s="762" t="s">
        <v>3655</v>
      </c>
      <c r="G214" s="763" t="s">
        <v>882</v>
      </c>
      <c r="H214" s="764" t="s">
        <v>500</v>
      </c>
      <c r="I214" s="680"/>
      <c r="J214" s="613" t="s">
        <v>2963</v>
      </c>
      <c r="K214" s="616"/>
      <c r="L214" s="609"/>
      <c r="M214" s="610"/>
      <c r="N214" s="615" t="s">
        <v>2964</v>
      </c>
      <c r="O214" s="615" t="s">
        <v>397</v>
      </c>
      <c r="P214" s="497" t="s">
        <v>2255</v>
      </c>
      <c r="Q214" s="1369"/>
      <c r="S214" s="596"/>
      <c r="T214" s="596"/>
      <c r="U214" s="596"/>
      <c r="V214" s="596"/>
      <c r="W214" s="596"/>
      <c r="X214" s="596"/>
      <c r="Y214" s="596"/>
      <c r="Z214" s="596"/>
      <c r="AA214" s="596"/>
    </row>
    <row r="215" spans="2:27" ht="12" customHeight="1">
      <c r="B215" s="761" t="s">
        <v>1918</v>
      </c>
      <c r="C215" s="761" t="s">
        <v>3492</v>
      </c>
      <c r="D215" s="761" t="s">
        <v>1749</v>
      </c>
      <c r="E215" s="762" t="s">
        <v>3540</v>
      </c>
      <c r="F215" s="762" t="s">
        <v>3655</v>
      </c>
      <c r="G215" s="763" t="s">
        <v>883</v>
      </c>
      <c r="H215" s="764" t="s">
        <v>500</v>
      </c>
      <c r="I215" s="680"/>
      <c r="J215" s="613" t="s">
        <v>2995</v>
      </c>
      <c r="K215" s="616"/>
      <c r="L215" s="609"/>
      <c r="M215" s="610"/>
      <c r="N215" s="615" t="s">
        <v>2996</v>
      </c>
      <c r="O215" s="615" t="s">
        <v>887</v>
      </c>
      <c r="P215" s="497" t="s">
        <v>2256</v>
      </c>
      <c r="Q215" s="1369"/>
      <c r="S215" s="596"/>
      <c r="T215" s="596"/>
      <c r="U215" s="596"/>
      <c r="V215" s="596"/>
      <c r="W215" s="596"/>
      <c r="X215" s="596"/>
      <c r="Y215" s="596"/>
      <c r="Z215" s="596"/>
      <c r="AA215" s="596"/>
    </row>
    <row r="216" spans="2:27" ht="12" customHeight="1">
      <c r="B216" s="761" t="s">
        <v>1919</v>
      </c>
      <c r="C216" s="761" t="s">
        <v>3541</v>
      </c>
      <c r="D216" s="761" t="s">
        <v>1902</v>
      </c>
      <c r="E216" s="765" t="s">
        <v>1245</v>
      </c>
      <c r="F216" s="765" t="s">
        <v>3656</v>
      </c>
      <c r="G216" s="763" t="s">
        <v>3635</v>
      </c>
      <c r="H216" s="764" t="s">
        <v>501</v>
      </c>
      <c r="I216" s="681"/>
      <c r="J216" s="613" t="s">
        <v>2997</v>
      </c>
      <c r="K216" s="616"/>
      <c r="L216" s="609"/>
      <c r="M216" s="610"/>
      <c r="N216" s="615" t="s">
        <v>2998</v>
      </c>
      <c r="O216" s="615" t="s">
        <v>2384</v>
      </c>
      <c r="P216" s="497" t="s">
        <v>2257</v>
      </c>
      <c r="Q216" s="1369"/>
      <c r="S216" s="596"/>
      <c r="T216" s="596"/>
      <c r="U216" s="596"/>
      <c r="V216" s="596"/>
      <c r="W216" s="596"/>
      <c r="X216" s="596"/>
      <c r="Y216" s="596"/>
      <c r="Z216" s="596"/>
      <c r="AA216" s="596"/>
    </row>
    <row r="217" spans="2:27" ht="12" customHeight="1">
      <c r="B217" s="761" t="s">
        <v>1920</v>
      </c>
      <c r="C217" s="761" t="s">
        <v>3542</v>
      </c>
      <c r="D217" s="761" t="s">
        <v>1749</v>
      </c>
      <c r="E217" s="762" t="s">
        <v>3543</v>
      </c>
      <c r="F217" s="762" t="s">
        <v>3655</v>
      </c>
      <c r="G217" s="763" t="s">
        <v>884</v>
      </c>
      <c r="H217" s="764" t="s">
        <v>500</v>
      </c>
      <c r="I217" s="680"/>
      <c r="J217" s="613" t="s">
        <v>2999</v>
      </c>
      <c r="K217" s="616"/>
      <c r="L217" s="609"/>
      <c r="M217" s="610"/>
      <c r="N217" s="615" t="s">
        <v>3000</v>
      </c>
      <c r="O217" s="615" t="s">
        <v>235</v>
      </c>
      <c r="P217" s="497" t="s">
        <v>2258</v>
      </c>
      <c r="Q217" s="1369"/>
      <c r="S217" s="596"/>
      <c r="T217" s="596"/>
      <c r="U217" s="596"/>
      <c r="V217" s="596"/>
      <c r="W217" s="596"/>
      <c r="X217" s="596"/>
      <c r="Y217" s="596"/>
      <c r="Z217" s="596"/>
      <c r="AA217" s="596"/>
    </row>
    <row r="218" spans="2:27" ht="12" customHeight="1">
      <c r="B218" s="761" t="s">
        <v>1921</v>
      </c>
      <c r="C218" s="761" t="s">
        <v>3544</v>
      </c>
      <c r="D218" s="761" t="s">
        <v>1902</v>
      </c>
      <c r="E218" s="765" t="s">
        <v>1244</v>
      </c>
      <c r="F218" s="765" t="s">
        <v>3656</v>
      </c>
      <c r="G218" s="763" t="s">
        <v>3610</v>
      </c>
      <c r="H218" s="764" t="s">
        <v>501</v>
      </c>
      <c r="I218" s="681"/>
      <c r="J218" s="613" t="s">
        <v>3001</v>
      </c>
      <c r="K218" s="616"/>
      <c r="L218" s="609"/>
      <c r="M218" s="610"/>
      <c r="N218" s="615" t="s">
        <v>2638</v>
      </c>
      <c r="O218" s="615" t="s">
        <v>131</v>
      </c>
      <c r="P218" s="497" t="s">
        <v>2259</v>
      </c>
      <c r="Q218" s="1369"/>
      <c r="S218" s="596"/>
      <c r="T218" s="596"/>
      <c r="U218" s="596"/>
      <c r="V218" s="596"/>
      <c r="W218" s="596"/>
      <c r="X218" s="596"/>
      <c r="Y218" s="596"/>
      <c r="Z218" s="596"/>
      <c r="AA218" s="596"/>
    </row>
    <row r="219" spans="2:27" ht="12" customHeight="1">
      <c r="B219" s="761" t="s">
        <v>1922</v>
      </c>
      <c r="C219" s="761" t="s">
        <v>3545</v>
      </c>
      <c r="D219" s="761" t="s">
        <v>1902</v>
      </c>
      <c r="E219" s="765" t="s">
        <v>1887</v>
      </c>
      <c r="F219" s="765" t="s">
        <v>3656</v>
      </c>
      <c r="G219" s="763" t="s">
        <v>3613</v>
      </c>
      <c r="H219" s="764" t="s">
        <v>501</v>
      </c>
      <c r="I219" s="681"/>
      <c r="J219" s="613" t="s">
        <v>3562</v>
      </c>
      <c r="K219" s="616"/>
      <c r="L219" s="609"/>
      <c r="M219" s="610"/>
      <c r="N219" s="615" t="s">
        <v>3563</v>
      </c>
      <c r="O219" s="615" t="s">
        <v>201</v>
      </c>
      <c r="P219" s="497" t="s">
        <v>2260</v>
      </c>
      <c r="Q219" s="1369"/>
      <c r="S219" s="596"/>
      <c r="T219" s="596"/>
      <c r="U219" s="596"/>
      <c r="V219" s="596"/>
      <c r="W219" s="596"/>
      <c r="X219" s="596"/>
      <c r="Y219" s="596"/>
      <c r="Z219" s="596"/>
      <c r="AA219" s="596"/>
    </row>
    <row r="220" spans="2:27" ht="12" customHeight="1">
      <c r="B220" s="761" t="s">
        <v>1923</v>
      </c>
      <c r="C220" s="761" t="s">
        <v>3546</v>
      </c>
      <c r="D220" s="761" t="s">
        <v>1749</v>
      </c>
      <c r="E220" s="762" t="s">
        <v>232</v>
      </c>
      <c r="F220" s="762" t="s">
        <v>3655</v>
      </c>
      <c r="G220" s="763" t="s">
        <v>885</v>
      </c>
      <c r="H220" s="764" t="s">
        <v>500</v>
      </c>
      <c r="I220" s="680"/>
      <c r="J220" s="613" t="s">
        <v>1507</v>
      </c>
      <c r="K220" s="616"/>
      <c r="L220" s="609"/>
      <c r="M220" s="610"/>
      <c r="N220" s="615" t="s">
        <v>1508</v>
      </c>
      <c r="O220" s="615" t="s">
        <v>595</v>
      </c>
      <c r="P220" s="497" t="s">
        <v>2261</v>
      </c>
      <c r="Q220" s="1369"/>
      <c r="S220" s="596"/>
      <c r="T220" s="596"/>
      <c r="U220" s="596"/>
      <c r="V220" s="596"/>
      <c r="W220" s="596"/>
      <c r="X220" s="596"/>
      <c r="Y220" s="596"/>
      <c r="Z220" s="596"/>
      <c r="AA220" s="596"/>
    </row>
    <row r="221" spans="2:27" ht="12" customHeight="1">
      <c r="B221" s="761" t="s">
        <v>1924</v>
      </c>
      <c r="C221" s="761" t="s">
        <v>233</v>
      </c>
      <c r="D221" s="761" t="s">
        <v>1878</v>
      </c>
      <c r="E221" s="765" t="s">
        <v>2122</v>
      </c>
      <c r="F221" s="765" t="s">
        <v>3656</v>
      </c>
      <c r="G221" s="763" t="s">
        <v>2527</v>
      </c>
      <c r="H221" s="764" t="s">
        <v>501</v>
      </c>
      <c r="I221" s="681"/>
      <c r="J221" s="613" t="s">
        <v>2883</v>
      </c>
      <c r="K221" s="616"/>
      <c r="L221" s="609"/>
      <c r="M221" s="610"/>
      <c r="N221" s="615" t="s">
        <v>1881</v>
      </c>
      <c r="O221" s="615" t="s">
        <v>397</v>
      </c>
      <c r="P221" s="497" t="s">
        <v>2262</v>
      </c>
      <c r="Q221" s="1369"/>
      <c r="S221" s="596"/>
      <c r="T221" s="596"/>
      <c r="U221" s="596"/>
      <c r="V221" s="596"/>
      <c r="W221" s="596"/>
      <c r="X221" s="596"/>
      <c r="Y221" s="596"/>
      <c r="Z221" s="596"/>
      <c r="AA221" s="596"/>
    </row>
    <row r="222" spans="2:27" ht="12" customHeight="1">
      <c r="B222" s="761" t="s">
        <v>1925</v>
      </c>
      <c r="C222" s="761" t="s">
        <v>234</v>
      </c>
      <c r="D222" s="761" t="s">
        <v>1878</v>
      </c>
      <c r="E222" s="765" t="s">
        <v>1244</v>
      </c>
      <c r="F222" s="765" t="s">
        <v>3656</v>
      </c>
      <c r="G222" s="763" t="s">
        <v>3610</v>
      </c>
      <c r="H222" s="764" t="s">
        <v>501</v>
      </c>
      <c r="I222" s="681"/>
      <c r="J222" s="613" t="s">
        <v>16</v>
      </c>
      <c r="K222" s="616"/>
      <c r="L222" s="609"/>
      <c r="M222" s="610"/>
      <c r="N222" s="615" t="s">
        <v>17</v>
      </c>
      <c r="O222" s="615" t="s">
        <v>2500</v>
      </c>
      <c r="P222" s="497" t="s">
        <v>2263</v>
      </c>
      <c r="Q222" s="1369"/>
      <c r="S222" s="596"/>
      <c r="T222" s="596"/>
      <c r="U222" s="596"/>
      <c r="V222" s="596"/>
      <c r="W222" s="596"/>
      <c r="X222" s="596"/>
      <c r="Y222" s="596"/>
      <c r="Z222" s="596"/>
      <c r="AA222" s="596"/>
    </row>
    <row r="223" spans="2:27" ht="12" customHeight="1">
      <c r="B223" s="761" t="s">
        <v>1926</v>
      </c>
      <c r="C223" s="761" t="s">
        <v>235</v>
      </c>
      <c r="D223" s="761" t="s">
        <v>1749</v>
      </c>
      <c r="E223" s="762" t="s">
        <v>236</v>
      </c>
      <c r="F223" s="762" t="s">
        <v>3655</v>
      </c>
      <c r="G223" s="763" t="s">
        <v>886</v>
      </c>
      <c r="H223" s="764" t="s">
        <v>500</v>
      </c>
      <c r="I223" s="680"/>
      <c r="J223" s="613" t="s">
        <v>3145</v>
      </c>
      <c r="K223" s="616"/>
      <c r="L223" s="609"/>
      <c r="M223" s="610"/>
      <c r="N223" s="615" t="s">
        <v>3146</v>
      </c>
      <c r="O223" s="615" t="s">
        <v>1748</v>
      </c>
      <c r="P223" s="497" t="s">
        <v>2264</v>
      </c>
      <c r="Q223" s="1369"/>
      <c r="S223" s="596"/>
      <c r="T223" s="596"/>
      <c r="U223" s="596"/>
      <c r="V223" s="596"/>
      <c r="W223" s="596"/>
      <c r="X223" s="596"/>
      <c r="Y223" s="596"/>
      <c r="Z223" s="596"/>
      <c r="AA223" s="596"/>
    </row>
    <row r="224" spans="2:27" ht="12" customHeight="1">
      <c r="B224" s="761" t="s">
        <v>1927</v>
      </c>
      <c r="C224" s="761" t="s">
        <v>237</v>
      </c>
      <c r="D224" s="761" t="s">
        <v>1902</v>
      </c>
      <c r="E224" s="765" t="s">
        <v>1244</v>
      </c>
      <c r="F224" s="765" t="s">
        <v>3656</v>
      </c>
      <c r="G224" s="763" t="s">
        <v>3610</v>
      </c>
      <c r="H224" s="764" t="s">
        <v>501</v>
      </c>
      <c r="I224" s="681"/>
      <c r="J224" s="613" t="s">
        <v>3147</v>
      </c>
      <c r="K224" s="616"/>
      <c r="L224" s="609"/>
      <c r="M224" s="610"/>
      <c r="N224" s="615" t="s">
        <v>3148</v>
      </c>
      <c r="O224" s="615" t="s">
        <v>3154</v>
      </c>
      <c r="P224" s="497" t="s">
        <v>2265</v>
      </c>
      <c r="Q224" s="1369"/>
      <c r="S224" s="596"/>
      <c r="T224" s="596"/>
      <c r="U224" s="596"/>
      <c r="V224" s="596"/>
      <c r="W224" s="596"/>
      <c r="X224" s="596"/>
      <c r="Y224" s="596"/>
      <c r="Z224" s="596"/>
      <c r="AA224" s="596"/>
    </row>
    <row r="225" spans="2:27" ht="12" customHeight="1">
      <c r="B225" s="761" t="s">
        <v>1928</v>
      </c>
      <c r="C225" s="761" t="s">
        <v>238</v>
      </c>
      <c r="D225" s="761" t="s">
        <v>1749</v>
      </c>
      <c r="E225" s="762" t="s">
        <v>1447</v>
      </c>
      <c r="F225" s="762" t="s">
        <v>3655</v>
      </c>
      <c r="G225" s="763" t="s">
        <v>2837</v>
      </c>
      <c r="H225" s="764" t="s">
        <v>500</v>
      </c>
      <c r="I225" s="680"/>
      <c r="J225" s="613" t="s">
        <v>3149</v>
      </c>
      <c r="K225" s="616"/>
      <c r="L225" s="609"/>
      <c r="M225" s="610"/>
      <c r="N225" s="497" t="s">
        <v>3589</v>
      </c>
      <c r="O225" s="497" t="s">
        <v>887</v>
      </c>
      <c r="P225" s="1371" t="s">
        <v>3031</v>
      </c>
      <c r="Q225" s="1369"/>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3655</v>
      </c>
      <c r="G226" s="763" t="s">
        <v>2838</v>
      </c>
      <c r="H226" s="764" t="s">
        <v>500</v>
      </c>
      <c r="I226" s="680"/>
      <c r="J226" s="613" t="s">
        <v>3181</v>
      </c>
      <c r="K226" s="616"/>
      <c r="L226" s="609"/>
      <c r="M226" s="610"/>
      <c r="N226" s="615" t="s">
        <v>3150</v>
      </c>
      <c r="O226" s="615" t="s">
        <v>130</v>
      </c>
      <c r="P226" s="497" t="s">
        <v>2266</v>
      </c>
      <c r="Q226" s="1369"/>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3656</v>
      </c>
      <c r="G227" s="763" t="s">
        <v>1683</v>
      </c>
      <c r="H227" s="764" t="s">
        <v>501</v>
      </c>
      <c r="I227" s="681"/>
      <c r="J227" s="613" t="s">
        <v>2628</v>
      </c>
      <c r="K227" s="616"/>
      <c r="L227" s="609"/>
      <c r="M227" s="610"/>
      <c r="N227" s="615" t="s">
        <v>2603</v>
      </c>
      <c r="O227" s="615" t="s">
        <v>3492</v>
      </c>
      <c r="P227" s="497" t="s">
        <v>2267</v>
      </c>
      <c r="Q227" s="1369"/>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3656</v>
      </c>
      <c r="G228" s="763" t="s">
        <v>3610</v>
      </c>
      <c r="H228" s="764" t="s">
        <v>501</v>
      </c>
      <c r="I228" s="681"/>
      <c r="J228" s="613" t="s">
        <v>2630</v>
      </c>
      <c r="K228" s="616"/>
      <c r="L228" s="609"/>
      <c r="M228" s="610"/>
      <c r="N228" s="615" t="s">
        <v>2629</v>
      </c>
      <c r="O228" s="615" t="s">
        <v>1880</v>
      </c>
      <c r="P228" s="497" t="s">
        <v>2268</v>
      </c>
      <c r="Q228" s="1369"/>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3655</v>
      </c>
      <c r="G229" s="763" t="s">
        <v>2839</v>
      </c>
      <c r="H229" s="764" t="s">
        <v>500</v>
      </c>
      <c r="I229" s="680"/>
      <c r="J229" s="613" t="s">
        <v>3049</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3656</v>
      </c>
      <c r="G230" s="763" t="s">
        <v>3616</v>
      </c>
      <c r="H230" s="764" t="s">
        <v>501</v>
      </c>
      <c r="I230" s="680"/>
      <c r="J230" s="613" t="s">
        <v>3050</v>
      </c>
      <c r="K230" s="616"/>
      <c r="L230" s="609"/>
      <c r="M230" s="610"/>
      <c r="N230" s="615" t="s">
        <v>1312</v>
      </c>
      <c r="O230" s="615" t="s">
        <v>3624</v>
      </c>
      <c r="P230" s="1370"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3656</v>
      </c>
      <c r="G231" s="763" t="s">
        <v>2048</v>
      </c>
      <c r="H231" s="764" t="s">
        <v>501</v>
      </c>
      <c r="I231" s="681"/>
      <c r="J231" s="613" t="s">
        <v>3426</v>
      </c>
      <c r="K231" s="614"/>
      <c r="L231" s="609"/>
      <c r="M231" s="610"/>
      <c r="N231" s="615" t="s">
        <v>3051</v>
      </c>
      <c r="O231" s="615" t="s">
        <v>3626</v>
      </c>
      <c r="P231" s="497" t="s">
        <v>2270</v>
      </c>
      <c r="Q231" s="1369"/>
      <c r="S231" s="596"/>
      <c r="T231" s="596"/>
      <c r="U231" s="596"/>
      <c r="V231" s="596"/>
      <c r="W231" s="596"/>
      <c r="X231" s="596"/>
      <c r="Y231" s="596"/>
      <c r="Z231" s="596"/>
      <c r="AA231" s="596"/>
    </row>
    <row r="232" spans="2:27" ht="12" customHeight="1">
      <c r="B232" s="766"/>
      <c r="C232" s="761" t="s">
        <v>1368</v>
      </c>
      <c r="D232" s="761" t="s">
        <v>1902</v>
      </c>
      <c r="E232" s="762" t="s">
        <v>1369</v>
      </c>
      <c r="F232" s="762" t="s">
        <v>3655</v>
      </c>
      <c r="G232" s="763" t="s">
        <v>1903</v>
      </c>
      <c r="H232" s="764" t="s">
        <v>500</v>
      </c>
      <c r="I232" s="680"/>
      <c r="J232" s="613" t="s">
        <v>3428</v>
      </c>
      <c r="K232" s="614"/>
      <c r="L232" s="609"/>
      <c r="M232" s="610"/>
      <c r="N232" s="615" t="s">
        <v>3427</v>
      </c>
      <c r="O232" s="615" t="s">
        <v>1607</v>
      </c>
      <c r="P232" s="497" t="s">
        <v>2271</v>
      </c>
      <c r="Q232" s="1369"/>
      <c r="S232" s="596"/>
      <c r="T232" s="596"/>
      <c r="U232" s="596"/>
      <c r="V232" s="596"/>
      <c r="W232" s="596"/>
      <c r="X232" s="596"/>
      <c r="Y232" s="596"/>
      <c r="Z232" s="596"/>
      <c r="AA232" s="596"/>
    </row>
    <row r="233" spans="2:27" ht="12" customHeight="1">
      <c r="B233" s="766"/>
      <c r="C233" s="761" t="s">
        <v>3152</v>
      </c>
      <c r="D233" s="761" t="s">
        <v>1749</v>
      </c>
      <c r="E233" s="762" t="s">
        <v>3153</v>
      </c>
      <c r="F233" s="762" t="s">
        <v>3655</v>
      </c>
      <c r="G233" s="763" t="s">
        <v>1904</v>
      </c>
      <c r="H233" s="764" t="s">
        <v>500</v>
      </c>
      <c r="I233" s="680"/>
      <c r="J233" s="613" t="s">
        <v>3430</v>
      </c>
      <c r="K233" s="614"/>
      <c r="L233" s="609"/>
      <c r="M233" s="610"/>
      <c r="N233" s="497" t="s">
        <v>3590</v>
      </c>
      <c r="O233" s="497" t="s">
        <v>388</v>
      </c>
      <c r="P233" s="1371" t="s">
        <v>3031</v>
      </c>
      <c r="Q233" s="1369"/>
      <c r="S233" s="596"/>
      <c r="T233" s="596"/>
      <c r="U233" s="596"/>
      <c r="V233" s="596"/>
      <c r="W233" s="596"/>
      <c r="X233" s="596"/>
      <c r="Y233" s="596"/>
      <c r="Z233" s="596"/>
      <c r="AA233" s="596"/>
    </row>
    <row r="234" spans="2:27" ht="12" customHeight="1">
      <c r="B234" s="766"/>
      <c r="C234" s="761" t="s">
        <v>3154</v>
      </c>
      <c r="D234" s="761" t="s">
        <v>1749</v>
      </c>
      <c r="E234" s="762" t="s">
        <v>920</v>
      </c>
      <c r="F234" s="762" t="s">
        <v>3655</v>
      </c>
      <c r="G234" s="763" t="s">
        <v>1905</v>
      </c>
      <c r="H234" s="764" t="s">
        <v>500</v>
      </c>
      <c r="I234" s="680"/>
      <c r="J234" s="613" t="s">
        <v>3432</v>
      </c>
      <c r="K234" s="614"/>
      <c r="L234" s="609"/>
      <c r="M234" s="610"/>
      <c r="N234" s="615" t="s">
        <v>3429</v>
      </c>
      <c r="O234" s="615" t="s">
        <v>2797</v>
      </c>
      <c r="P234" s="497" t="s">
        <v>2272</v>
      </c>
      <c r="Q234" s="1369"/>
      <c r="S234" s="596"/>
      <c r="T234" s="596"/>
      <c r="U234" s="596"/>
      <c r="V234" s="596"/>
      <c r="W234" s="596"/>
      <c r="X234" s="596"/>
      <c r="Y234" s="596"/>
      <c r="Z234" s="596"/>
      <c r="AA234" s="596"/>
    </row>
    <row r="235" spans="2:27" ht="12" customHeight="1">
      <c r="B235" s="766"/>
      <c r="C235" s="761" t="s">
        <v>921</v>
      </c>
      <c r="D235" s="761" t="s">
        <v>1878</v>
      </c>
      <c r="E235" s="762" t="s">
        <v>922</v>
      </c>
      <c r="F235" s="762" t="s">
        <v>3655</v>
      </c>
      <c r="G235" s="763" t="s">
        <v>1906</v>
      </c>
      <c r="H235" s="764" t="s">
        <v>500</v>
      </c>
      <c r="I235" s="680"/>
      <c r="J235" s="613" t="s">
        <v>3433</v>
      </c>
      <c r="K235" s="614"/>
      <c r="L235" s="609"/>
      <c r="M235" s="610"/>
      <c r="N235" s="615" t="s">
        <v>3431</v>
      </c>
      <c r="O235" s="615" t="s">
        <v>1364</v>
      </c>
      <c r="P235" s="497" t="s">
        <v>2273</v>
      </c>
      <c r="Q235" s="1369"/>
      <c r="S235" s="596"/>
      <c r="T235" s="596"/>
      <c r="U235" s="596"/>
      <c r="V235" s="596"/>
      <c r="W235" s="596"/>
      <c r="X235" s="596"/>
      <c r="Y235" s="596"/>
      <c r="Z235" s="596"/>
      <c r="AA235" s="596"/>
    </row>
    <row r="236" spans="2:27" ht="12" customHeight="1">
      <c r="B236" s="766"/>
      <c r="C236" s="761" t="s">
        <v>923</v>
      </c>
      <c r="D236" s="761" t="s">
        <v>1902</v>
      </c>
      <c r="E236" s="765" t="s">
        <v>1244</v>
      </c>
      <c r="F236" s="765" t="s">
        <v>3656</v>
      </c>
      <c r="G236" s="763" t="s">
        <v>3610</v>
      </c>
      <c r="H236" s="764" t="s">
        <v>501</v>
      </c>
      <c r="I236" s="681"/>
      <c r="J236" s="613" t="s">
        <v>3137</v>
      </c>
      <c r="K236" s="614"/>
      <c r="L236" s="609"/>
      <c r="M236" s="610"/>
      <c r="N236" s="615" t="s">
        <v>3434</v>
      </c>
      <c r="O236" s="615" t="s">
        <v>196</v>
      </c>
      <c r="P236" s="497" t="s">
        <v>2274</v>
      </c>
      <c r="Q236" s="1369"/>
      <c r="S236" s="596"/>
      <c r="T236" s="596"/>
      <c r="U236" s="596"/>
      <c r="V236" s="596"/>
      <c r="W236" s="596"/>
      <c r="X236" s="596"/>
      <c r="Y236" s="596"/>
      <c r="Z236" s="596"/>
      <c r="AA236" s="596"/>
    </row>
    <row r="237" spans="2:27" ht="12" customHeight="1">
      <c r="B237" s="766"/>
      <c r="C237" s="761" t="s">
        <v>924</v>
      </c>
      <c r="D237" s="761" t="s">
        <v>1878</v>
      </c>
      <c r="E237" s="765" t="s">
        <v>3180</v>
      </c>
      <c r="F237" s="765" t="s">
        <v>3656</v>
      </c>
      <c r="G237" s="763" t="s">
        <v>1907</v>
      </c>
      <c r="H237" s="764" t="s">
        <v>501</v>
      </c>
      <c r="I237" s="681"/>
      <c r="J237" s="613" t="s">
        <v>983</v>
      </c>
      <c r="K237" s="614"/>
      <c r="L237" s="609"/>
      <c r="M237" s="610"/>
      <c r="N237" s="615" t="s">
        <v>3138</v>
      </c>
      <c r="O237" s="615" t="s">
        <v>921</v>
      </c>
      <c r="P237" s="497" t="s">
        <v>2275</v>
      </c>
      <c r="Q237" s="1369"/>
      <c r="S237" s="596"/>
      <c r="T237" s="596"/>
      <c r="U237" s="596"/>
      <c r="V237" s="596"/>
      <c r="W237" s="596"/>
      <c r="X237" s="596"/>
      <c r="Y237" s="596"/>
      <c r="Z237" s="596"/>
      <c r="AA237" s="596"/>
    </row>
    <row r="238" spans="2:27" ht="12" customHeight="1">
      <c r="B238" s="766"/>
      <c r="C238" s="761" t="s">
        <v>925</v>
      </c>
      <c r="D238" s="761" t="s">
        <v>1878</v>
      </c>
      <c r="E238" s="765" t="s">
        <v>1244</v>
      </c>
      <c r="F238" s="765" t="s">
        <v>3656</v>
      </c>
      <c r="G238" s="763" t="s">
        <v>3610</v>
      </c>
      <c r="H238" s="764" t="s">
        <v>501</v>
      </c>
      <c r="I238" s="681"/>
      <c r="J238" s="613" t="s">
        <v>985</v>
      </c>
      <c r="K238" s="614"/>
      <c r="L238" s="609"/>
      <c r="M238" s="610"/>
      <c r="N238" s="615" t="s">
        <v>984</v>
      </c>
      <c r="O238" s="615" t="s">
        <v>3484</v>
      </c>
      <c r="P238" s="497" t="s">
        <v>2276</v>
      </c>
      <c r="Q238" s="1369"/>
      <c r="S238" s="596"/>
      <c r="T238" s="596"/>
      <c r="U238" s="596"/>
      <c r="V238" s="596"/>
      <c r="W238" s="596"/>
      <c r="X238" s="596"/>
      <c r="Y238" s="596"/>
      <c r="Z238" s="596"/>
      <c r="AA238" s="596"/>
    </row>
    <row r="239" spans="2:27" ht="12" customHeight="1">
      <c r="B239" s="766"/>
      <c r="C239" s="761" t="s">
        <v>926</v>
      </c>
      <c r="D239" s="761" t="s">
        <v>1878</v>
      </c>
      <c r="E239" s="765" t="s">
        <v>927</v>
      </c>
      <c r="F239" s="765" t="s">
        <v>3655</v>
      </c>
      <c r="G239" s="763" t="s">
        <v>1908</v>
      </c>
      <c r="H239" s="764" t="s">
        <v>500</v>
      </c>
      <c r="I239" s="681"/>
      <c r="J239" s="613" t="s">
        <v>987</v>
      </c>
      <c r="K239" s="614"/>
      <c r="L239" s="609"/>
      <c r="M239" s="610"/>
      <c r="N239" s="615" t="s">
        <v>986</v>
      </c>
      <c r="O239" s="615" t="s">
        <v>1622</v>
      </c>
      <c r="P239" s="497" t="s">
        <v>2277</v>
      </c>
      <c r="Q239" s="1369"/>
      <c r="S239" s="596"/>
      <c r="T239" s="596"/>
      <c r="U239" s="596"/>
      <c r="V239" s="596"/>
      <c r="W239" s="596"/>
      <c r="X239" s="596"/>
      <c r="Y239" s="596"/>
      <c r="Z239" s="596"/>
      <c r="AA239" s="596"/>
    </row>
    <row r="240" spans="2:27" ht="12" customHeight="1">
      <c r="B240" s="766"/>
      <c r="C240" s="761" t="s">
        <v>1744</v>
      </c>
      <c r="D240" s="761" t="s">
        <v>1902</v>
      </c>
      <c r="E240" s="765" t="s">
        <v>1244</v>
      </c>
      <c r="F240" s="765" t="s">
        <v>3656</v>
      </c>
      <c r="G240" s="763" t="s">
        <v>3610</v>
      </c>
      <c r="H240" s="764" t="s">
        <v>501</v>
      </c>
      <c r="I240" s="681"/>
      <c r="J240" s="613" t="s">
        <v>989</v>
      </c>
      <c r="K240" s="614"/>
      <c r="L240" s="609"/>
      <c r="M240" s="610"/>
      <c r="N240" s="615" t="s">
        <v>988</v>
      </c>
      <c r="O240" s="615" t="s">
        <v>3626</v>
      </c>
      <c r="P240" s="497" t="s">
        <v>2278</v>
      </c>
      <c r="Q240" s="1369"/>
      <c r="S240" s="596"/>
      <c r="T240" s="596"/>
      <c r="U240" s="596"/>
      <c r="V240" s="596"/>
      <c r="W240" s="596"/>
      <c r="X240" s="596"/>
      <c r="Y240" s="596"/>
      <c r="Z240" s="596"/>
      <c r="AA240" s="596"/>
    </row>
    <row r="241" spans="2:27" ht="12" customHeight="1">
      <c r="B241" s="766"/>
      <c r="C241" s="761" t="s">
        <v>928</v>
      </c>
      <c r="D241" s="761" t="s">
        <v>1878</v>
      </c>
      <c r="E241" s="762" t="s">
        <v>929</v>
      </c>
      <c r="F241" s="762" t="s">
        <v>3655</v>
      </c>
      <c r="G241" s="763" t="s">
        <v>286</v>
      </c>
      <c r="H241" s="764" t="s">
        <v>500</v>
      </c>
      <c r="I241" s="680"/>
      <c r="J241" s="613" t="s">
        <v>3128</v>
      </c>
      <c r="K241" s="614"/>
      <c r="L241" s="609"/>
      <c r="M241" s="610"/>
      <c r="N241" s="497" t="s">
        <v>3591</v>
      </c>
      <c r="O241" s="497" t="s">
        <v>3486</v>
      </c>
      <c r="P241" s="1371" t="s">
        <v>3031</v>
      </c>
      <c r="Q241" s="1369"/>
      <c r="S241" s="596"/>
      <c r="T241" s="596"/>
      <c r="U241" s="596"/>
      <c r="V241" s="596"/>
      <c r="W241" s="596"/>
      <c r="X241" s="596"/>
      <c r="Y241" s="596"/>
      <c r="Z241" s="596"/>
      <c r="AA241" s="596"/>
    </row>
    <row r="242" spans="2:27" ht="12" customHeight="1">
      <c r="B242" s="766"/>
      <c r="C242" s="761" t="s">
        <v>930</v>
      </c>
      <c r="D242" s="761" t="s">
        <v>1902</v>
      </c>
      <c r="E242" s="765" t="s">
        <v>931</v>
      </c>
      <c r="F242" s="765" t="s">
        <v>3655</v>
      </c>
      <c r="G242" s="763" t="s">
        <v>287</v>
      </c>
      <c r="H242" s="764" t="s">
        <v>500</v>
      </c>
      <c r="I242" s="681"/>
      <c r="J242" s="613" t="s">
        <v>3129</v>
      </c>
      <c r="K242" s="614"/>
      <c r="L242" s="609"/>
      <c r="M242" s="610"/>
      <c r="N242" s="615" t="s">
        <v>3130</v>
      </c>
      <c r="O242" s="615" t="s">
        <v>2500</v>
      </c>
      <c r="P242" s="497" t="s">
        <v>2279</v>
      </c>
      <c r="Q242" s="1369"/>
      <c r="S242" s="596"/>
      <c r="T242" s="596"/>
      <c r="U242" s="596"/>
      <c r="V242" s="596"/>
      <c r="W242" s="596"/>
      <c r="X242" s="596"/>
      <c r="Y242" s="596"/>
      <c r="Z242" s="596"/>
      <c r="AA242" s="596"/>
    </row>
    <row r="243" spans="2:27" ht="12" customHeight="1">
      <c r="B243" s="766"/>
      <c r="C243" s="761" t="s">
        <v>932</v>
      </c>
      <c r="D243" s="761" t="s">
        <v>1749</v>
      </c>
      <c r="E243" s="762" t="s">
        <v>12</v>
      </c>
      <c r="F243" s="762" t="s">
        <v>3656</v>
      </c>
      <c r="G243" s="763" t="s">
        <v>3615</v>
      </c>
      <c r="H243" s="764" t="s">
        <v>501</v>
      </c>
      <c r="I243" s="680"/>
      <c r="J243" s="613" t="s">
        <v>3131</v>
      </c>
      <c r="K243" s="614"/>
      <c r="L243" s="609"/>
      <c r="M243" s="610"/>
      <c r="N243" s="615" t="s">
        <v>3132</v>
      </c>
      <c r="O243" s="615" t="s">
        <v>3620</v>
      </c>
      <c r="P243" s="497" t="s">
        <v>2280</v>
      </c>
      <c r="Q243" s="1369"/>
      <c r="S243" s="596"/>
      <c r="T243" s="596"/>
      <c r="U243" s="596"/>
      <c r="V243" s="596"/>
      <c r="W243" s="596"/>
      <c r="X243" s="596"/>
      <c r="Y243" s="596"/>
      <c r="Z243" s="596"/>
      <c r="AA243" s="596"/>
    </row>
    <row r="244" spans="2:27" ht="12" customHeight="1">
      <c r="B244" s="766"/>
      <c r="C244" s="761" t="s">
        <v>933</v>
      </c>
      <c r="D244" s="761" t="s">
        <v>1878</v>
      </c>
      <c r="E244" s="762" t="s">
        <v>934</v>
      </c>
      <c r="F244" s="762" t="s">
        <v>3655</v>
      </c>
      <c r="G244" s="763" t="s">
        <v>288</v>
      </c>
      <c r="H244" s="764" t="s">
        <v>500</v>
      </c>
      <c r="I244" s="680"/>
      <c r="J244" s="613" t="s">
        <v>954</v>
      </c>
      <c r="K244" s="614"/>
      <c r="L244" s="609"/>
      <c r="M244" s="610"/>
      <c r="N244" s="615" t="s">
        <v>955</v>
      </c>
      <c r="O244" s="615" t="s">
        <v>1129</v>
      </c>
      <c r="P244" s="497" t="s">
        <v>2281</v>
      </c>
      <c r="Q244" s="1369"/>
      <c r="S244" s="596"/>
      <c r="T244" s="596"/>
      <c r="U244" s="596"/>
      <c r="V244" s="596"/>
      <c r="W244" s="596"/>
      <c r="X244" s="596"/>
      <c r="Y244" s="596"/>
      <c r="Z244" s="596"/>
      <c r="AA244" s="596"/>
    </row>
    <row r="245" spans="2:27" ht="12" customHeight="1">
      <c r="B245" s="766"/>
      <c r="C245" s="761" t="s">
        <v>935</v>
      </c>
      <c r="D245" s="761" t="s">
        <v>1749</v>
      </c>
      <c r="E245" s="762" t="s">
        <v>936</v>
      </c>
      <c r="F245" s="762" t="s">
        <v>3655</v>
      </c>
      <c r="G245" s="763" t="s">
        <v>479</v>
      </c>
      <c r="H245" s="764" t="s">
        <v>500</v>
      </c>
      <c r="I245" s="680"/>
      <c r="J245" s="613" t="s">
        <v>1275</v>
      </c>
      <c r="K245" s="614"/>
      <c r="L245" s="609"/>
      <c r="M245" s="610"/>
      <c r="N245" s="615" t="s">
        <v>3182</v>
      </c>
      <c r="O245" s="615" t="s">
        <v>385</v>
      </c>
      <c r="P245" s="497" t="s">
        <v>2282</v>
      </c>
      <c r="Q245" s="1369"/>
      <c r="S245" s="596"/>
      <c r="T245" s="596"/>
      <c r="U245" s="596"/>
      <c r="V245" s="596"/>
      <c r="W245" s="596"/>
      <c r="X245" s="596"/>
      <c r="Y245" s="596"/>
      <c r="Z245" s="596"/>
      <c r="AA245" s="596"/>
    </row>
    <row r="246" spans="2:27" ht="12" customHeight="1">
      <c r="B246" s="766"/>
      <c r="C246" s="761" t="s">
        <v>937</v>
      </c>
      <c r="D246" s="761" t="s">
        <v>1902</v>
      </c>
      <c r="E246" s="762" t="s">
        <v>938</v>
      </c>
      <c r="F246" s="762" t="s">
        <v>3655</v>
      </c>
      <c r="G246" s="763" t="s">
        <v>480</v>
      </c>
      <c r="H246" s="764" t="s">
        <v>500</v>
      </c>
      <c r="I246" s="680"/>
      <c r="J246" s="613" t="s">
        <v>3183</v>
      </c>
      <c r="K246" s="614"/>
      <c r="L246" s="609"/>
      <c r="M246" s="610"/>
      <c r="N246" s="615" t="s">
        <v>3252</v>
      </c>
      <c r="O246" s="615" t="s">
        <v>1368</v>
      </c>
      <c r="P246" s="497" t="s">
        <v>2283</v>
      </c>
      <c r="Q246" s="1369"/>
      <c r="S246" s="596"/>
      <c r="T246" s="596"/>
      <c r="U246" s="596"/>
      <c r="V246" s="596"/>
      <c r="W246" s="596"/>
      <c r="X246" s="596"/>
      <c r="Y246" s="596"/>
      <c r="Z246" s="596"/>
      <c r="AA246" s="596"/>
    </row>
    <row r="247" spans="2:27" ht="12" customHeight="1">
      <c r="B247" s="766"/>
      <c r="C247" s="761" t="s">
        <v>130</v>
      </c>
      <c r="D247" s="761" t="s">
        <v>1902</v>
      </c>
      <c r="E247" s="765" t="s">
        <v>1244</v>
      </c>
      <c r="F247" s="765" t="s">
        <v>3656</v>
      </c>
      <c r="G247" s="763" t="s">
        <v>3610</v>
      </c>
      <c r="H247" s="764" t="s">
        <v>501</v>
      </c>
      <c r="I247" s="681"/>
      <c r="J247" s="613" t="s">
        <v>3216</v>
      </c>
      <c r="K247" s="614"/>
      <c r="L247" s="609"/>
      <c r="M247" s="610"/>
      <c r="N247" s="615" t="s">
        <v>52</v>
      </c>
      <c r="O247" s="615" t="s">
        <v>392</v>
      </c>
      <c r="P247" s="497" t="s">
        <v>2284</v>
      </c>
      <c r="Q247" s="1369"/>
      <c r="S247" s="596"/>
      <c r="T247" s="596"/>
      <c r="U247" s="596"/>
      <c r="V247" s="596"/>
      <c r="W247" s="596"/>
      <c r="X247" s="596"/>
      <c r="Y247" s="596"/>
      <c r="Z247" s="596"/>
      <c r="AA247" s="596"/>
    </row>
    <row r="248" spans="2:27" ht="12" customHeight="1">
      <c r="B248" s="766"/>
      <c r="C248" s="761" t="s">
        <v>131</v>
      </c>
      <c r="D248" s="761" t="s">
        <v>1878</v>
      </c>
      <c r="E248" s="762" t="s">
        <v>132</v>
      </c>
      <c r="F248" s="762" t="s">
        <v>3655</v>
      </c>
      <c r="G248" s="763" t="s">
        <v>481</v>
      </c>
      <c r="H248" s="764" t="s">
        <v>500</v>
      </c>
      <c r="I248" s="680"/>
      <c r="J248" s="613" t="s">
        <v>51</v>
      </c>
      <c r="K248" s="614"/>
      <c r="L248" s="609"/>
      <c r="M248" s="610"/>
      <c r="N248" s="615" t="s">
        <v>893</v>
      </c>
      <c r="O248" s="615" t="s">
        <v>3628</v>
      </c>
      <c r="P248" s="497" t="s">
        <v>2285</v>
      </c>
      <c r="Q248" s="1369"/>
      <c r="S248" s="596"/>
      <c r="T248" s="596"/>
      <c r="U248" s="596"/>
      <c r="V248" s="596"/>
      <c r="W248" s="596"/>
      <c r="X248" s="596"/>
      <c r="Y248" s="596"/>
      <c r="Z248" s="596"/>
      <c r="AA248" s="596"/>
    </row>
    <row r="249" spans="2:27" ht="12" customHeight="1">
      <c r="B249" s="766"/>
      <c r="C249" s="761" t="s">
        <v>380</v>
      </c>
      <c r="D249" s="761" t="s">
        <v>1878</v>
      </c>
      <c r="E249" s="762" t="s">
        <v>1759</v>
      </c>
      <c r="F249" s="762" t="s">
        <v>3656</v>
      </c>
      <c r="G249" s="763" t="s">
        <v>482</v>
      </c>
      <c r="H249" s="764" t="s">
        <v>501</v>
      </c>
      <c r="I249" s="680"/>
      <c r="J249" s="613" t="s">
        <v>892</v>
      </c>
      <c r="K249" s="614"/>
      <c r="L249" s="609"/>
      <c r="M249" s="610"/>
      <c r="N249" s="615" t="s">
        <v>372</v>
      </c>
      <c r="O249" s="615" t="s">
        <v>383</v>
      </c>
      <c r="P249" s="497" t="s">
        <v>2286</v>
      </c>
      <c r="Q249" s="1369"/>
      <c r="S249" s="596"/>
      <c r="T249" s="596"/>
      <c r="U249" s="596"/>
      <c r="V249" s="596"/>
      <c r="W249" s="596"/>
      <c r="X249" s="596"/>
      <c r="Y249" s="596"/>
      <c r="Z249" s="596"/>
      <c r="AA249" s="596"/>
    </row>
    <row r="250" spans="2:27" ht="12" customHeight="1">
      <c r="B250" s="766"/>
      <c r="C250" s="767" t="s">
        <v>381</v>
      </c>
      <c r="D250" s="761" t="s">
        <v>1902</v>
      </c>
      <c r="E250" s="762" t="s">
        <v>382</v>
      </c>
      <c r="F250" s="762" t="s">
        <v>3655</v>
      </c>
      <c r="G250" s="763" t="s">
        <v>483</v>
      </c>
      <c r="H250" s="764" t="s">
        <v>500</v>
      </c>
      <c r="I250" s="680"/>
      <c r="J250" s="613" t="s">
        <v>371</v>
      </c>
      <c r="K250" s="614"/>
      <c r="L250" s="609"/>
      <c r="M250" s="610"/>
      <c r="N250" s="615" t="s">
        <v>3337</v>
      </c>
      <c r="O250" s="615" t="s">
        <v>235</v>
      </c>
      <c r="P250" s="497" t="s">
        <v>2287</v>
      </c>
      <c r="Q250" s="1369"/>
      <c r="S250" s="596"/>
      <c r="T250" s="596"/>
      <c r="U250" s="596"/>
      <c r="V250" s="596"/>
      <c r="W250" s="596"/>
      <c r="X250" s="596"/>
      <c r="Y250" s="596"/>
      <c r="Z250" s="596"/>
      <c r="AA250" s="596"/>
    </row>
    <row r="251" spans="2:27" ht="12" customHeight="1">
      <c r="B251" s="766"/>
      <c r="C251" s="761" t="s">
        <v>383</v>
      </c>
      <c r="D251" s="761" t="s">
        <v>1878</v>
      </c>
      <c r="E251" s="765" t="s">
        <v>1246</v>
      </c>
      <c r="F251" s="765" t="s">
        <v>3656</v>
      </c>
      <c r="G251" s="763" t="s">
        <v>484</v>
      </c>
      <c r="H251" s="764" t="s">
        <v>501</v>
      </c>
      <c r="I251" s="681"/>
      <c r="J251" s="613" t="s">
        <v>3336</v>
      </c>
      <c r="K251" s="614"/>
      <c r="L251" s="609"/>
      <c r="M251" s="610"/>
      <c r="N251" s="615" t="s">
        <v>3368</v>
      </c>
      <c r="O251" s="615" t="s">
        <v>2499</v>
      </c>
      <c r="P251" s="497" t="s">
        <v>2288</v>
      </c>
      <c r="Q251" s="1369"/>
      <c r="S251" s="596"/>
      <c r="T251" s="596"/>
      <c r="U251" s="596"/>
      <c r="V251" s="596"/>
      <c r="W251" s="596"/>
      <c r="X251" s="596"/>
      <c r="Y251" s="596"/>
      <c r="Z251" s="596"/>
      <c r="AA251" s="596"/>
    </row>
    <row r="252" spans="2:27" ht="12" customHeight="1">
      <c r="B252" s="766"/>
      <c r="C252" s="761" t="s">
        <v>384</v>
      </c>
      <c r="D252" s="761" t="s">
        <v>1902</v>
      </c>
      <c r="E252" s="765" t="s">
        <v>198</v>
      </c>
      <c r="F252" s="765" t="s">
        <v>3656</v>
      </c>
      <c r="G252" s="763" t="s">
        <v>2529</v>
      </c>
      <c r="H252" s="764" t="s">
        <v>501</v>
      </c>
      <c r="I252" s="681"/>
      <c r="J252" s="613" t="s">
        <v>3367</v>
      </c>
      <c r="K252" s="614"/>
      <c r="L252" s="609"/>
      <c r="M252" s="610"/>
      <c r="N252" s="615" t="s">
        <v>888</v>
      </c>
      <c r="O252" s="615" t="s">
        <v>1894</v>
      </c>
      <c r="P252" s="497" t="s">
        <v>2289</v>
      </c>
      <c r="Q252" s="1369"/>
      <c r="S252" s="596"/>
      <c r="T252" s="596"/>
      <c r="U252" s="596"/>
      <c r="V252" s="596"/>
      <c r="W252" s="596"/>
      <c r="X252" s="596"/>
      <c r="Y252" s="596"/>
      <c r="Z252" s="596"/>
      <c r="AA252" s="596"/>
    </row>
    <row r="253" spans="2:27" ht="12" customHeight="1">
      <c r="B253" s="766"/>
      <c r="C253" s="761" t="s">
        <v>385</v>
      </c>
      <c r="D253" s="761" t="s">
        <v>1902</v>
      </c>
      <c r="E253" s="762" t="s">
        <v>386</v>
      </c>
      <c r="F253" s="762" t="s">
        <v>3655</v>
      </c>
      <c r="G253" s="763" t="s">
        <v>485</v>
      </c>
      <c r="H253" s="764" t="s">
        <v>500</v>
      </c>
      <c r="I253" s="680"/>
      <c r="J253" s="613" t="s">
        <v>3369</v>
      </c>
      <c r="K253" s="614"/>
      <c r="L253" s="609"/>
      <c r="M253" s="610"/>
      <c r="N253" s="615" t="s">
        <v>1891</v>
      </c>
      <c r="O253" s="615" t="s">
        <v>923</v>
      </c>
      <c r="P253" s="497" t="s">
        <v>2290</v>
      </c>
      <c r="Q253" s="1369"/>
      <c r="S253" s="596"/>
      <c r="T253" s="596"/>
      <c r="U253" s="596"/>
      <c r="V253" s="596"/>
      <c r="W253" s="596"/>
      <c r="X253" s="596"/>
      <c r="Y253" s="596"/>
      <c r="Z253" s="596"/>
      <c r="AA253" s="596"/>
    </row>
    <row r="254" spans="2:27" ht="12" customHeight="1">
      <c r="B254" s="766"/>
      <c r="C254" s="761" t="s">
        <v>387</v>
      </c>
      <c r="D254" s="761" t="s">
        <v>1902</v>
      </c>
      <c r="E254" s="765" t="s">
        <v>1244</v>
      </c>
      <c r="F254" s="765" t="s">
        <v>3656</v>
      </c>
      <c r="G254" s="763" t="s">
        <v>3610</v>
      </c>
      <c r="H254" s="764" t="s">
        <v>501</v>
      </c>
      <c r="I254" s="681"/>
      <c r="J254" s="613" t="s">
        <v>3370</v>
      </c>
      <c r="K254" s="614"/>
      <c r="L254" s="609"/>
      <c r="M254" s="610"/>
      <c r="N254" s="615" t="s">
        <v>3326</v>
      </c>
      <c r="O254" s="615" t="s">
        <v>3490</v>
      </c>
      <c r="P254" s="497" t="s">
        <v>2291</v>
      </c>
      <c r="Q254" s="1369"/>
      <c r="S254" s="596"/>
      <c r="T254" s="596"/>
      <c r="U254" s="596"/>
      <c r="V254" s="596"/>
      <c r="W254" s="596"/>
      <c r="X254" s="596"/>
      <c r="Y254" s="596"/>
      <c r="Z254" s="596"/>
      <c r="AA254" s="596"/>
    </row>
    <row r="255" spans="2:27" ht="12" customHeight="1">
      <c r="B255" s="766"/>
      <c r="C255" s="761" t="s">
        <v>388</v>
      </c>
      <c r="D255" s="761" t="s">
        <v>1902</v>
      </c>
      <c r="E255" s="765" t="s">
        <v>1244</v>
      </c>
      <c r="F255" s="765" t="s">
        <v>3656</v>
      </c>
      <c r="G255" s="763" t="s">
        <v>3610</v>
      </c>
      <c r="H255" s="764" t="s">
        <v>501</v>
      </c>
      <c r="I255" s="681"/>
      <c r="J255" s="613" t="s">
        <v>3325</v>
      </c>
      <c r="K255" s="614"/>
      <c r="L255" s="609"/>
      <c r="M255" s="610"/>
      <c r="N255" s="615" t="s">
        <v>12</v>
      </c>
      <c r="O255" s="615" t="s">
        <v>932</v>
      </c>
      <c r="P255" s="497" t="s">
        <v>2292</v>
      </c>
      <c r="Q255" s="1369"/>
      <c r="S255" s="596"/>
      <c r="T255" s="596"/>
      <c r="U255" s="596"/>
      <c r="V255" s="596"/>
      <c r="W255" s="596"/>
      <c r="X255" s="596"/>
      <c r="Y255" s="596"/>
      <c r="Z255" s="596"/>
      <c r="AA255" s="596"/>
    </row>
    <row r="256" spans="2:27" ht="12" customHeight="1">
      <c r="B256" s="766"/>
      <c r="C256" s="761" t="s">
        <v>389</v>
      </c>
      <c r="D256" s="761" t="s">
        <v>1902</v>
      </c>
      <c r="E256" s="765" t="s">
        <v>2556</v>
      </c>
      <c r="F256" s="765" t="s">
        <v>3656</v>
      </c>
      <c r="G256" s="763" t="s">
        <v>486</v>
      </c>
      <c r="H256" s="764" t="s">
        <v>501</v>
      </c>
      <c r="I256" s="681"/>
      <c r="J256" s="613" t="s">
        <v>11</v>
      </c>
      <c r="K256" s="614"/>
      <c r="L256" s="609"/>
      <c r="M256" s="610"/>
      <c r="N256" s="615" t="s">
        <v>14</v>
      </c>
      <c r="O256" s="615" t="s">
        <v>383</v>
      </c>
      <c r="P256" s="616" t="s">
        <v>2293</v>
      </c>
      <c r="Q256" s="1369"/>
      <c r="S256" s="596"/>
      <c r="T256" s="596"/>
      <c r="U256" s="596"/>
      <c r="V256" s="596"/>
      <c r="W256" s="596"/>
      <c r="X256" s="596"/>
      <c r="Y256" s="596"/>
      <c r="Z256" s="596"/>
      <c r="AA256" s="596"/>
    </row>
    <row r="257" spans="2:27" ht="12" customHeight="1">
      <c r="B257" s="766"/>
      <c r="C257" s="761" t="s">
        <v>390</v>
      </c>
      <c r="D257" s="761" t="s">
        <v>1749</v>
      </c>
      <c r="E257" s="762" t="s">
        <v>391</v>
      </c>
      <c r="F257" s="762" t="s">
        <v>3655</v>
      </c>
      <c r="G257" s="763" t="s">
        <v>913</v>
      </c>
      <c r="H257" s="764" t="s">
        <v>500</v>
      </c>
      <c r="I257" s="680"/>
      <c r="J257" s="613" t="s">
        <v>13</v>
      </c>
      <c r="K257" s="614"/>
      <c r="L257" s="609"/>
      <c r="M257" s="610"/>
      <c r="N257" s="615" t="s">
        <v>63</v>
      </c>
      <c r="O257" s="615" t="s">
        <v>3620</v>
      </c>
      <c r="P257" s="497" t="s">
        <v>2294</v>
      </c>
      <c r="Q257" s="1369"/>
      <c r="S257" s="596"/>
      <c r="T257" s="596"/>
      <c r="U257" s="596"/>
      <c r="V257" s="596"/>
      <c r="W257" s="596"/>
      <c r="X257" s="596"/>
      <c r="Y257" s="596"/>
      <c r="Z257" s="596"/>
      <c r="AA257" s="596"/>
    </row>
    <row r="258" spans="2:27" ht="12" customHeight="1">
      <c r="B258" s="766"/>
      <c r="C258" s="761" t="s">
        <v>392</v>
      </c>
      <c r="D258" s="761" t="s">
        <v>1902</v>
      </c>
      <c r="E258" s="762" t="s">
        <v>393</v>
      </c>
      <c r="F258" s="762" t="s">
        <v>3655</v>
      </c>
      <c r="G258" s="763" t="s">
        <v>914</v>
      </c>
      <c r="H258" s="764" t="s">
        <v>500</v>
      </c>
      <c r="I258" s="680"/>
      <c r="J258" s="613" t="s">
        <v>62</v>
      </c>
      <c r="K258" s="614"/>
      <c r="L258" s="609"/>
      <c r="M258" s="610"/>
      <c r="N258" s="615" t="s">
        <v>65</v>
      </c>
      <c r="O258" s="615" t="s">
        <v>429</v>
      </c>
      <c r="P258" s="497" t="s">
        <v>2295</v>
      </c>
      <c r="Q258" s="1369"/>
      <c r="S258" s="596"/>
      <c r="T258" s="596"/>
      <c r="U258" s="596"/>
      <c r="V258" s="596"/>
      <c r="W258" s="596"/>
      <c r="X258" s="596"/>
      <c r="Y258" s="596"/>
      <c r="Z258" s="596"/>
      <c r="AA258" s="596"/>
    </row>
    <row r="259" spans="2:27" ht="12" customHeight="1">
      <c r="B259" s="766"/>
      <c r="C259" s="761" t="s">
        <v>394</v>
      </c>
      <c r="D259" s="761" t="s">
        <v>1902</v>
      </c>
      <c r="E259" s="765" t="s">
        <v>1244</v>
      </c>
      <c r="F259" s="765" t="s">
        <v>3656</v>
      </c>
      <c r="G259" s="763" t="s">
        <v>3610</v>
      </c>
      <c r="H259" s="764" t="s">
        <v>501</v>
      </c>
      <c r="I259" s="681"/>
      <c r="J259" s="613" t="s">
        <v>64</v>
      </c>
      <c r="K259" s="614"/>
      <c r="L259" s="609"/>
      <c r="M259" s="610"/>
      <c r="N259" s="615" t="s">
        <v>67</v>
      </c>
      <c r="O259" s="615" t="s">
        <v>130</v>
      </c>
      <c r="P259" s="497" t="s">
        <v>2296</v>
      </c>
      <c r="Q259" s="1369"/>
      <c r="S259" s="596"/>
      <c r="T259" s="596"/>
      <c r="U259" s="596"/>
      <c r="V259" s="596"/>
      <c r="W259" s="596"/>
      <c r="X259" s="596"/>
      <c r="Y259" s="596"/>
      <c r="Z259" s="596"/>
      <c r="AA259" s="596"/>
    </row>
    <row r="260" spans="2:27" ht="12" customHeight="1">
      <c r="B260" s="766"/>
      <c r="C260" s="761" t="s">
        <v>395</v>
      </c>
      <c r="D260" s="761" t="s">
        <v>1749</v>
      </c>
      <c r="E260" s="762" t="s">
        <v>396</v>
      </c>
      <c r="F260" s="762" t="s">
        <v>3655</v>
      </c>
      <c r="G260" s="763" t="s">
        <v>915</v>
      </c>
      <c r="H260" s="764" t="s">
        <v>500</v>
      </c>
      <c r="I260" s="680"/>
      <c r="J260" s="613" t="s">
        <v>66</v>
      </c>
      <c r="K260" s="614"/>
      <c r="L260" s="609"/>
      <c r="M260" s="610"/>
      <c r="N260" s="615" t="s">
        <v>424</v>
      </c>
      <c r="O260" s="615" t="s">
        <v>3078</v>
      </c>
      <c r="P260" s="497" t="s">
        <v>2297</v>
      </c>
      <c r="Q260" s="1369"/>
      <c r="S260" s="596"/>
      <c r="T260" s="596"/>
      <c r="U260" s="596"/>
      <c r="V260" s="596"/>
      <c r="W260" s="596"/>
      <c r="X260" s="596"/>
      <c r="Y260" s="596"/>
      <c r="Z260" s="596"/>
      <c r="AA260" s="596"/>
    </row>
    <row r="261" spans="2:27" ht="12" customHeight="1">
      <c r="B261" s="766"/>
      <c r="C261" s="761" t="s">
        <v>397</v>
      </c>
      <c r="D261" s="761" t="s">
        <v>1902</v>
      </c>
      <c r="E261" s="762" t="s">
        <v>398</v>
      </c>
      <c r="F261" s="762" t="s">
        <v>3655</v>
      </c>
      <c r="G261" s="763" t="s">
        <v>326</v>
      </c>
      <c r="H261" s="764" t="s">
        <v>500</v>
      </c>
      <c r="I261" s="680"/>
      <c r="J261" s="613" t="s">
        <v>423</v>
      </c>
      <c r="K261" s="614"/>
      <c r="L261" s="609"/>
      <c r="M261" s="610"/>
      <c r="N261" s="615" t="s">
        <v>426</v>
      </c>
      <c r="O261" s="615" t="s">
        <v>1448</v>
      </c>
      <c r="P261" s="497" t="s">
        <v>2298</v>
      </c>
      <c r="Q261" s="1369"/>
      <c r="S261" s="596"/>
      <c r="T261" s="596"/>
      <c r="U261" s="596"/>
      <c r="V261" s="596"/>
      <c r="W261" s="596"/>
      <c r="X261" s="596"/>
      <c r="Y261" s="596"/>
      <c r="Z261" s="596"/>
      <c r="AA261" s="596"/>
    </row>
    <row r="262" spans="2:27" ht="12" customHeight="1">
      <c r="B262" s="766"/>
      <c r="C262" s="761" t="s">
        <v>399</v>
      </c>
      <c r="D262" s="761" t="s">
        <v>1749</v>
      </c>
      <c r="E262" s="762" t="s">
        <v>400</v>
      </c>
      <c r="F262" s="762" t="s">
        <v>3655</v>
      </c>
      <c r="G262" s="763" t="s">
        <v>327</v>
      </c>
      <c r="H262" s="764" t="s">
        <v>500</v>
      </c>
      <c r="I262" s="680"/>
      <c r="J262" s="613" t="s">
        <v>425</v>
      </c>
      <c r="K262" s="614"/>
      <c r="L262" s="609"/>
      <c r="M262" s="610"/>
      <c r="N262" s="615" t="s">
        <v>428</v>
      </c>
      <c r="O262" s="615" t="s">
        <v>1604</v>
      </c>
      <c r="P262" s="497" t="s">
        <v>2299</v>
      </c>
      <c r="Q262" s="1369"/>
      <c r="S262" s="596"/>
      <c r="T262" s="596"/>
      <c r="U262" s="596"/>
      <c r="V262" s="596"/>
      <c r="W262" s="596"/>
      <c r="X262" s="596"/>
      <c r="Y262" s="596"/>
      <c r="Z262" s="596"/>
      <c r="AA262" s="596"/>
    </row>
    <row r="263" spans="2:27" ht="12" customHeight="1">
      <c r="B263" s="766"/>
      <c r="C263" s="761" t="s">
        <v>401</v>
      </c>
      <c r="D263" s="761" t="s">
        <v>1749</v>
      </c>
      <c r="E263" s="762" t="s">
        <v>402</v>
      </c>
      <c r="F263" s="762" t="s">
        <v>3655</v>
      </c>
      <c r="G263" s="763" t="s">
        <v>328</v>
      </c>
      <c r="H263" s="764" t="s">
        <v>500</v>
      </c>
      <c r="I263" s="680"/>
      <c r="J263" s="613" t="s">
        <v>427</v>
      </c>
      <c r="K263" s="614"/>
      <c r="L263" s="609"/>
      <c r="M263" s="610"/>
      <c r="N263" s="615" t="s">
        <v>889</v>
      </c>
      <c r="O263" s="615" t="s">
        <v>2038</v>
      </c>
      <c r="P263" s="497" t="s">
        <v>2300</v>
      </c>
      <c r="Q263" s="1369"/>
      <c r="S263" s="596"/>
      <c r="T263" s="596"/>
      <c r="U263" s="596"/>
      <c r="V263" s="596"/>
      <c r="W263" s="596"/>
      <c r="X263" s="596"/>
      <c r="Y263" s="596"/>
      <c r="Z263" s="596"/>
      <c r="AA263" s="596"/>
    </row>
    <row r="264" spans="2:27" ht="12" customHeight="1">
      <c r="B264" s="766"/>
      <c r="C264" s="761" t="s">
        <v>594</v>
      </c>
      <c r="D264" s="761" t="s">
        <v>1902</v>
      </c>
      <c r="E264" s="765" t="s">
        <v>1887</v>
      </c>
      <c r="F264" s="765" t="s">
        <v>3656</v>
      </c>
      <c r="G264" s="763" t="s">
        <v>3613</v>
      </c>
      <c r="H264" s="764" t="s">
        <v>501</v>
      </c>
      <c r="I264" s="681"/>
      <c r="J264" s="613" t="s">
        <v>3204</v>
      </c>
      <c r="K264" s="614"/>
      <c r="L264" s="609"/>
      <c r="M264" s="610"/>
      <c r="N264" s="615" t="s">
        <v>3205</v>
      </c>
      <c r="O264" s="615" t="s">
        <v>935</v>
      </c>
      <c r="P264" s="497" t="s">
        <v>2301</v>
      </c>
      <c r="Q264" s="1369"/>
      <c r="S264" s="596"/>
      <c r="T264" s="596"/>
      <c r="U264" s="596"/>
      <c r="V264" s="596"/>
      <c r="W264" s="596"/>
      <c r="X264" s="596"/>
      <c r="Y264" s="596"/>
      <c r="Z264" s="596"/>
      <c r="AA264" s="596"/>
    </row>
    <row r="265" spans="2:27" ht="12" customHeight="1">
      <c r="B265" s="766"/>
      <c r="C265" s="761" t="s">
        <v>595</v>
      </c>
      <c r="D265" s="761" t="s">
        <v>1902</v>
      </c>
      <c r="E265" s="765" t="s">
        <v>1247</v>
      </c>
      <c r="F265" s="765" t="s">
        <v>3656</v>
      </c>
      <c r="G265" s="763" t="s">
        <v>329</v>
      </c>
      <c r="H265" s="764" t="s">
        <v>501</v>
      </c>
      <c r="I265" s="681"/>
      <c r="J265" s="613" t="s">
        <v>3206</v>
      </c>
      <c r="K265" s="614"/>
      <c r="L265" s="609"/>
      <c r="M265" s="610"/>
      <c r="N265" s="615" t="s">
        <v>1899</v>
      </c>
      <c r="O265" s="615" t="s">
        <v>933</v>
      </c>
      <c r="P265" s="497" t="s">
        <v>2302</v>
      </c>
      <c r="Q265" s="1369"/>
      <c r="S265" s="596"/>
      <c r="T265" s="596"/>
      <c r="U265" s="596"/>
      <c r="V265" s="596"/>
      <c r="W265" s="596"/>
      <c r="X265" s="596"/>
      <c r="Y265" s="596"/>
      <c r="Z265" s="596"/>
      <c r="AA265" s="596"/>
    </row>
    <row r="266" spans="2:27" ht="12" customHeight="1">
      <c r="B266" s="766"/>
      <c r="C266" s="761" t="s">
        <v>2037</v>
      </c>
      <c r="D266" s="761" t="s">
        <v>1749</v>
      </c>
      <c r="E266" s="762" t="s">
        <v>2543</v>
      </c>
      <c r="F266" s="762" t="s">
        <v>3656</v>
      </c>
      <c r="G266" s="763" t="s">
        <v>3616</v>
      </c>
      <c r="H266" s="764" t="s">
        <v>501</v>
      </c>
      <c r="I266" s="680"/>
      <c r="J266" s="613" t="s">
        <v>3207</v>
      </c>
      <c r="K266" s="614"/>
      <c r="L266" s="609"/>
      <c r="M266" s="610"/>
      <c r="N266" s="615" t="s">
        <v>3209</v>
      </c>
      <c r="O266" s="615" t="s">
        <v>113</v>
      </c>
      <c r="P266" s="497" t="s">
        <v>2303</v>
      </c>
      <c r="Q266" s="1369"/>
      <c r="S266" s="596"/>
      <c r="T266" s="596"/>
      <c r="U266" s="596"/>
      <c r="V266" s="596"/>
      <c r="W266" s="596"/>
      <c r="X266" s="596"/>
      <c r="Y266" s="596"/>
      <c r="Z266" s="596"/>
      <c r="AA266" s="596"/>
    </row>
    <row r="267" spans="2:27" ht="12" customHeight="1">
      <c r="B267" s="766"/>
      <c r="C267" s="761" t="s">
        <v>2038</v>
      </c>
      <c r="D267" s="761" t="s">
        <v>1749</v>
      </c>
      <c r="E267" s="762" t="s">
        <v>2039</v>
      </c>
      <c r="F267" s="762" t="s">
        <v>3655</v>
      </c>
      <c r="G267" s="763" t="s">
        <v>330</v>
      </c>
      <c r="H267" s="764" t="s">
        <v>500</v>
      </c>
      <c r="I267" s="680"/>
      <c r="J267" s="613" t="s">
        <v>3208</v>
      </c>
      <c r="K267" s="614"/>
      <c r="L267" s="609"/>
      <c r="M267" s="610"/>
      <c r="N267" s="615" t="s">
        <v>2164</v>
      </c>
      <c r="O267" s="615" t="s">
        <v>2384</v>
      </c>
      <c r="P267" s="497" t="s">
        <v>2304</v>
      </c>
      <c r="Q267" s="1369"/>
      <c r="S267" s="596"/>
      <c r="T267" s="596"/>
      <c r="U267" s="596"/>
      <c r="V267" s="596"/>
      <c r="W267" s="596"/>
      <c r="X267" s="596"/>
      <c r="Y267" s="596"/>
      <c r="Z267" s="596"/>
      <c r="AA267" s="596"/>
    </row>
    <row r="268" spans="2:27" ht="12" customHeight="1">
      <c r="B268" s="766"/>
      <c r="C268" s="761" t="s">
        <v>2040</v>
      </c>
      <c r="D268" s="761" t="s">
        <v>1749</v>
      </c>
      <c r="E268" s="765" t="s">
        <v>2637</v>
      </c>
      <c r="F268" s="765" t="s">
        <v>3656</v>
      </c>
      <c r="G268" s="763" t="s">
        <v>1683</v>
      </c>
      <c r="H268" s="764" t="s">
        <v>501</v>
      </c>
      <c r="I268" s="681"/>
      <c r="J268" s="613" t="s">
        <v>2163</v>
      </c>
      <c r="K268" s="614"/>
      <c r="L268" s="609"/>
      <c r="M268" s="610"/>
      <c r="N268" s="615" t="s">
        <v>2166</v>
      </c>
      <c r="O268" s="615" t="s">
        <v>926</v>
      </c>
      <c r="P268" s="497" t="s">
        <v>2305</v>
      </c>
      <c r="Q268" s="1369"/>
      <c r="S268" s="596"/>
      <c r="T268" s="596"/>
      <c r="U268" s="596"/>
      <c r="V268" s="596"/>
      <c r="W268" s="596"/>
      <c r="X268" s="596"/>
      <c r="Y268" s="596"/>
      <c r="Z268" s="596"/>
      <c r="AA268" s="596"/>
    </row>
    <row r="269" spans="2:27" ht="12" customHeight="1">
      <c r="B269" s="766"/>
      <c r="C269" s="761" t="s">
        <v>2041</v>
      </c>
      <c r="D269" s="761" t="s">
        <v>1749</v>
      </c>
      <c r="E269" s="762" t="s">
        <v>1248</v>
      </c>
      <c r="F269" s="762" t="s">
        <v>3656</v>
      </c>
      <c r="G269" s="763" t="s">
        <v>331</v>
      </c>
      <c r="H269" s="764" t="s">
        <v>501</v>
      </c>
      <c r="I269" s="680"/>
      <c r="J269" s="613" t="s">
        <v>2165</v>
      </c>
      <c r="K269" s="614"/>
      <c r="L269" s="609"/>
      <c r="M269" s="610"/>
      <c r="N269" s="615" t="s">
        <v>2168</v>
      </c>
      <c r="O269" s="615" t="s">
        <v>201</v>
      </c>
      <c r="P269" s="497" t="s">
        <v>2306</v>
      </c>
      <c r="Q269" s="1369"/>
      <c r="S269" s="596"/>
      <c r="T269" s="596"/>
      <c r="U269" s="596"/>
      <c r="V269" s="596"/>
      <c r="W269" s="596"/>
      <c r="X269" s="596"/>
      <c r="Y269" s="596"/>
      <c r="Z269" s="596"/>
      <c r="AA269" s="596"/>
    </row>
    <row r="270" spans="2:27" ht="12" customHeight="1">
      <c r="B270" s="766"/>
      <c r="C270" s="761" t="s">
        <v>2042</v>
      </c>
      <c r="D270" s="761" t="s">
        <v>1902</v>
      </c>
      <c r="E270" s="762" t="s">
        <v>2043</v>
      </c>
      <c r="F270" s="762" t="s">
        <v>3655</v>
      </c>
      <c r="G270" s="763" t="s">
        <v>3535</v>
      </c>
      <c r="H270" s="764" t="s">
        <v>500</v>
      </c>
      <c r="I270" s="680"/>
      <c r="J270" s="613" t="s">
        <v>2167</v>
      </c>
      <c r="K270" s="614"/>
      <c r="L270" s="609"/>
      <c r="M270" s="610"/>
      <c r="N270" s="615" t="s">
        <v>2170</v>
      </c>
      <c r="O270" s="615" t="s">
        <v>1880</v>
      </c>
      <c r="P270" s="497" t="s">
        <v>2307</v>
      </c>
      <c r="Q270" s="1369"/>
      <c r="S270" s="596"/>
      <c r="T270" s="596"/>
      <c r="U270" s="596"/>
      <c r="V270" s="596"/>
      <c r="W270" s="596"/>
      <c r="X270" s="596"/>
      <c r="Y270" s="596"/>
      <c r="Z270" s="596"/>
      <c r="AA270" s="596"/>
    </row>
    <row r="271" spans="2:27" ht="12" customHeight="1">
      <c r="B271" s="766"/>
      <c r="C271" s="761" t="s">
        <v>2044</v>
      </c>
      <c r="D271" s="761" t="s">
        <v>1749</v>
      </c>
      <c r="E271" s="762" t="s">
        <v>2045</v>
      </c>
      <c r="F271" s="762" t="s">
        <v>3656</v>
      </c>
      <c r="G271" s="763" t="s">
        <v>967</v>
      </c>
      <c r="H271" s="764" t="s">
        <v>501</v>
      </c>
      <c r="I271" s="680"/>
      <c r="J271" s="613" t="s">
        <v>2169</v>
      </c>
      <c r="K271" s="614"/>
      <c r="L271" s="609"/>
      <c r="M271" s="610"/>
      <c r="N271" s="615" t="s">
        <v>2172</v>
      </c>
      <c r="O271" s="615" t="s">
        <v>217</v>
      </c>
      <c r="P271" s="497" t="s">
        <v>2308</v>
      </c>
      <c r="Q271" s="1369"/>
      <c r="S271" s="596"/>
      <c r="T271" s="596"/>
      <c r="U271" s="596"/>
      <c r="V271" s="596"/>
      <c r="W271" s="596"/>
      <c r="X271" s="596"/>
      <c r="Y271" s="596"/>
      <c r="Z271" s="596"/>
      <c r="AA271" s="596"/>
    </row>
    <row r="272" spans="2:27" ht="12" customHeight="1">
      <c r="B272" s="766"/>
      <c r="C272" s="761" t="s">
        <v>213</v>
      </c>
      <c r="D272" s="761" t="s">
        <v>1749</v>
      </c>
      <c r="E272" s="762" t="s">
        <v>2543</v>
      </c>
      <c r="F272" s="762" t="s">
        <v>3656</v>
      </c>
      <c r="G272" s="763" t="s">
        <v>3616</v>
      </c>
      <c r="H272" s="764" t="s">
        <v>501</v>
      </c>
      <c r="I272" s="680"/>
      <c r="J272" s="613" t="s">
        <v>2171</v>
      </c>
      <c r="K272" s="614"/>
      <c r="L272" s="609"/>
      <c r="M272" s="610"/>
      <c r="N272" s="615" t="s">
        <v>2597</v>
      </c>
      <c r="O272" s="615" t="s">
        <v>926</v>
      </c>
      <c r="P272" s="497" t="s">
        <v>2309</v>
      </c>
      <c r="Q272" s="1369"/>
      <c r="S272" s="596"/>
      <c r="T272" s="596"/>
      <c r="U272" s="596"/>
      <c r="V272" s="596"/>
      <c r="W272" s="596"/>
      <c r="X272" s="596"/>
      <c r="Y272" s="596"/>
      <c r="Z272" s="596"/>
      <c r="AA272" s="596"/>
    </row>
    <row r="273" spans="2:27" ht="12" customHeight="1">
      <c r="B273" s="766"/>
      <c r="C273" s="761" t="s">
        <v>214</v>
      </c>
      <c r="D273" s="761" t="s">
        <v>1878</v>
      </c>
      <c r="E273" s="765" t="s">
        <v>215</v>
      </c>
      <c r="F273" s="765" t="s">
        <v>3655</v>
      </c>
      <c r="G273" s="763" t="s">
        <v>968</v>
      </c>
      <c r="H273" s="764" t="s">
        <v>500</v>
      </c>
      <c r="I273" s="681"/>
      <c r="J273" s="613" t="s">
        <v>2596</v>
      </c>
      <c r="K273" s="614"/>
      <c r="L273" s="609"/>
      <c r="M273" s="610"/>
      <c r="N273" s="615" t="s">
        <v>2599</v>
      </c>
      <c r="O273" s="615" t="s">
        <v>1129</v>
      </c>
      <c r="P273" s="497" t="s">
        <v>2310</v>
      </c>
      <c r="Q273" s="1369"/>
      <c r="S273" s="596"/>
      <c r="T273" s="596"/>
      <c r="U273" s="596"/>
      <c r="V273" s="596"/>
      <c r="W273" s="596"/>
      <c r="X273" s="596"/>
      <c r="Y273" s="596"/>
      <c r="Z273" s="596"/>
      <c r="AA273" s="596"/>
    </row>
    <row r="274" spans="2:27" ht="12" customHeight="1">
      <c r="B274" s="766"/>
      <c r="C274" s="761" t="s">
        <v>1887</v>
      </c>
      <c r="D274" s="761" t="s">
        <v>1902</v>
      </c>
      <c r="E274" s="762" t="s">
        <v>216</v>
      </c>
      <c r="F274" s="762" t="s">
        <v>3655</v>
      </c>
      <c r="G274" s="763" t="s">
        <v>969</v>
      </c>
      <c r="H274" s="764" t="s">
        <v>500</v>
      </c>
      <c r="I274" s="680"/>
      <c r="J274" s="613" t="s">
        <v>2598</v>
      </c>
      <c r="K274" s="614"/>
      <c r="L274" s="609"/>
      <c r="M274" s="610"/>
      <c r="N274" s="615" t="s">
        <v>1528</v>
      </c>
      <c r="O274" s="615" t="s">
        <v>1881</v>
      </c>
      <c r="P274" s="497" t="s">
        <v>2311</v>
      </c>
      <c r="Q274" s="1369"/>
      <c r="S274" s="596"/>
      <c r="T274" s="596"/>
      <c r="U274" s="596"/>
      <c r="V274" s="596"/>
      <c r="W274" s="596"/>
      <c r="X274" s="596"/>
      <c r="Y274" s="596"/>
      <c r="Z274" s="596"/>
      <c r="AA274" s="596"/>
    </row>
    <row r="275" spans="2:27" ht="12" customHeight="1">
      <c r="B275" s="766"/>
      <c r="C275" s="761" t="s">
        <v>217</v>
      </c>
      <c r="D275" s="761" t="s">
        <v>1902</v>
      </c>
      <c r="E275" s="762" t="s">
        <v>2928</v>
      </c>
      <c r="F275" s="762" t="s">
        <v>3656</v>
      </c>
      <c r="G275" s="763" t="s">
        <v>879</v>
      </c>
      <c r="H275" s="764" t="s">
        <v>501</v>
      </c>
      <c r="I275" s="680"/>
      <c r="J275" s="613" t="s">
        <v>2600</v>
      </c>
      <c r="K275" s="614"/>
      <c r="L275" s="609"/>
      <c r="M275" s="610"/>
      <c r="N275" s="615" t="s">
        <v>1531</v>
      </c>
      <c r="O275" s="615" t="s">
        <v>924</v>
      </c>
      <c r="P275" s="497" t="s">
        <v>2312</v>
      </c>
      <c r="Q275" s="1369"/>
      <c r="S275" s="596"/>
      <c r="T275" s="596"/>
      <c r="U275" s="596"/>
      <c r="V275" s="596"/>
      <c r="W275" s="596"/>
      <c r="X275" s="596"/>
      <c r="Y275" s="596"/>
      <c r="Z275" s="596"/>
      <c r="AA275" s="596"/>
    </row>
    <row r="276" spans="2:27" ht="12" customHeight="1">
      <c r="B276" s="766"/>
      <c r="C276" s="761" t="s">
        <v>429</v>
      </c>
      <c r="D276" s="761" t="s">
        <v>1902</v>
      </c>
      <c r="E276" s="765" t="s">
        <v>198</v>
      </c>
      <c r="F276" s="765" t="s">
        <v>3656</v>
      </c>
      <c r="G276" s="763" t="s">
        <v>2529</v>
      </c>
      <c r="H276" s="764" t="s">
        <v>501</v>
      </c>
      <c r="I276" s="681"/>
      <c r="J276" s="613" t="s">
        <v>1529</v>
      </c>
      <c r="K276" s="614"/>
      <c r="L276" s="609"/>
      <c r="M276" s="610"/>
      <c r="N276" s="615" t="s">
        <v>283</v>
      </c>
      <c r="O276" s="615" t="s">
        <v>3542</v>
      </c>
      <c r="P276" s="497" t="s">
        <v>2313</v>
      </c>
      <c r="Q276" s="1369"/>
      <c r="S276" s="596"/>
      <c r="T276" s="596"/>
      <c r="U276" s="596"/>
      <c r="V276" s="596"/>
      <c r="W276" s="596"/>
      <c r="X276" s="596"/>
      <c r="Y276" s="596"/>
      <c r="Z276" s="596"/>
      <c r="AA276" s="596"/>
    </row>
    <row r="277" spans="2:27" ht="12" customHeight="1">
      <c r="B277" s="766"/>
      <c r="C277" s="761" t="s">
        <v>2752</v>
      </c>
      <c r="D277" s="761" t="s">
        <v>1902</v>
      </c>
      <c r="E277" s="765" t="s">
        <v>1245</v>
      </c>
      <c r="F277" s="765" t="s">
        <v>3656</v>
      </c>
      <c r="G277" s="763" t="s">
        <v>3635</v>
      </c>
      <c r="H277" s="764" t="s">
        <v>501</v>
      </c>
      <c r="I277" s="681"/>
      <c r="J277" s="613" t="s">
        <v>1530</v>
      </c>
      <c r="K277" s="614"/>
      <c r="L277" s="609"/>
      <c r="M277" s="610"/>
      <c r="N277" s="615" t="s">
        <v>2612</v>
      </c>
      <c r="O277" s="615" t="s">
        <v>1610</v>
      </c>
      <c r="P277" s="497" t="s">
        <v>2314</v>
      </c>
      <c r="Q277" s="1369"/>
      <c r="S277" s="596"/>
      <c r="T277" s="596"/>
      <c r="U277" s="596"/>
      <c r="V277" s="596"/>
      <c r="W277" s="596"/>
      <c r="X277" s="596"/>
      <c r="Y277" s="596"/>
      <c r="Z277" s="596"/>
      <c r="AA277" s="596"/>
    </row>
    <row r="278" spans="2:27" ht="12" customHeight="1">
      <c r="B278" s="766"/>
      <c r="C278" s="761" t="s">
        <v>2753</v>
      </c>
      <c r="D278" s="761" t="s">
        <v>1749</v>
      </c>
      <c r="E278" s="762" t="s">
        <v>12</v>
      </c>
      <c r="F278" s="762" t="s">
        <v>3656</v>
      </c>
      <c r="G278" s="763" t="s">
        <v>3615</v>
      </c>
      <c r="H278" s="764" t="s">
        <v>501</v>
      </c>
      <c r="I278" s="680"/>
      <c r="J278" s="613" t="s">
        <v>282</v>
      </c>
      <c r="K278" s="614"/>
      <c r="L278" s="609"/>
      <c r="M278" s="610"/>
      <c r="N278" s="615" t="s">
        <v>2948</v>
      </c>
      <c r="O278" s="615" t="s">
        <v>389</v>
      </c>
      <c r="P278" s="497" t="s">
        <v>2315</v>
      </c>
      <c r="Q278" s="1369"/>
      <c r="S278" s="596"/>
      <c r="T278" s="596"/>
      <c r="U278" s="596"/>
      <c r="V278" s="596"/>
      <c r="W278" s="596"/>
      <c r="X278" s="596"/>
      <c r="Y278" s="596"/>
      <c r="Z278" s="596"/>
      <c r="AA278" s="596"/>
    </row>
    <row r="279" spans="2:27" ht="12" customHeight="1">
      <c r="B279" s="766"/>
      <c r="C279" s="761" t="s">
        <v>2754</v>
      </c>
      <c r="D279" s="761" t="s">
        <v>1902</v>
      </c>
      <c r="E279" s="765" t="s">
        <v>1249</v>
      </c>
      <c r="F279" s="765" t="s">
        <v>3656</v>
      </c>
      <c r="G279" s="763" t="s">
        <v>970</v>
      </c>
      <c r="H279" s="764" t="s">
        <v>501</v>
      </c>
      <c r="I279" s="681"/>
      <c r="J279" s="613" t="s">
        <v>284</v>
      </c>
      <c r="K279" s="614"/>
      <c r="L279" s="609"/>
      <c r="M279" s="610"/>
      <c r="N279" s="615" t="s">
        <v>2950</v>
      </c>
      <c r="O279" s="615" t="s">
        <v>387</v>
      </c>
      <c r="P279" s="497" t="s">
        <v>2316</v>
      </c>
      <c r="Q279" s="1369"/>
      <c r="S279" s="596"/>
      <c r="T279" s="596"/>
      <c r="U279" s="596"/>
      <c r="V279" s="596"/>
      <c r="W279" s="596"/>
      <c r="X279" s="596"/>
      <c r="Y279" s="596"/>
      <c r="Z279" s="596"/>
      <c r="AA279" s="596"/>
    </row>
    <row r="280" spans="2:27" ht="12" customHeight="1">
      <c r="B280" s="766"/>
      <c r="C280" s="761" t="s">
        <v>2382</v>
      </c>
      <c r="D280" s="761" t="s">
        <v>1749</v>
      </c>
      <c r="E280" s="762" t="s">
        <v>2383</v>
      </c>
      <c r="F280" s="762" t="s">
        <v>3655</v>
      </c>
      <c r="G280" s="763" t="s">
        <v>971</v>
      </c>
      <c r="H280" s="764" t="s">
        <v>500</v>
      </c>
      <c r="I280" s="680"/>
      <c r="J280" s="613" t="s">
        <v>1818</v>
      </c>
      <c r="K280" s="614"/>
      <c r="L280" s="609"/>
      <c r="M280" s="610"/>
      <c r="N280" s="615" t="s">
        <v>2952</v>
      </c>
      <c r="O280" s="615" t="s">
        <v>887</v>
      </c>
      <c r="P280" s="497" t="s">
        <v>2317</v>
      </c>
      <c r="Q280" s="1369"/>
      <c r="S280" s="596"/>
      <c r="T280" s="596"/>
      <c r="U280" s="596"/>
      <c r="V280" s="596"/>
      <c r="W280" s="596"/>
      <c r="X280" s="596"/>
      <c r="Y280" s="596"/>
      <c r="Z280" s="596"/>
      <c r="AA280" s="596"/>
    </row>
    <row r="281" spans="2:27" ht="12" customHeight="1">
      <c r="B281" s="766"/>
      <c r="C281" s="761" t="s">
        <v>2384</v>
      </c>
      <c r="D281" s="761" t="s">
        <v>1749</v>
      </c>
      <c r="E281" s="762" t="s">
        <v>2385</v>
      </c>
      <c r="F281" s="762" t="s">
        <v>3655</v>
      </c>
      <c r="G281" s="763" t="s">
        <v>972</v>
      </c>
      <c r="H281" s="764" t="s">
        <v>500</v>
      </c>
      <c r="I281" s="680"/>
      <c r="J281" s="613" t="s">
        <v>2947</v>
      </c>
      <c r="K281" s="614"/>
      <c r="L281" s="609"/>
      <c r="M281" s="610"/>
      <c r="N281" s="615" t="s">
        <v>2954</v>
      </c>
      <c r="O281" s="615" t="s">
        <v>3622</v>
      </c>
      <c r="P281" s="497" t="s">
        <v>2318</v>
      </c>
      <c r="Q281" s="1369"/>
      <c r="S281" s="596"/>
      <c r="T281" s="596"/>
      <c r="U281" s="596"/>
      <c r="V281" s="596"/>
      <c r="W281" s="596"/>
      <c r="X281" s="596"/>
      <c r="Y281" s="596"/>
      <c r="Z281" s="596"/>
      <c r="AA281" s="596"/>
    </row>
    <row r="282" spans="2:27" ht="12" customHeight="1">
      <c r="B282" s="766"/>
      <c r="C282" s="761" t="s">
        <v>2386</v>
      </c>
      <c r="D282" s="761" t="s">
        <v>1902</v>
      </c>
      <c r="E282" s="765" t="s">
        <v>2927</v>
      </c>
      <c r="F282" s="765" t="s">
        <v>3656</v>
      </c>
      <c r="G282" s="763" t="s">
        <v>973</v>
      </c>
      <c r="H282" s="764" t="s">
        <v>501</v>
      </c>
      <c r="I282" s="681"/>
      <c r="J282" s="613" t="s">
        <v>2949</v>
      </c>
      <c r="K282" s="614"/>
      <c r="L282" s="609"/>
      <c r="M282" s="610"/>
      <c r="N282" s="615" t="s">
        <v>962</v>
      </c>
      <c r="O282" s="615" t="s">
        <v>1744</v>
      </c>
      <c r="P282" s="497" t="s">
        <v>2319</v>
      </c>
      <c r="Q282" s="1369"/>
      <c r="S282" s="596"/>
      <c r="T282" s="596"/>
      <c r="U282" s="596"/>
      <c r="V282" s="596"/>
      <c r="W282" s="596"/>
      <c r="X282" s="596"/>
      <c r="Y282" s="596"/>
      <c r="Z282" s="596"/>
      <c r="AA282" s="596"/>
    </row>
    <row r="283" spans="2:27" ht="12" customHeight="1">
      <c r="B283" s="766"/>
      <c r="C283" s="761" t="s">
        <v>222</v>
      </c>
      <c r="D283" s="761" t="s">
        <v>1749</v>
      </c>
      <c r="E283" s="762" t="s">
        <v>223</v>
      </c>
      <c r="F283" s="762" t="s">
        <v>3655</v>
      </c>
      <c r="G283" s="763" t="s">
        <v>974</v>
      </c>
      <c r="H283" s="764" t="s">
        <v>500</v>
      </c>
      <c r="I283" s="680"/>
      <c r="J283" s="613" t="s">
        <v>2951</v>
      </c>
      <c r="K283" s="614"/>
      <c r="L283" s="609"/>
      <c r="M283" s="610"/>
      <c r="N283" s="497" t="s">
        <v>3593</v>
      </c>
      <c r="O283" s="497" t="s">
        <v>2888</v>
      </c>
      <c r="P283" s="1371" t="s">
        <v>3031</v>
      </c>
      <c r="Q283" s="1369"/>
      <c r="S283" s="596"/>
      <c r="T283" s="596"/>
      <c r="U283" s="596"/>
      <c r="V283" s="596"/>
      <c r="W283" s="596"/>
      <c r="X283" s="596"/>
      <c r="Y283" s="596"/>
      <c r="Z283" s="596"/>
      <c r="AA283" s="596"/>
    </row>
    <row r="284" spans="2:27" ht="12" customHeight="1">
      <c r="B284" s="766"/>
      <c r="C284" s="761" t="s">
        <v>3620</v>
      </c>
      <c r="D284" s="761" t="s">
        <v>1902</v>
      </c>
      <c r="E284" s="765" t="s">
        <v>3621</v>
      </c>
      <c r="F284" s="765" t="s">
        <v>3655</v>
      </c>
      <c r="G284" s="763" t="s">
        <v>975</v>
      </c>
      <c r="H284" s="764" t="s">
        <v>500</v>
      </c>
      <c r="I284" s="681"/>
      <c r="J284" s="613" t="s">
        <v>2953</v>
      </c>
      <c r="K284" s="614"/>
      <c r="L284" s="609"/>
      <c r="M284" s="610"/>
      <c r="N284" s="615" t="s">
        <v>2956</v>
      </c>
      <c r="O284" s="615" t="s">
        <v>238</v>
      </c>
      <c r="P284" s="497" t="s">
        <v>2320</v>
      </c>
      <c r="Q284" s="1369"/>
      <c r="S284" s="596"/>
      <c r="T284" s="596"/>
      <c r="U284" s="596"/>
      <c r="V284" s="596"/>
      <c r="W284" s="596"/>
      <c r="X284" s="596"/>
      <c r="Y284" s="596"/>
      <c r="Z284" s="596"/>
      <c r="AA284" s="596"/>
    </row>
    <row r="285" spans="2:27" ht="12" customHeight="1">
      <c r="B285" s="766"/>
      <c r="C285" s="761" t="s">
        <v>3622</v>
      </c>
      <c r="D285" s="761" t="s">
        <v>1878</v>
      </c>
      <c r="E285" s="762" t="s">
        <v>3623</v>
      </c>
      <c r="F285" s="762" t="s">
        <v>3656</v>
      </c>
      <c r="G285" s="763" t="s">
        <v>2830</v>
      </c>
      <c r="H285" s="764" t="s">
        <v>501</v>
      </c>
      <c r="I285" s="680"/>
      <c r="J285" s="613" t="s">
        <v>2955</v>
      </c>
      <c r="K285" s="614"/>
      <c r="L285" s="609"/>
      <c r="M285" s="610"/>
      <c r="N285" s="615" t="s">
        <v>2958</v>
      </c>
      <c r="O285" s="615" t="s">
        <v>238</v>
      </c>
      <c r="P285" s="497" t="s">
        <v>2321</v>
      </c>
      <c r="Q285" s="1369"/>
      <c r="S285" s="596"/>
      <c r="T285" s="596"/>
      <c r="U285" s="596"/>
      <c r="V285" s="596"/>
      <c r="W285" s="596"/>
      <c r="X285" s="596"/>
      <c r="Y285" s="596"/>
      <c r="Z285" s="596"/>
      <c r="AA285" s="596"/>
    </row>
    <row r="286" spans="2:27" ht="12" customHeight="1">
      <c r="B286" s="766"/>
      <c r="C286" s="761" t="s">
        <v>3624</v>
      </c>
      <c r="D286" s="761" t="s">
        <v>1902</v>
      </c>
      <c r="E286" s="765" t="s">
        <v>198</v>
      </c>
      <c r="F286" s="765" t="s">
        <v>3656</v>
      </c>
      <c r="G286" s="763" t="s">
        <v>2529</v>
      </c>
      <c r="H286" s="764" t="s">
        <v>501</v>
      </c>
      <c r="I286" s="681"/>
      <c r="J286" s="613" t="s">
        <v>2957</v>
      </c>
      <c r="K286" s="614"/>
      <c r="L286" s="609"/>
      <c r="M286" s="610"/>
      <c r="N286" s="615" t="s">
        <v>942</v>
      </c>
      <c r="O286" s="615" t="s">
        <v>2888</v>
      </c>
      <c r="P286" s="497" t="s">
        <v>2322</v>
      </c>
      <c r="Q286" s="1369"/>
      <c r="S286" s="596"/>
      <c r="T286" s="596"/>
      <c r="U286" s="596"/>
      <c r="V286" s="596"/>
      <c r="W286" s="596"/>
      <c r="X286" s="596"/>
      <c r="Y286" s="596"/>
      <c r="Z286" s="596"/>
      <c r="AA286" s="596"/>
    </row>
    <row r="287" spans="2:27" ht="12" customHeight="1">
      <c r="B287" s="766"/>
      <c r="C287" s="761" t="s">
        <v>3625</v>
      </c>
      <c r="D287" s="761" t="s">
        <v>1902</v>
      </c>
      <c r="E287" s="765" t="s">
        <v>1244</v>
      </c>
      <c r="F287" s="765" t="s">
        <v>3656</v>
      </c>
      <c r="G287" s="763" t="s">
        <v>3610</v>
      </c>
      <c r="H287" s="764" t="s">
        <v>501</v>
      </c>
      <c r="I287" s="681"/>
      <c r="J287" s="613" t="s">
        <v>941</v>
      </c>
      <c r="K287" s="614"/>
      <c r="L287" s="609"/>
      <c r="M287" s="610"/>
      <c r="N287" s="615" t="s">
        <v>3251</v>
      </c>
      <c r="O287" s="615" t="s">
        <v>131</v>
      </c>
      <c r="P287" s="497" t="s">
        <v>2323</v>
      </c>
      <c r="Q287" s="1369"/>
      <c r="S287" s="596"/>
      <c r="T287" s="596"/>
      <c r="U287" s="596"/>
      <c r="V287" s="596"/>
      <c r="W287" s="596"/>
      <c r="X287" s="596"/>
      <c r="Y287" s="596"/>
      <c r="Z287" s="596"/>
      <c r="AA287" s="596"/>
    </row>
    <row r="288" spans="2:27" ht="12" customHeight="1">
      <c r="B288" s="766"/>
      <c r="C288" s="761" t="s">
        <v>3626</v>
      </c>
      <c r="D288" s="761" t="s">
        <v>1902</v>
      </c>
      <c r="E288" s="762" t="s">
        <v>2928</v>
      </c>
      <c r="F288" s="762" t="s">
        <v>3656</v>
      </c>
      <c r="G288" s="763" t="s">
        <v>879</v>
      </c>
      <c r="H288" s="764" t="s">
        <v>501</v>
      </c>
      <c r="I288" s="680"/>
      <c r="J288" s="613" t="s">
        <v>3249</v>
      </c>
      <c r="K288" s="614"/>
      <c r="L288" s="609"/>
      <c r="M288" s="610"/>
      <c r="N288" s="615" t="s">
        <v>1799</v>
      </c>
      <c r="O288" s="615" t="s">
        <v>887</v>
      </c>
      <c r="P288" s="497" t="s">
        <v>2324</v>
      </c>
      <c r="Q288" s="1369"/>
      <c r="S288" s="596"/>
      <c r="T288" s="596"/>
      <c r="U288" s="596"/>
      <c r="V288" s="596"/>
      <c r="W288" s="596"/>
      <c r="X288" s="596"/>
      <c r="Y288" s="596"/>
      <c r="Z288" s="596"/>
      <c r="AA288" s="596"/>
    </row>
    <row r="289" spans="2:27" ht="12" customHeight="1">
      <c r="B289" s="766"/>
      <c r="C289" s="761" t="s">
        <v>3627</v>
      </c>
      <c r="D289" s="761" t="s">
        <v>1902</v>
      </c>
      <c r="E289" s="762" t="s">
        <v>2928</v>
      </c>
      <c r="F289" s="762" t="s">
        <v>3656</v>
      </c>
      <c r="G289" s="763" t="s">
        <v>879</v>
      </c>
      <c r="H289" s="764" t="s">
        <v>501</v>
      </c>
      <c r="I289" s="680"/>
      <c r="J289" s="613" t="s">
        <v>3250</v>
      </c>
      <c r="K289" s="614"/>
      <c r="L289" s="609"/>
      <c r="M289" s="610"/>
      <c r="N289" s="615" t="s">
        <v>1801</v>
      </c>
      <c r="O289" s="615" t="s">
        <v>3154</v>
      </c>
      <c r="P289" s="497" t="s">
        <v>2325</v>
      </c>
      <c r="Q289" s="1369"/>
      <c r="S289" s="596"/>
      <c r="T289" s="596"/>
      <c r="U289" s="596"/>
      <c r="V289" s="596"/>
      <c r="W289" s="596"/>
      <c r="X289" s="596"/>
      <c r="Y289" s="596"/>
      <c r="Z289" s="596"/>
      <c r="AA289" s="596"/>
    </row>
    <row r="290" spans="2:27" ht="12" customHeight="1">
      <c r="B290" s="766"/>
      <c r="C290" s="761" t="s">
        <v>3628</v>
      </c>
      <c r="D290" s="761" t="s">
        <v>1878</v>
      </c>
      <c r="E290" s="765" t="s">
        <v>1244</v>
      </c>
      <c r="F290" s="765" t="s">
        <v>3656</v>
      </c>
      <c r="G290" s="763" t="s">
        <v>3610</v>
      </c>
      <c r="H290" s="764" t="s">
        <v>501</v>
      </c>
      <c r="I290" s="681"/>
      <c r="J290" s="613" t="s">
        <v>1798</v>
      </c>
      <c r="K290" s="614"/>
      <c r="L290" s="609"/>
      <c r="M290" s="610"/>
      <c r="N290" s="615" t="s">
        <v>3486</v>
      </c>
      <c r="O290" s="615" t="s">
        <v>1618</v>
      </c>
      <c r="P290" s="497" t="s">
        <v>2326</v>
      </c>
      <c r="Q290" s="1369"/>
      <c r="S290" s="596"/>
      <c r="T290" s="596"/>
      <c r="U290" s="596"/>
      <c r="V290" s="596"/>
      <c r="W290" s="596"/>
      <c r="X290" s="596"/>
      <c r="Y290" s="596"/>
      <c r="Z290" s="596"/>
      <c r="AA290" s="596"/>
    </row>
    <row r="291" spans="2:27" ht="12" customHeight="1">
      <c r="B291" s="766"/>
      <c r="C291" s="761" t="s">
        <v>1604</v>
      </c>
      <c r="D291" s="761" t="s">
        <v>1902</v>
      </c>
      <c r="E291" s="765" t="s">
        <v>1605</v>
      </c>
      <c r="F291" s="765" t="s">
        <v>3655</v>
      </c>
      <c r="G291" s="763" t="s">
        <v>2831</v>
      </c>
      <c r="H291" s="764" t="s">
        <v>500</v>
      </c>
      <c r="I291" s="681"/>
      <c r="J291" s="613" t="s">
        <v>1800</v>
      </c>
      <c r="K291" s="614"/>
      <c r="L291" s="609"/>
      <c r="M291" s="610"/>
      <c r="N291" s="615" t="s">
        <v>1804</v>
      </c>
      <c r="O291" s="615" t="s">
        <v>380</v>
      </c>
      <c r="P291" s="497" t="s">
        <v>2327</v>
      </c>
      <c r="Q291" s="1369"/>
      <c r="S291" s="596"/>
      <c r="T291" s="596"/>
      <c r="U291" s="596"/>
      <c r="V291" s="596"/>
      <c r="W291" s="596"/>
      <c r="X291" s="596"/>
      <c r="Y291" s="596"/>
      <c r="Z291" s="596"/>
      <c r="AA291" s="596"/>
    </row>
    <row r="292" spans="2:27" ht="12" customHeight="1">
      <c r="B292" s="766"/>
      <c r="C292" s="761" t="s">
        <v>1606</v>
      </c>
      <c r="D292" s="761" t="s">
        <v>1878</v>
      </c>
      <c r="E292" s="765" t="s">
        <v>1244</v>
      </c>
      <c r="F292" s="765" t="s">
        <v>3656</v>
      </c>
      <c r="G292" s="763" t="s">
        <v>3610</v>
      </c>
      <c r="H292" s="764" t="s">
        <v>501</v>
      </c>
      <c r="I292" s="681"/>
      <c r="J292" s="613" t="s">
        <v>1802</v>
      </c>
      <c r="K292" s="614"/>
      <c r="L292" s="609"/>
      <c r="M292" s="610"/>
      <c r="N292" s="615" t="s">
        <v>3498</v>
      </c>
      <c r="O292" s="615" t="s">
        <v>123</v>
      </c>
      <c r="P292" s="497" t="s">
        <v>2328</v>
      </c>
      <c r="Q292" s="1369"/>
      <c r="S292" s="596"/>
      <c r="T292" s="596"/>
      <c r="U292" s="596"/>
      <c r="V292" s="596"/>
      <c r="W292" s="596"/>
      <c r="X292" s="596"/>
      <c r="Y292" s="596"/>
      <c r="Z292" s="596"/>
      <c r="AA292" s="596"/>
    </row>
    <row r="293" spans="2:27" ht="12" customHeight="1">
      <c r="B293" s="766"/>
      <c r="C293" s="761" t="s">
        <v>1607</v>
      </c>
      <c r="D293" s="761" t="s">
        <v>1749</v>
      </c>
      <c r="E293" s="762" t="s">
        <v>1608</v>
      </c>
      <c r="F293" s="762" t="s">
        <v>3655</v>
      </c>
      <c r="G293" s="763" t="s">
        <v>2832</v>
      </c>
      <c r="H293" s="764" t="s">
        <v>500</v>
      </c>
      <c r="I293" s="680"/>
      <c r="J293" s="613" t="s">
        <v>1803</v>
      </c>
      <c r="K293" s="614"/>
      <c r="L293" s="609"/>
      <c r="M293" s="610"/>
      <c r="N293" s="615" t="s">
        <v>87</v>
      </c>
      <c r="O293" s="615" t="s">
        <v>235</v>
      </c>
      <c r="P293" s="497" t="s">
        <v>2329</v>
      </c>
      <c r="Q293" s="1369"/>
      <c r="S293" s="596"/>
      <c r="T293" s="596"/>
      <c r="U293" s="596"/>
      <c r="V293" s="596"/>
      <c r="W293" s="596"/>
      <c r="X293" s="596"/>
      <c r="Y293" s="596"/>
      <c r="Z293" s="596"/>
      <c r="AA293" s="596"/>
    </row>
    <row r="294" spans="2:27" ht="12" customHeight="1">
      <c r="B294" s="766"/>
      <c r="C294" s="761" t="s">
        <v>1609</v>
      </c>
      <c r="D294" s="761" t="s">
        <v>1902</v>
      </c>
      <c r="E294" s="765" t="s">
        <v>1244</v>
      </c>
      <c r="F294" s="765" t="s">
        <v>3656</v>
      </c>
      <c r="G294" s="763" t="s">
        <v>3610</v>
      </c>
      <c r="H294" s="764" t="s">
        <v>501</v>
      </c>
      <c r="I294" s="681"/>
      <c r="J294" s="613" t="s">
        <v>1805</v>
      </c>
      <c r="K294" s="614"/>
      <c r="L294" s="609"/>
      <c r="M294" s="610"/>
      <c r="N294" s="615" t="s">
        <v>91</v>
      </c>
      <c r="O294" s="615" t="s">
        <v>3076</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3655</v>
      </c>
      <c r="G295" s="763" t="s">
        <v>2833</v>
      </c>
      <c r="H295" s="764" t="s">
        <v>500</v>
      </c>
      <c r="I295" s="680"/>
      <c r="J295" s="613" t="s">
        <v>3499</v>
      </c>
      <c r="K295" s="614"/>
      <c r="L295" s="609"/>
      <c r="M295" s="610"/>
      <c r="N295" s="615" t="s">
        <v>93</v>
      </c>
      <c r="O295" s="615" t="s">
        <v>1888</v>
      </c>
      <c r="P295" s="497" t="s">
        <v>2331</v>
      </c>
      <c r="Q295" s="1369"/>
      <c r="S295" s="596"/>
      <c r="T295" s="596"/>
      <c r="U295" s="596"/>
      <c r="V295" s="596"/>
      <c r="W295" s="596"/>
      <c r="X295" s="596"/>
      <c r="Y295" s="596"/>
      <c r="Z295" s="596"/>
      <c r="AA295" s="596"/>
    </row>
    <row r="296" spans="2:27" ht="12" customHeight="1">
      <c r="B296" s="766"/>
      <c r="C296" s="761" t="s">
        <v>1612</v>
      </c>
      <c r="D296" s="761" t="s">
        <v>1749</v>
      </c>
      <c r="E296" s="765" t="s">
        <v>1613</v>
      </c>
      <c r="F296" s="765" t="s">
        <v>3655</v>
      </c>
      <c r="G296" s="763" t="s">
        <v>2834</v>
      </c>
      <c r="H296" s="764" t="s">
        <v>500</v>
      </c>
      <c r="I296" s="681"/>
      <c r="J296" s="613" t="s">
        <v>88</v>
      </c>
      <c r="K296" s="614"/>
      <c r="L296" s="609"/>
      <c r="M296" s="610"/>
      <c r="N296" s="615" t="s">
        <v>1766</v>
      </c>
      <c r="O296" s="615" t="s">
        <v>2828</v>
      </c>
      <c r="P296" s="497" t="s">
        <v>2332</v>
      </c>
      <c r="Q296" s="1369"/>
      <c r="S296" s="596"/>
      <c r="T296" s="596"/>
      <c r="U296" s="596"/>
      <c r="V296" s="596"/>
      <c r="W296" s="596"/>
      <c r="X296" s="596"/>
      <c r="Y296" s="596"/>
      <c r="Z296" s="596"/>
      <c r="AA296" s="596"/>
    </row>
    <row r="297" spans="2:27" ht="12" customHeight="1">
      <c r="B297" s="766"/>
      <c r="C297" s="761" t="s">
        <v>1614</v>
      </c>
      <c r="D297" s="761" t="s">
        <v>1902</v>
      </c>
      <c r="E297" s="765" t="s">
        <v>1615</v>
      </c>
      <c r="F297" s="765" t="s">
        <v>3655</v>
      </c>
      <c r="G297" s="763" t="s">
        <v>2835</v>
      </c>
      <c r="H297" s="764" t="s">
        <v>500</v>
      </c>
      <c r="I297" s="681"/>
      <c r="J297" s="613" t="s">
        <v>89</v>
      </c>
      <c r="K297" s="614"/>
      <c r="L297" s="609"/>
      <c r="M297" s="610"/>
      <c r="N297" s="615" t="s">
        <v>1768</v>
      </c>
      <c r="O297" s="615" t="s">
        <v>217</v>
      </c>
      <c r="P297" s="497" t="s">
        <v>2333</v>
      </c>
      <c r="Q297" s="1369"/>
      <c r="S297" s="596"/>
      <c r="T297" s="596"/>
      <c r="U297" s="596"/>
      <c r="V297" s="596"/>
      <c r="W297" s="596"/>
      <c r="X297" s="596"/>
      <c r="Y297" s="596"/>
      <c r="Z297" s="596"/>
      <c r="AA297" s="596"/>
    </row>
    <row r="298" spans="2:27" ht="12" customHeight="1">
      <c r="B298" s="766"/>
      <c r="C298" s="761" t="s">
        <v>1616</v>
      </c>
      <c r="D298" s="761" t="s">
        <v>1749</v>
      </c>
      <c r="E298" s="762" t="s">
        <v>1617</v>
      </c>
      <c r="F298" s="762" t="s">
        <v>3655</v>
      </c>
      <c r="G298" s="763" t="s">
        <v>2640</v>
      </c>
      <c r="H298" s="764" t="s">
        <v>500</v>
      </c>
      <c r="I298" s="680"/>
      <c r="J298" s="613" t="s">
        <v>90</v>
      </c>
      <c r="K298" s="614"/>
      <c r="L298" s="609"/>
      <c r="M298" s="610"/>
      <c r="N298" s="615" t="s">
        <v>1770</v>
      </c>
      <c r="O298" s="615" t="s">
        <v>1620</v>
      </c>
      <c r="P298" s="1370"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3655</v>
      </c>
      <c r="G299" s="763" t="s">
        <v>2641</v>
      </c>
      <c r="H299" s="764" t="s">
        <v>500</v>
      </c>
      <c r="I299" s="680"/>
      <c r="J299" s="613" t="s">
        <v>92</v>
      </c>
      <c r="K299" s="614"/>
      <c r="L299" s="609"/>
      <c r="M299" s="610"/>
      <c r="N299" s="615" t="s">
        <v>1772</v>
      </c>
      <c r="O299" s="615" t="s">
        <v>1744</v>
      </c>
      <c r="P299" s="497" t="s">
        <v>2334</v>
      </c>
      <c r="Q299" s="1369"/>
      <c r="S299" s="596"/>
      <c r="T299" s="596"/>
      <c r="U299" s="596"/>
      <c r="V299" s="596"/>
      <c r="W299" s="596"/>
      <c r="X299" s="596"/>
      <c r="Y299" s="596"/>
      <c r="Z299" s="596"/>
      <c r="AA299" s="596"/>
    </row>
    <row r="300" spans="2:27" ht="12" customHeight="1">
      <c r="B300" s="766"/>
      <c r="C300" s="761" t="s">
        <v>1620</v>
      </c>
      <c r="D300" s="761" t="s">
        <v>1749</v>
      </c>
      <c r="E300" s="762" t="s">
        <v>1621</v>
      </c>
      <c r="F300" s="762" t="s">
        <v>3655</v>
      </c>
      <c r="G300" s="763" t="s">
        <v>2642</v>
      </c>
      <c r="H300" s="764" t="s">
        <v>500</v>
      </c>
      <c r="I300" s="680"/>
      <c r="J300" s="613" t="s">
        <v>1765</v>
      </c>
      <c r="K300" s="614"/>
      <c r="L300" s="609"/>
      <c r="M300" s="610"/>
      <c r="N300" s="615" t="s">
        <v>1774</v>
      </c>
      <c r="O300" s="615" t="s">
        <v>3076</v>
      </c>
      <c r="P300" s="497" t="s">
        <v>2335</v>
      </c>
      <c r="Q300" s="1369"/>
      <c r="S300" s="596"/>
      <c r="T300" s="596"/>
      <c r="U300" s="596"/>
      <c r="V300" s="596"/>
      <c r="W300" s="596"/>
      <c r="X300" s="596"/>
      <c r="Y300" s="596"/>
      <c r="Z300" s="596"/>
      <c r="AA300" s="596"/>
    </row>
    <row r="301" spans="2:27" ht="12" customHeight="1">
      <c r="B301" s="766"/>
      <c r="C301" s="761" t="s">
        <v>1622</v>
      </c>
      <c r="D301" s="761" t="s">
        <v>1902</v>
      </c>
      <c r="E301" s="765" t="s">
        <v>1245</v>
      </c>
      <c r="F301" s="765" t="s">
        <v>3656</v>
      </c>
      <c r="G301" s="763" t="s">
        <v>3635</v>
      </c>
      <c r="H301" s="764" t="s">
        <v>501</v>
      </c>
      <c r="I301" s="681"/>
      <c r="J301" s="613" t="s">
        <v>1767</v>
      </c>
      <c r="K301" s="614"/>
      <c r="L301" s="609"/>
      <c r="M301" s="610"/>
      <c r="N301" s="615" t="s">
        <v>3492</v>
      </c>
      <c r="O301" s="615" t="s">
        <v>2382</v>
      </c>
      <c r="P301" s="497" t="s">
        <v>2336</v>
      </c>
      <c r="Q301" s="1369"/>
      <c r="S301" s="596"/>
      <c r="T301" s="596"/>
      <c r="U301" s="596"/>
      <c r="V301" s="596"/>
      <c r="W301" s="596"/>
      <c r="X301" s="596"/>
      <c r="Y301" s="596"/>
      <c r="Z301" s="596"/>
      <c r="AA301" s="596"/>
    </row>
    <row r="302" spans="2:27" ht="12" customHeight="1">
      <c r="B302" s="766"/>
      <c r="C302" s="761" t="s">
        <v>1623</v>
      </c>
      <c r="D302" s="761" t="s">
        <v>1902</v>
      </c>
      <c r="E302" s="765" t="s">
        <v>1244</v>
      </c>
      <c r="F302" s="765" t="s">
        <v>3656</v>
      </c>
      <c r="G302" s="763" t="s">
        <v>3610</v>
      </c>
      <c r="H302" s="764" t="s">
        <v>501</v>
      </c>
      <c r="I302" s="681"/>
      <c r="J302" s="613" t="s">
        <v>1769</v>
      </c>
      <c r="K302" s="614"/>
      <c r="L302" s="609"/>
      <c r="M302" s="610"/>
      <c r="N302" s="615" t="s">
        <v>198</v>
      </c>
      <c r="O302" s="615" t="s">
        <v>3624</v>
      </c>
      <c r="P302" s="1370" t="s">
        <v>1311</v>
      </c>
      <c r="Q302" s="596"/>
      <c r="S302" s="596"/>
      <c r="T302" s="596"/>
      <c r="U302" s="596"/>
      <c r="V302" s="596"/>
      <c r="W302" s="596"/>
      <c r="X302" s="596"/>
      <c r="Y302" s="596"/>
      <c r="Z302" s="596"/>
      <c r="AA302" s="596"/>
    </row>
    <row r="303" spans="2:27" ht="12" customHeight="1">
      <c r="B303" s="766"/>
      <c r="C303" s="761" t="s">
        <v>1624</v>
      </c>
      <c r="D303" s="761" t="s">
        <v>1902</v>
      </c>
      <c r="E303" s="762" t="s">
        <v>3060</v>
      </c>
      <c r="F303" s="762" t="s">
        <v>3655</v>
      </c>
      <c r="G303" s="763" t="s">
        <v>2643</v>
      </c>
      <c r="H303" s="764" t="s">
        <v>500</v>
      </c>
      <c r="I303" s="680"/>
      <c r="J303" s="613" t="s">
        <v>1771</v>
      </c>
      <c r="K303" s="614"/>
      <c r="L303" s="609"/>
      <c r="M303" s="610"/>
      <c r="N303" s="615" t="s">
        <v>1385</v>
      </c>
      <c r="O303" s="615" t="s">
        <v>217</v>
      </c>
      <c r="P303" s="497" t="s">
        <v>2337</v>
      </c>
      <c r="Q303" s="1369"/>
      <c r="S303" s="596"/>
      <c r="T303" s="596"/>
      <c r="U303" s="596"/>
      <c r="V303" s="596"/>
      <c r="W303" s="596"/>
      <c r="X303" s="596"/>
      <c r="Y303" s="596"/>
      <c r="Z303" s="596"/>
      <c r="AA303" s="596"/>
    </row>
    <row r="304" spans="2:27" ht="12" customHeight="1">
      <c r="B304" s="766"/>
      <c r="C304" s="761" t="s">
        <v>3061</v>
      </c>
      <c r="D304" s="761" t="s">
        <v>1749</v>
      </c>
      <c r="E304" s="762" t="s">
        <v>3062</v>
      </c>
      <c r="F304" s="762" t="s">
        <v>3655</v>
      </c>
      <c r="G304" s="763" t="s">
        <v>2644</v>
      </c>
      <c r="H304" s="764" t="s">
        <v>500</v>
      </c>
      <c r="I304" s="680"/>
      <c r="J304" s="613" t="s">
        <v>1773</v>
      </c>
      <c r="K304" s="614"/>
      <c r="L304" s="609"/>
      <c r="M304" s="610"/>
      <c r="N304" s="615" t="s">
        <v>1387</v>
      </c>
      <c r="O304" s="615" t="s">
        <v>392</v>
      </c>
      <c r="P304" s="497" t="s">
        <v>2338</v>
      </c>
      <c r="Q304" s="1369"/>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3063</v>
      </c>
      <c r="D306" s="761" t="s">
        <v>1749</v>
      </c>
      <c r="E306" s="765" t="s">
        <v>3064</v>
      </c>
      <c r="F306" s="762" t="s">
        <v>3655</v>
      </c>
      <c r="G306" s="763" t="s">
        <v>630</v>
      </c>
      <c r="H306" s="764" t="s">
        <v>500</v>
      </c>
      <c r="I306" s="681"/>
      <c r="J306" s="613" t="s">
        <v>1383</v>
      </c>
      <c r="K306" s="614"/>
      <c r="L306" s="609"/>
      <c r="M306" s="610"/>
      <c r="N306" s="497" t="s">
        <v>3594</v>
      </c>
      <c r="O306" s="497" t="s">
        <v>3486</v>
      </c>
      <c r="P306" s="1371" t="s">
        <v>3031</v>
      </c>
      <c r="Q306" s="596"/>
      <c r="S306" s="596"/>
      <c r="T306" s="596"/>
      <c r="U306" s="596"/>
      <c r="V306" s="596"/>
      <c r="W306" s="596"/>
      <c r="X306" s="596"/>
      <c r="Y306" s="596"/>
      <c r="Z306" s="596"/>
      <c r="AA306" s="596"/>
    </row>
    <row r="307" spans="2:27" ht="12" customHeight="1">
      <c r="B307" s="766"/>
      <c r="C307" s="761" t="s">
        <v>3065</v>
      </c>
      <c r="D307" s="761" t="s">
        <v>1902</v>
      </c>
      <c r="E307" s="765" t="s">
        <v>1244</v>
      </c>
      <c r="F307" s="765" t="s">
        <v>3656</v>
      </c>
      <c r="G307" s="763" t="s">
        <v>3610</v>
      </c>
      <c r="H307" s="764" t="s">
        <v>501</v>
      </c>
      <c r="I307" s="681"/>
      <c r="J307" s="613" t="s">
        <v>1384</v>
      </c>
      <c r="K307" s="614"/>
      <c r="L307" s="609"/>
      <c r="M307" s="610"/>
      <c r="N307" s="615" t="s">
        <v>3030</v>
      </c>
      <c r="O307" s="615" t="s">
        <v>1623</v>
      </c>
      <c r="P307" s="497" t="s">
        <v>2340</v>
      </c>
      <c r="Q307" s="1369"/>
      <c r="S307" s="596"/>
      <c r="T307" s="596"/>
      <c r="U307" s="596"/>
      <c r="V307" s="596"/>
      <c r="W307" s="596"/>
      <c r="X307" s="596"/>
      <c r="Y307" s="596"/>
      <c r="Z307" s="596"/>
      <c r="AA307" s="596"/>
    </row>
    <row r="308" spans="2:27" ht="12" customHeight="1">
      <c r="B308" s="766"/>
      <c r="C308" s="761" t="s">
        <v>3066</v>
      </c>
      <c r="D308" s="761" t="s">
        <v>1878</v>
      </c>
      <c r="E308" s="765" t="s">
        <v>3067</v>
      </c>
      <c r="F308" s="765" t="s">
        <v>3655</v>
      </c>
      <c r="G308" s="763" t="s">
        <v>265</v>
      </c>
      <c r="H308" s="764" t="s">
        <v>500</v>
      </c>
      <c r="I308" s="680"/>
      <c r="J308" s="613" t="s">
        <v>1386</v>
      </c>
      <c r="K308" s="614"/>
      <c r="L308" s="609"/>
      <c r="M308" s="610"/>
      <c r="N308" s="615" t="s">
        <v>2944</v>
      </c>
      <c r="O308" s="615" t="s">
        <v>2500</v>
      </c>
      <c r="P308" s="497" t="s">
        <v>2341</v>
      </c>
      <c r="Q308" s="1369"/>
      <c r="S308" s="596"/>
      <c r="T308" s="596"/>
      <c r="U308" s="596"/>
      <c r="V308" s="596"/>
      <c r="W308" s="596"/>
      <c r="X308" s="596"/>
      <c r="Y308" s="596"/>
      <c r="Z308" s="596"/>
      <c r="AA308" s="596"/>
    </row>
    <row r="309" spans="2:27" ht="12" customHeight="1">
      <c r="B309" s="766"/>
      <c r="C309" s="761" t="s">
        <v>3068</v>
      </c>
      <c r="D309" s="761" t="s">
        <v>1749</v>
      </c>
      <c r="E309" s="762" t="s">
        <v>3069</v>
      </c>
      <c r="F309" s="765" t="s">
        <v>3655</v>
      </c>
      <c r="G309" s="763" t="s">
        <v>1997</v>
      </c>
      <c r="H309" s="764" t="s">
        <v>500</v>
      </c>
      <c r="I309" s="680"/>
      <c r="J309" s="613" t="s">
        <v>1388</v>
      </c>
      <c r="K309" s="614"/>
      <c r="L309" s="609"/>
      <c r="M309" s="610"/>
      <c r="N309" s="615" t="s">
        <v>2946</v>
      </c>
      <c r="O309" s="615" t="s">
        <v>3546</v>
      </c>
      <c r="P309" s="497" t="s">
        <v>2342</v>
      </c>
      <c r="Q309" s="1369"/>
      <c r="S309" s="596"/>
      <c r="T309" s="596"/>
      <c r="U309" s="596"/>
      <c r="V309" s="596"/>
      <c r="W309" s="596"/>
      <c r="X309" s="596"/>
      <c r="Y309" s="596"/>
      <c r="Z309" s="596"/>
      <c r="AA309" s="596"/>
    </row>
    <row r="310" spans="2:27" ht="12" customHeight="1">
      <c r="B310" s="766"/>
      <c r="C310" s="761" t="s">
        <v>3070</v>
      </c>
      <c r="D310" s="761" t="s">
        <v>1749</v>
      </c>
      <c r="E310" s="762" t="s">
        <v>3071</v>
      </c>
      <c r="F310" s="762" t="s">
        <v>3655</v>
      </c>
      <c r="G310" s="763" t="s">
        <v>1998</v>
      </c>
      <c r="H310" s="764" t="s">
        <v>500</v>
      </c>
      <c r="I310" s="680"/>
      <c r="J310" s="613" t="s">
        <v>3028</v>
      </c>
      <c r="K310" s="614"/>
      <c r="L310" s="609"/>
      <c r="M310" s="610"/>
      <c r="N310" s="615" t="s">
        <v>1313</v>
      </c>
      <c r="O310" s="615" t="s">
        <v>387</v>
      </c>
      <c r="P310" s="1370" t="s">
        <v>1311</v>
      </c>
      <c r="Q310" s="596"/>
      <c r="S310" s="596"/>
      <c r="T310" s="596"/>
      <c r="U310" s="596"/>
      <c r="V310" s="596"/>
      <c r="W310" s="596"/>
      <c r="X310" s="596"/>
      <c r="Y310" s="596"/>
      <c r="Z310" s="596"/>
      <c r="AA310" s="596"/>
    </row>
    <row r="311" spans="2:27" ht="12" customHeight="1">
      <c r="B311" s="766"/>
      <c r="C311" s="761" t="s">
        <v>3072</v>
      </c>
      <c r="D311" s="761" t="s">
        <v>1902</v>
      </c>
      <c r="E311" s="762" t="s">
        <v>3073</v>
      </c>
      <c r="F311" s="762" t="s">
        <v>3655</v>
      </c>
      <c r="G311" s="763" t="s">
        <v>1999</v>
      </c>
      <c r="H311" s="764" t="s">
        <v>500</v>
      </c>
      <c r="I311" s="680"/>
      <c r="J311" s="613" t="s">
        <v>3029</v>
      </c>
      <c r="K311" s="614"/>
      <c r="L311" s="609"/>
      <c r="M311" s="610"/>
      <c r="N311" s="615" t="s">
        <v>855</v>
      </c>
      <c r="O311" s="615" t="s">
        <v>131</v>
      </c>
      <c r="P311" s="497" t="s">
        <v>2343</v>
      </c>
      <c r="Q311" s="1369"/>
      <c r="S311" s="596"/>
      <c r="T311" s="596"/>
      <c r="U311" s="596"/>
      <c r="V311" s="596"/>
      <c r="W311" s="596"/>
      <c r="X311" s="596"/>
      <c r="Y311" s="596"/>
      <c r="Z311" s="596"/>
      <c r="AA311" s="596"/>
    </row>
    <row r="312" spans="2:27" ht="12" customHeight="1">
      <c r="B312" s="766"/>
      <c r="C312" s="761" t="s">
        <v>3074</v>
      </c>
      <c r="D312" s="761" t="s">
        <v>1902</v>
      </c>
      <c r="E312" s="762" t="s">
        <v>3075</v>
      </c>
      <c r="F312" s="762" t="s">
        <v>3655</v>
      </c>
      <c r="G312" s="763" t="s">
        <v>2893</v>
      </c>
      <c r="H312" s="764" t="s">
        <v>500</v>
      </c>
      <c r="I312" s="680"/>
      <c r="J312" s="613" t="s">
        <v>2943</v>
      </c>
      <c r="K312" s="614"/>
      <c r="L312" s="609"/>
      <c r="M312" s="610"/>
      <c r="N312" s="497" t="s">
        <v>3595</v>
      </c>
      <c r="O312" s="497" t="s">
        <v>1894</v>
      </c>
      <c r="P312" s="1371" t="s">
        <v>3031</v>
      </c>
      <c r="Q312" s="1369"/>
      <c r="S312" s="596"/>
      <c r="T312" s="596"/>
      <c r="U312" s="596"/>
      <c r="V312" s="596"/>
      <c r="W312" s="596"/>
      <c r="X312" s="596"/>
      <c r="Y312" s="596"/>
      <c r="Z312" s="596"/>
      <c r="AA312" s="596"/>
    </row>
    <row r="313" spans="2:27" ht="12" customHeight="1">
      <c r="B313" s="766"/>
      <c r="C313" s="761" t="s">
        <v>3076</v>
      </c>
      <c r="D313" s="761" t="s">
        <v>1749</v>
      </c>
      <c r="E313" s="762" t="s">
        <v>3077</v>
      </c>
      <c r="F313" s="762" t="s">
        <v>3655</v>
      </c>
      <c r="G313" s="763" t="s">
        <v>2894</v>
      </c>
      <c r="H313" s="764" t="s">
        <v>500</v>
      </c>
      <c r="I313" s="680"/>
      <c r="J313" s="613" t="s">
        <v>2945</v>
      </c>
      <c r="K313" s="614"/>
      <c r="L313" s="609"/>
      <c r="M313" s="610"/>
      <c r="N313" s="615" t="s">
        <v>857</v>
      </c>
      <c r="O313" s="615" t="s">
        <v>3625</v>
      </c>
      <c r="P313" s="497" t="s">
        <v>2344</v>
      </c>
      <c r="Q313" s="596"/>
      <c r="S313" s="596"/>
      <c r="T313" s="596"/>
      <c r="U313" s="596"/>
      <c r="V313" s="596"/>
      <c r="W313" s="596"/>
      <c r="X313" s="596"/>
      <c r="Y313" s="596"/>
      <c r="Z313" s="596"/>
      <c r="AA313" s="596"/>
    </row>
    <row r="314" spans="2:27" ht="12" customHeight="1">
      <c r="B314" s="766"/>
      <c r="C314" s="761" t="s">
        <v>3078</v>
      </c>
      <c r="D314" s="761" t="s">
        <v>1902</v>
      </c>
      <c r="E314" s="762" t="s">
        <v>1360</v>
      </c>
      <c r="F314" s="762" t="s">
        <v>3655</v>
      </c>
      <c r="G314" s="763" t="s">
        <v>2895</v>
      </c>
      <c r="H314" s="764" t="s">
        <v>500</v>
      </c>
      <c r="I314" s="680"/>
      <c r="J314" s="613" t="s">
        <v>853</v>
      </c>
      <c r="K314" s="614"/>
      <c r="L314" s="609"/>
      <c r="M314" s="610"/>
      <c r="N314" s="615" t="s">
        <v>3545</v>
      </c>
      <c r="O314" s="615" t="s">
        <v>3627</v>
      </c>
      <c r="P314" s="497" t="s">
        <v>2345</v>
      </c>
      <c r="Q314" s="1369"/>
      <c r="S314" s="596"/>
      <c r="T314" s="596"/>
      <c r="U314" s="596"/>
      <c r="V314" s="596"/>
      <c r="W314" s="596"/>
      <c r="X314" s="596"/>
      <c r="Y314" s="596"/>
      <c r="Z314" s="596"/>
      <c r="AA314" s="596"/>
    </row>
    <row r="315" spans="2:27" ht="12" customHeight="1">
      <c r="B315" s="766"/>
      <c r="C315" s="761" t="s">
        <v>1361</v>
      </c>
      <c r="D315" s="761" t="s">
        <v>1749</v>
      </c>
      <c r="E315" s="762" t="s">
        <v>1362</v>
      </c>
      <c r="F315" s="762" t="s">
        <v>3655</v>
      </c>
      <c r="G315" s="763" t="s">
        <v>2896</v>
      </c>
      <c r="H315" s="764" t="s">
        <v>500</v>
      </c>
      <c r="I315" s="681"/>
      <c r="J315" s="613" t="s">
        <v>854</v>
      </c>
      <c r="K315" s="614"/>
      <c r="L315" s="609"/>
      <c r="M315" s="610"/>
      <c r="N315" s="615" t="s">
        <v>861</v>
      </c>
      <c r="O315" s="615" t="s">
        <v>3074</v>
      </c>
      <c r="P315" s="497" t="s">
        <v>2346</v>
      </c>
      <c r="Q315" s="1369"/>
      <c r="S315" s="596"/>
      <c r="T315" s="596"/>
      <c r="U315" s="596"/>
      <c r="V315" s="596"/>
      <c r="W315" s="596"/>
      <c r="X315" s="596"/>
      <c r="Y315" s="596"/>
      <c r="Z315" s="596"/>
      <c r="AA315" s="596"/>
    </row>
    <row r="316" spans="2:27" ht="12" customHeight="1">
      <c r="B316" s="766"/>
      <c r="C316" s="761" t="s">
        <v>2499</v>
      </c>
      <c r="D316" s="761" t="s">
        <v>1749</v>
      </c>
      <c r="E316" s="765" t="s">
        <v>2637</v>
      </c>
      <c r="F316" s="762" t="s">
        <v>3656</v>
      </c>
      <c r="G316" s="763" t="s">
        <v>1683</v>
      </c>
      <c r="H316" s="764" t="s">
        <v>501</v>
      </c>
      <c r="I316" s="681"/>
      <c r="J316" s="613" t="s">
        <v>856</v>
      </c>
      <c r="K316" s="614"/>
      <c r="L316" s="609"/>
      <c r="M316" s="610"/>
      <c r="N316" s="615" t="s">
        <v>863</v>
      </c>
      <c r="O316" s="615" t="s">
        <v>2386</v>
      </c>
      <c r="P316" s="497" t="s">
        <v>2347</v>
      </c>
      <c r="Q316" s="1369"/>
      <c r="S316" s="596"/>
      <c r="T316" s="596"/>
      <c r="U316" s="596"/>
      <c r="V316" s="596"/>
      <c r="W316" s="596"/>
      <c r="X316" s="596"/>
      <c r="Y316" s="596"/>
      <c r="Z316" s="596"/>
      <c r="AA316" s="596"/>
    </row>
    <row r="317" spans="2:27" ht="12" customHeight="1">
      <c r="B317" s="766"/>
      <c r="C317" s="761" t="s">
        <v>2500</v>
      </c>
      <c r="D317" s="761" t="s">
        <v>1749</v>
      </c>
      <c r="E317" s="765" t="s">
        <v>2501</v>
      </c>
      <c r="F317" s="765" t="s">
        <v>3655</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3655</v>
      </c>
      <c r="G318" s="763" t="s">
        <v>1688</v>
      </c>
      <c r="H318" s="764" t="s">
        <v>500</v>
      </c>
      <c r="I318" s="681"/>
      <c r="J318" s="613" t="s">
        <v>859</v>
      </c>
      <c r="K318" s="614"/>
      <c r="L318" s="609"/>
      <c r="M318" s="610"/>
      <c r="N318" s="615" t="s">
        <v>784</v>
      </c>
      <c r="O318" s="615" t="s">
        <v>197</v>
      </c>
      <c r="P318" s="1370" t="s">
        <v>1311</v>
      </c>
      <c r="Q318" s="1369"/>
      <c r="S318" s="596"/>
      <c r="T318" s="596"/>
      <c r="U318" s="596"/>
      <c r="V318" s="596"/>
      <c r="W318" s="596"/>
      <c r="X318" s="596"/>
      <c r="Y318" s="596"/>
      <c r="Z318" s="596"/>
      <c r="AA318" s="596"/>
    </row>
    <row r="319" spans="2:27" ht="12" customHeight="1">
      <c r="B319" s="766"/>
      <c r="C319" s="761" t="s">
        <v>2786</v>
      </c>
      <c r="D319" s="761" t="s">
        <v>1749</v>
      </c>
      <c r="E319" s="765" t="s">
        <v>2787</v>
      </c>
      <c r="F319" s="765" t="s">
        <v>3655</v>
      </c>
      <c r="G319" s="763" t="s">
        <v>1689</v>
      </c>
      <c r="H319" s="764" t="s">
        <v>500</v>
      </c>
      <c r="I319" s="681"/>
      <c r="J319" s="613" t="s">
        <v>860</v>
      </c>
      <c r="K319" s="614"/>
      <c r="L319" s="609"/>
      <c r="M319" s="610"/>
      <c r="N319" s="615" t="s">
        <v>1142</v>
      </c>
      <c r="O319" s="615" t="s">
        <v>1620</v>
      </c>
      <c r="P319" s="497" t="s">
        <v>2349</v>
      </c>
      <c r="Q319" s="1369"/>
      <c r="S319" s="596"/>
      <c r="T319" s="596"/>
      <c r="U319" s="596"/>
      <c r="V319" s="596"/>
      <c r="W319" s="596"/>
      <c r="X319" s="596"/>
      <c r="Y319" s="596"/>
      <c r="Z319" s="596"/>
      <c r="AA319" s="596"/>
    </row>
    <row r="320" spans="2:27" ht="12" customHeight="1">
      <c r="B320" s="766"/>
      <c r="C320" s="761" t="s">
        <v>2788</v>
      </c>
      <c r="D320" s="761" t="s">
        <v>1878</v>
      </c>
      <c r="E320" s="765" t="s">
        <v>2789</v>
      </c>
      <c r="F320" s="765" t="s">
        <v>3655</v>
      </c>
      <c r="G320" s="763" t="s">
        <v>1690</v>
      </c>
      <c r="H320" s="764" t="s">
        <v>500</v>
      </c>
      <c r="I320" s="681"/>
      <c r="J320" s="613" t="s">
        <v>862</v>
      </c>
      <c r="K320" s="614"/>
      <c r="L320" s="609"/>
      <c r="M320" s="610"/>
      <c r="N320" s="615" t="s">
        <v>1144</v>
      </c>
      <c r="O320" s="615" t="s">
        <v>130</v>
      </c>
      <c r="P320" s="497" t="s">
        <v>2350</v>
      </c>
      <c r="Q320" s="1369"/>
      <c r="S320" s="596"/>
      <c r="T320" s="596"/>
      <c r="U320" s="596"/>
      <c r="V320" s="596"/>
      <c r="W320" s="596"/>
      <c r="X320" s="596"/>
      <c r="Y320" s="596"/>
      <c r="Z320" s="596"/>
      <c r="AA320" s="596"/>
    </row>
    <row r="321" spans="2:27" ht="12" customHeight="1">
      <c r="B321" s="766"/>
      <c r="C321" s="761" t="s">
        <v>2790</v>
      </c>
      <c r="D321" s="761" t="s">
        <v>1749</v>
      </c>
      <c r="E321" s="765" t="s">
        <v>2791</v>
      </c>
      <c r="F321" s="765" t="s">
        <v>3655</v>
      </c>
      <c r="G321" s="763" t="s">
        <v>1691</v>
      </c>
      <c r="H321" s="764" t="s">
        <v>500</v>
      </c>
      <c r="I321" s="680"/>
      <c r="J321" s="613" t="s">
        <v>864</v>
      </c>
      <c r="K321" s="614"/>
      <c r="L321" s="609"/>
      <c r="M321" s="610"/>
      <c r="N321" s="615" t="s">
        <v>42</v>
      </c>
      <c r="O321" s="615" t="s">
        <v>214</v>
      </c>
      <c r="P321" s="497" t="s">
        <v>2351</v>
      </c>
      <c r="Q321" s="1369"/>
      <c r="S321" s="596"/>
      <c r="T321" s="596"/>
      <c r="U321" s="596"/>
      <c r="V321" s="596"/>
      <c r="W321" s="596"/>
      <c r="X321" s="596"/>
      <c r="Y321" s="596"/>
      <c r="Z321" s="596"/>
      <c r="AA321" s="596"/>
    </row>
    <row r="322" spans="2:27" ht="12" customHeight="1">
      <c r="B322" s="766"/>
      <c r="C322" s="761" t="s">
        <v>2792</v>
      </c>
      <c r="D322" s="761" t="s">
        <v>1902</v>
      </c>
      <c r="E322" s="762" t="s">
        <v>2793</v>
      </c>
      <c r="F322" s="765" t="s">
        <v>3655</v>
      </c>
      <c r="G322" s="763" t="s">
        <v>1692</v>
      </c>
      <c r="H322" s="764" t="s">
        <v>500</v>
      </c>
      <c r="I322" s="681"/>
      <c r="J322" s="613" t="s">
        <v>783</v>
      </c>
      <c r="K322" s="614"/>
      <c r="L322" s="609"/>
      <c r="M322" s="610"/>
      <c r="N322" s="615" t="s">
        <v>2844</v>
      </c>
      <c r="O322" s="615" t="s">
        <v>3154</v>
      </c>
      <c r="P322" s="497" t="s">
        <v>2352</v>
      </c>
      <c r="Q322" s="1369"/>
      <c r="S322" s="596"/>
      <c r="T322" s="596"/>
      <c r="U322" s="596"/>
      <c r="V322" s="596"/>
      <c r="W322" s="596"/>
      <c r="X322" s="596"/>
      <c r="Y322" s="596"/>
      <c r="Z322" s="596"/>
      <c r="AA322" s="596"/>
    </row>
    <row r="323" spans="2:27" ht="12" customHeight="1">
      <c r="B323" s="766"/>
      <c r="C323" s="761" t="s">
        <v>2794</v>
      </c>
      <c r="D323" s="761" t="s">
        <v>1749</v>
      </c>
      <c r="E323" s="765" t="s">
        <v>2795</v>
      </c>
      <c r="F323" s="762" t="s">
        <v>3655</v>
      </c>
      <c r="G323" s="763" t="s">
        <v>1693</v>
      </c>
      <c r="H323" s="764" t="s">
        <v>500</v>
      </c>
      <c r="I323" s="681"/>
      <c r="J323" s="613" t="s">
        <v>1678</v>
      </c>
      <c r="K323" s="614"/>
      <c r="L323" s="609"/>
      <c r="M323" s="610"/>
      <c r="N323" s="615" t="s">
        <v>2846</v>
      </c>
      <c r="O323" s="615" t="s">
        <v>3628</v>
      </c>
      <c r="P323" s="497" t="s">
        <v>2353</v>
      </c>
      <c r="Q323" s="1369"/>
      <c r="S323" s="596"/>
      <c r="T323" s="596"/>
      <c r="U323" s="596"/>
      <c r="V323" s="596"/>
      <c r="W323" s="596"/>
      <c r="X323" s="596"/>
      <c r="Y323" s="596"/>
      <c r="Z323" s="596"/>
      <c r="AA323" s="596"/>
    </row>
    <row r="324" spans="2:27" ht="12" customHeight="1">
      <c r="B324" s="766"/>
      <c r="C324" s="761" t="s">
        <v>2796</v>
      </c>
      <c r="D324" s="761" t="s">
        <v>1902</v>
      </c>
      <c r="E324" s="765" t="s">
        <v>1887</v>
      </c>
      <c r="F324" s="765" t="s">
        <v>3656</v>
      </c>
      <c r="G324" s="763" t="s">
        <v>3613</v>
      </c>
      <c r="H324" s="764" t="s">
        <v>501</v>
      </c>
      <c r="I324" s="681"/>
      <c r="J324" s="613" t="s">
        <v>1143</v>
      </c>
      <c r="K324" s="614"/>
      <c r="L324" s="609"/>
      <c r="M324" s="610"/>
      <c r="N324" s="615" t="s">
        <v>404</v>
      </c>
      <c r="O324" s="615" t="s">
        <v>2828</v>
      </c>
      <c r="P324" s="497" t="s">
        <v>2354</v>
      </c>
      <c r="Q324" s="1369"/>
      <c r="S324" s="596"/>
      <c r="T324" s="596"/>
      <c r="U324" s="596"/>
      <c r="V324" s="596"/>
      <c r="W324" s="596"/>
      <c r="X324" s="596"/>
      <c r="Y324" s="596"/>
      <c r="Z324" s="596"/>
      <c r="AA324" s="596"/>
    </row>
    <row r="325" spans="2:27" ht="12" customHeight="1">
      <c r="B325" s="766"/>
      <c r="C325" s="761" t="s">
        <v>2797</v>
      </c>
      <c r="D325" s="761" t="s">
        <v>1878</v>
      </c>
      <c r="E325" s="765" t="s">
        <v>2798</v>
      </c>
      <c r="F325" s="765" t="s">
        <v>3655</v>
      </c>
      <c r="G325" s="763" t="s">
        <v>1694</v>
      </c>
      <c r="H325" s="764" t="s">
        <v>500</v>
      </c>
      <c r="I325" s="680"/>
      <c r="J325" s="613" t="s">
        <v>41</v>
      </c>
      <c r="K325" s="614"/>
      <c r="L325" s="609"/>
      <c r="M325" s="610"/>
      <c r="N325" s="615" t="s">
        <v>406</v>
      </c>
      <c r="O325" s="615" t="s">
        <v>1364</v>
      </c>
      <c r="P325" s="497" t="s">
        <v>2355</v>
      </c>
      <c r="Q325" s="1369"/>
      <c r="S325" s="596"/>
      <c r="T325" s="596"/>
      <c r="U325" s="596"/>
      <c r="V325" s="596"/>
      <c r="W325" s="596"/>
      <c r="X325" s="596"/>
      <c r="Y325" s="596"/>
      <c r="Z325" s="596"/>
      <c r="AA325" s="596"/>
    </row>
    <row r="326" spans="2:27" ht="12" customHeight="1">
      <c r="B326" s="766"/>
      <c r="C326" s="761" t="s">
        <v>2886</v>
      </c>
      <c r="D326" s="761" t="s">
        <v>1902</v>
      </c>
      <c r="E326" s="762" t="s">
        <v>2887</v>
      </c>
      <c r="F326" s="765" t="s">
        <v>3655</v>
      </c>
      <c r="G326" s="763" t="s">
        <v>1695</v>
      </c>
      <c r="H326" s="764" t="s">
        <v>500</v>
      </c>
      <c r="I326" s="681"/>
      <c r="J326" s="613" t="s">
        <v>2843</v>
      </c>
      <c r="K326" s="614"/>
      <c r="L326" s="609"/>
      <c r="M326" s="610"/>
      <c r="N326" s="615" t="s">
        <v>408</v>
      </c>
      <c r="O326" s="615" t="s">
        <v>217</v>
      </c>
      <c r="P326" s="497" t="s">
        <v>2356</v>
      </c>
      <c r="Q326" s="1369"/>
      <c r="S326" s="596"/>
      <c r="T326" s="596"/>
      <c r="U326" s="596"/>
      <c r="V326" s="596"/>
      <c r="W326" s="596"/>
      <c r="X326" s="596"/>
      <c r="Y326" s="596"/>
      <c r="Z326" s="596"/>
      <c r="AA326" s="596"/>
    </row>
    <row r="327" spans="2:27" ht="12" customHeight="1">
      <c r="B327" s="766"/>
      <c r="C327" s="761" t="s">
        <v>2888</v>
      </c>
      <c r="D327" s="761" t="s">
        <v>1878</v>
      </c>
      <c r="E327" s="765" t="s">
        <v>2122</v>
      </c>
      <c r="F327" s="762" t="s">
        <v>3656</v>
      </c>
      <c r="G327" s="763" t="s">
        <v>2527</v>
      </c>
      <c r="H327" s="764" t="s">
        <v>501</v>
      </c>
      <c r="I327" s="681"/>
      <c r="J327" s="613" t="s">
        <v>2845</v>
      </c>
      <c r="K327" s="614"/>
      <c r="L327" s="609"/>
      <c r="M327" s="610"/>
      <c r="N327" s="615" t="s">
        <v>410</v>
      </c>
      <c r="O327" s="615" t="s">
        <v>3374</v>
      </c>
      <c r="P327" s="497" t="s">
        <v>2357</v>
      </c>
      <c r="Q327" s="1369"/>
      <c r="S327" s="596"/>
      <c r="T327" s="596"/>
      <c r="U327" s="596"/>
      <c r="V327" s="596"/>
      <c r="W327" s="596"/>
      <c r="X327" s="596"/>
      <c r="Y327" s="596"/>
      <c r="Z327" s="596"/>
      <c r="AA327" s="596"/>
    </row>
    <row r="328" spans="2:27" ht="12" customHeight="1">
      <c r="B328" s="766"/>
      <c r="C328" s="761" t="s">
        <v>2889</v>
      </c>
      <c r="D328" s="761" t="s">
        <v>1902</v>
      </c>
      <c r="E328" s="765" t="s">
        <v>1244</v>
      </c>
      <c r="F328" s="765" t="s">
        <v>3656</v>
      </c>
      <c r="G328" s="763" t="s">
        <v>3610</v>
      </c>
      <c r="H328" s="764" t="s">
        <v>501</v>
      </c>
      <c r="I328" s="681"/>
      <c r="J328" s="613" t="s">
        <v>403</v>
      </c>
      <c r="K328" s="614"/>
      <c r="L328" s="609"/>
      <c r="M328" s="610"/>
      <c r="N328" s="615" t="s">
        <v>412</v>
      </c>
      <c r="O328" s="615" t="s">
        <v>2753</v>
      </c>
      <c r="P328" s="497" t="s">
        <v>2358</v>
      </c>
      <c r="Q328" s="1369"/>
      <c r="S328" s="596"/>
      <c r="T328" s="596"/>
      <c r="U328" s="596"/>
      <c r="V328" s="596"/>
      <c r="W328" s="596"/>
      <c r="X328" s="596"/>
      <c r="Y328" s="596"/>
      <c r="Z328" s="596"/>
      <c r="AA328" s="596"/>
    </row>
    <row r="329" spans="2:27" ht="12" customHeight="1">
      <c r="B329" s="766"/>
      <c r="C329" s="761" t="s">
        <v>2890</v>
      </c>
      <c r="D329" s="761" t="s">
        <v>1749</v>
      </c>
      <c r="E329" s="765" t="s">
        <v>112</v>
      </c>
      <c r="F329" s="765" t="s">
        <v>3655</v>
      </c>
      <c r="G329" s="763" t="s">
        <v>1696</v>
      </c>
      <c r="H329" s="764" t="s">
        <v>500</v>
      </c>
      <c r="I329" s="681"/>
      <c r="J329" s="613" t="s">
        <v>405</v>
      </c>
      <c r="K329" s="614"/>
      <c r="L329" s="609"/>
      <c r="M329" s="610"/>
      <c r="N329" s="615" t="s">
        <v>414</v>
      </c>
      <c r="O329" s="615" t="s">
        <v>213</v>
      </c>
      <c r="P329" s="497" t="s">
        <v>1160</v>
      </c>
      <c r="Q329" s="1369"/>
      <c r="S329" s="596"/>
      <c r="T329" s="596"/>
      <c r="U329" s="596"/>
      <c r="V329" s="596"/>
      <c r="W329" s="596"/>
      <c r="X329" s="596"/>
      <c r="Y329" s="596"/>
      <c r="Z329" s="596"/>
      <c r="AA329" s="596"/>
    </row>
    <row r="330" spans="2:27" ht="12" customHeight="1">
      <c r="B330" s="766"/>
      <c r="C330" s="761" t="s">
        <v>113</v>
      </c>
      <c r="D330" s="761" t="s">
        <v>1902</v>
      </c>
      <c r="E330" s="765" t="s">
        <v>114</v>
      </c>
      <c r="F330" s="765" t="s">
        <v>3655</v>
      </c>
      <c r="G330" s="763" t="s">
        <v>1697</v>
      </c>
      <c r="H330" s="764" t="s">
        <v>500</v>
      </c>
      <c r="I330" s="681"/>
      <c r="J330" s="613" t="s">
        <v>407</v>
      </c>
      <c r="K330" s="614"/>
      <c r="L330" s="609"/>
      <c r="M330" s="610"/>
      <c r="N330" s="615" t="s">
        <v>2819</v>
      </c>
      <c r="O330" s="615" t="s">
        <v>115</v>
      </c>
      <c r="P330" s="497" t="s">
        <v>1161</v>
      </c>
      <c r="Q330" s="1369"/>
      <c r="S330" s="596"/>
      <c r="T330" s="596"/>
      <c r="U330" s="596"/>
      <c r="V330" s="596"/>
      <c r="W330" s="596"/>
      <c r="X330" s="596"/>
      <c r="Y330" s="596"/>
      <c r="Z330" s="596"/>
      <c r="AA330" s="596"/>
    </row>
    <row r="331" spans="2:27" ht="12" customHeight="1">
      <c r="B331" s="766"/>
      <c r="C331" s="761" t="s">
        <v>115</v>
      </c>
      <c r="D331" s="761" t="s">
        <v>1749</v>
      </c>
      <c r="E331" s="765" t="s">
        <v>116</v>
      </c>
      <c r="F331" s="765" t="s">
        <v>3655</v>
      </c>
      <c r="G331" s="763" t="s">
        <v>1698</v>
      </c>
      <c r="H331" s="764" t="s">
        <v>500</v>
      </c>
      <c r="I331" s="681"/>
      <c r="J331" s="613" t="s">
        <v>409</v>
      </c>
      <c r="K331" s="614"/>
      <c r="L331" s="609"/>
      <c r="M331" s="610"/>
      <c r="N331" s="615" t="s">
        <v>234</v>
      </c>
      <c r="O331" s="615" t="s">
        <v>2499</v>
      </c>
      <c r="P331" s="497" t="s">
        <v>1162</v>
      </c>
      <c r="Q331" s="1369"/>
      <c r="S331" s="596"/>
      <c r="T331" s="596"/>
      <c r="U331" s="596"/>
      <c r="V331" s="596"/>
      <c r="W331" s="596"/>
      <c r="X331" s="596"/>
      <c r="Y331" s="596"/>
      <c r="Z331" s="596"/>
      <c r="AA331" s="596"/>
    </row>
    <row r="332" spans="2:27" ht="12" customHeight="1">
      <c r="B332" s="766"/>
      <c r="C332" s="761" t="s">
        <v>117</v>
      </c>
      <c r="D332" s="761" t="s">
        <v>1749</v>
      </c>
      <c r="E332" s="765" t="s">
        <v>118</v>
      </c>
      <c r="F332" s="765" t="s">
        <v>3655</v>
      </c>
      <c r="G332" s="763" t="s">
        <v>1699</v>
      </c>
      <c r="H332" s="764" t="s">
        <v>500</v>
      </c>
      <c r="I332" s="681"/>
      <c r="J332" s="613" t="s">
        <v>411</v>
      </c>
      <c r="K332" s="614"/>
      <c r="L332" s="609"/>
      <c r="M332" s="610"/>
      <c r="N332" s="615" t="s">
        <v>3046</v>
      </c>
      <c r="O332" s="615" t="s">
        <v>234</v>
      </c>
      <c r="P332" s="497" t="s">
        <v>1163</v>
      </c>
      <c r="Q332" s="1369"/>
      <c r="S332" s="596"/>
      <c r="T332" s="596"/>
      <c r="U332" s="596"/>
      <c r="V332" s="596"/>
      <c r="W332" s="596"/>
      <c r="X332" s="596"/>
      <c r="Y332" s="596"/>
      <c r="Z332" s="596"/>
      <c r="AA332" s="596"/>
    </row>
    <row r="333" spans="2:27" ht="12" customHeight="1">
      <c r="B333" s="766"/>
      <c r="C333" s="761" t="s">
        <v>119</v>
      </c>
      <c r="D333" s="761" t="s">
        <v>1749</v>
      </c>
      <c r="E333" s="765" t="s">
        <v>120</v>
      </c>
      <c r="F333" s="765" t="s">
        <v>3655</v>
      </c>
      <c r="G333" s="763" t="s">
        <v>1700</v>
      </c>
      <c r="H333" s="764" t="s">
        <v>500</v>
      </c>
      <c r="I333" s="681"/>
      <c r="J333" s="613" t="s">
        <v>413</v>
      </c>
      <c r="K333" s="614"/>
      <c r="L333" s="609"/>
      <c r="M333" s="610"/>
      <c r="N333" s="615" t="s">
        <v>963</v>
      </c>
      <c r="O333" s="615" t="s">
        <v>3070</v>
      </c>
      <c r="P333" s="497" t="s">
        <v>1164</v>
      </c>
      <c r="Q333" s="1369"/>
      <c r="S333" s="596"/>
      <c r="T333" s="596"/>
      <c r="U333" s="596"/>
      <c r="V333" s="596"/>
      <c r="W333" s="596"/>
      <c r="X333" s="596"/>
      <c r="Y333" s="596"/>
      <c r="Z333" s="596"/>
      <c r="AA333" s="596"/>
    </row>
    <row r="334" spans="2:27" ht="12" customHeight="1">
      <c r="B334" s="766"/>
      <c r="C334" s="761" t="s">
        <v>121</v>
      </c>
      <c r="D334" s="761" t="s">
        <v>1749</v>
      </c>
      <c r="E334" s="765" t="s">
        <v>122</v>
      </c>
      <c r="F334" s="765" t="s">
        <v>3655</v>
      </c>
      <c r="G334" s="763" t="s">
        <v>3321</v>
      </c>
      <c r="H334" s="764" t="s">
        <v>500</v>
      </c>
      <c r="I334" s="681"/>
      <c r="J334" s="613" t="s">
        <v>2818</v>
      </c>
      <c r="K334" s="614"/>
      <c r="L334" s="609"/>
      <c r="M334" s="610"/>
      <c r="N334" s="615" t="s">
        <v>192</v>
      </c>
      <c r="O334" s="615" t="s">
        <v>2752</v>
      </c>
      <c r="P334" s="497" t="s">
        <v>1165</v>
      </c>
      <c r="Q334" s="1369"/>
      <c r="S334" s="596"/>
      <c r="T334" s="596"/>
      <c r="U334" s="596"/>
      <c r="V334" s="596"/>
      <c r="W334" s="596"/>
      <c r="X334" s="596"/>
      <c r="Y334" s="596"/>
      <c r="Z334" s="596"/>
      <c r="AA334" s="596"/>
    </row>
    <row r="335" spans="2:27" ht="12" customHeight="1">
      <c r="B335" s="766"/>
      <c r="C335" s="761" t="s">
        <v>123</v>
      </c>
      <c r="D335" s="761" t="s">
        <v>1878</v>
      </c>
      <c r="E335" s="765" t="s">
        <v>124</v>
      </c>
      <c r="F335" s="765" t="s">
        <v>3655</v>
      </c>
      <c r="G335" s="763" t="s">
        <v>3322</v>
      </c>
      <c r="H335" s="764" t="s">
        <v>500</v>
      </c>
      <c r="I335" s="680"/>
      <c r="J335" s="613" t="s">
        <v>2820</v>
      </c>
      <c r="K335" s="614"/>
      <c r="L335" s="609"/>
      <c r="M335" s="610"/>
      <c r="N335" s="615" t="s">
        <v>235</v>
      </c>
      <c r="O335" s="615" t="s">
        <v>887</v>
      </c>
      <c r="P335" s="497" t="s">
        <v>1166</v>
      </c>
      <c r="Q335" s="1369"/>
      <c r="S335" s="596"/>
      <c r="T335" s="596"/>
      <c r="U335" s="596"/>
      <c r="V335" s="596"/>
      <c r="W335" s="596"/>
      <c r="X335" s="596"/>
      <c r="Y335" s="596"/>
      <c r="Z335" s="596"/>
      <c r="AA335" s="596"/>
    </row>
    <row r="336" spans="2:27" ht="12" customHeight="1">
      <c r="B336" s="766"/>
      <c r="C336" s="761" t="s">
        <v>2828</v>
      </c>
      <c r="D336" s="761" t="s">
        <v>1878</v>
      </c>
      <c r="E336" s="762" t="s">
        <v>404</v>
      </c>
      <c r="F336" s="765" t="s">
        <v>3656</v>
      </c>
      <c r="G336" s="763" t="s">
        <v>3323</v>
      </c>
      <c r="H336" s="764" t="s">
        <v>501</v>
      </c>
      <c r="I336" s="681"/>
      <c r="J336" s="613" t="s">
        <v>3045</v>
      </c>
      <c r="K336" s="614"/>
      <c r="L336" s="609"/>
      <c r="M336" s="610"/>
      <c r="N336" s="497" t="s">
        <v>3596</v>
      </c>
      <c r="O336" s="497" t="s">
        <v>2890</v>
      </c>
      <c r="P336" s="1371" t="s">
        <v>3031</v>
      </c>
      <c r="Q336" s="1369"/>
      <c r="S336" s="596"/>
      <c r="T336" s="596"/>
      <c r="U336" s="596"/>
      <c r="V336" s="596"/>
      <c r="W336" s="596"/>
      <c r="X336" s="596"/>
      <c r="Y336" s="596"/>
      <c r="Z336" s="596"/>
      <c r="AA336" s="596"/>
    </row>
    <row r="337" spans="1:27" ht="12" customHeight="1">
      <c r="B337" s="766"/>
      <c r="C337" s="761" t="s">
        <v>2829</v>
      </c>
      <c r="D337" s="761" t="s">
        <v>1749</v>
      </c>
      <c r="E337" s="765" t="s">
        <v>3371</v>
      </c>
      <c r="F337" s="762" t="s">
        <v>3655</v>
      </c>
      <c r="G337" s="763" t="s">
        <v>3324</v>
      </c>
      <c r="H337" s="764" t="s">
        <v>500</v>
      </c>
      <c r="I337" s="681"/>
      <c r="J337" s="613" t="s">
        <v>190</v>
      </c>
      <c r="K337" s="614"/>
      <c r="L337" s="609"/>
      <c r="M337" s="610"/>
      <c r="N337" s="615" t="s">
        <v>1277</v>
      </c>
      <c r="O337" s="615" t="s">
        <v>115</v>
      </c>
      <c r="P337" s="497" t="s">
        <v>1167</v>
      </c>
      <c r="Q337" s="1369"/>
      <c r="S337" s="596"/>
      <c r="T337" s="596"/>
      <c r="U337" s="596"/>
      <c r="V337" s="596"/>
      <c r="W337" s="596"/>
      <c r="X337" s="596"/>
      <c r="Y337" s="596"/>
      <c r="Z337" s="596"/>
      <c r="AA337" s="596"/>
    </row>
    <row r="338" spans="1:27" ht="12" customHeight="1">
      <c r="B338" s="766"/>
      <c r="C338" s="761" t="s">
        <v>3372</v>
      </c>
      <c r="D338" s="761" t="s">
        <v>1902</v>
      </c>
      <c r="E338" s="765" t="s">
        <v>3373</v>
      </c>
      <c r="F338" s="765" t="s">
        <v>3655</v>
      </c>
      <c r="G338" s="763" t="s">
        <v>498</v>
      </c>
      <c r="H338" s="764" t="s">
        <v>500</v>
      </c>
      <c r="I338" s="681"/>
      <c r="J338" s="613" t="s">
        <v>191</v>
      </c>
      <c r="K338" s="614"/>
      <c r="L338" s="609"/>
      <c r="M338" s="610"/>
      <c r="N338" s="615" t="s">
        <v>1279</v>
      </c>
      <c r="O338" s="615" t="s">
        <v>131</v>
      </c>
      <c r="P338" s="497" t="s">
        <v>1168</v>
      </c>
      <c r="Q338" s="1369"/>
      <c r="R338" s="432"/>
      <c r="S338" s="497"/>
      <c r="T338" s="596"/>
      <c r="U338" s="596"/>
      <c r="V338" s="596"/>
      <c r="W338" s="596"/>
      <c r="X338" s="596"/>
      <c r="Y338" s="596"/>
      <c r="Z338" s="596"/>
      <c r="AA338" s="596"/>
    </row>
    <row r="339" spans="1:27" ht="12" customHeight="1">
      <c r="B339" s="766"/>
      <c r="C339" s="761" t="s">
        <v>3374</v>
      </c>
      <c r="D339" s="761" t="s">
        <v>1902</v>
      </c>
      <c r="E339" s="765" t="s">
        <v>3375</v>
      </c>
      <c r="F339" s="765" t="s">
        <v>3655</v>
      </c>
      <c r="G339" s="763" t="s">
        <v>499</v>
      </c>
      <c r="H339" s="764" t="s">
        <v>500</v>
      </c>
      <c r="I339" s="681"/>
      <c r="J339" s="613" t="s">
        <v>2184</v>
      </c>
      <c r="K339" s="614"/>
      <c r="L339" s="609"/>
      <c r="M339" s="610"/>
      <c r="N339" s="615" t="s">
        <v>1281</v>
      </c>
      <c r="O339" s="615" t="s">
        <v>395</v>
      </c>
      <c r="P339" s="497" t="s">
        <v>1169</v>
      </c>
      <c r="Q339" s="1369"/>
      <c r="R339" s="432"/>
      <c r="S339" s="497"/>
      <c r="T339" s="596"/>
      <c r="U339" s="596"/>
      <c r="V339" s="596"/>
      <c r="W339" s="596"/>
      <c r="X339" s="596"/>
      <c r="Y339" s="596"/>
      <c r="Z339" s="596"/>
      <c r="AA339" s="596"/>
    </row>
    <row r="340" spans="1:27" ht="12" customHeight="1">
      <c r="B340" s="768"/>
      <c r="C340" s="761" t="s">
        <v>3376</v>
      </c>
      <c r="D340" s="761" t="s">
        <v>1749</v>
      </c>
      <c r="E340" s="765" t="s">
        <v>2637</v>
      </c>
      <c r="F340" s="765" t="s">
        <v>3656</v>
      </c>
      <c r="G340" s="763" t="s">
        <v>1683</v>
      </c>
      <c r="H340" s="764" t="s">
        <v>501</v>
      </c>
      <c r="J340" s="613" t="s">
        <v>1276</v>
      </c>
      <c r="K340" s="614"/>
      <c r="L340" s="609"/>
      <c r="M340" s="610"/>
      <c r="N340" s="615" t="s">
        <v>3406</v>
      </c>
      <c r="O340" s="615" t="s">
        <v>2038</v>
      </c>
      <c r="P340" s="497" t="s">
        <v>1170</v>
      </c>
      <c r="Q340" s="1369"/>
      <c r="R340" s="432"/>
      <c r="S340" s="497"/>
      <c r="T340" s="596"/>
      <c r="U340" s="596"/>
      <c r="V340" s="596"/>
      <c r="W340" s="596"/>
      <c r="X340" s="596"/>
      <c r="Y340" s="596"/>
      <c r="Z340" s="596"/>
      <c r="AA340" s="596"/>
    </row>
    <row r="341" spans="1:27" ht="12" customHeight="1">
      <c r="F341" s="561"/>
      <c r="J341" s="613" t="s">
        <v>1278</v>
      </c>
      <c r="K341" s="614"/>
      <c r="L341" s="609"/>
      <c r="M341" s="610"/>
      <c r="N341" s="615" t="s">
        <v>3408</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3597</v>
      </c>
      <c r="O342" s="497" t="s">
        <v>932</v>
      </c>
      <c r="P342" s="1371"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3404</v>
      </c>
      <c r="K343" s="614"/>
      <c r="L343" s="609"/>
      <c r="M343" s="610"/>
      <c r="N343" s="615" t="s">
        <v>454</v>
      </c>
      <c r="O343" s="615" t="s">
        <v>3492</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3405</v>
      </c>
      <c r="K344" s="614"/>
      <c r="L344" s="609"/>
      <c r="M344" s="610"/>
      <c r="N344" s="615" t="s">
        <v>456</v>
      </c>
      <c r="O344" s="615" t="s">
        <v>3063</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3407</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3409</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3410</v>
      </c>
      <c r="K347" s="614"/>
      <c r="L347" s="609"/>
      <c r="M347" s="610"/>
      <c r="N347" s="615" t="s">
        <v>1363</v>
      </c>
      <c r="O347" s="615" t="s">
        <v>3490</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3598</v>
      </c>
      <c r="O349" s="497" t="s">
        <v>887</v>
      </c>
      <c r="P349" s="1371"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3487</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3599</v>
      </c>
      <c r="O357" s="497" t="s">
        <v>3065</v>
      </c>
      <c r="P357" s="1371"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3600</v>
      </c>
      <c r="O358" s="497" t="s">
        <v>3544</v>
      </c>
      <c r="P358" s="1371"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3525</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3524</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3526</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3492</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3622</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3154</v>
      </c>
      <c r="O373" s="497" t="s">
        <v>3541</v>
      </c>
      <c r="P373" s="1371"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3601</v>
      </c>
      <c r="O374" s="497" t="s">
        <v>3065</v>
      </c>
      <c r="P374" s="1371"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3602</v>
      </c>
      <c r="O375" s="497" t="s">
        <v>3489</v>
      </c>
      <c r="P375" s="1371"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3603</v>
      </c>
      <c r="O378" s="497" t="s">
        <v>2888</v>
      </c>
      <c r="P378" s="1371"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3487</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3191</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3190</v>
      </c>
      <c r="K381" s="614"/>
      <c r="L381" s="609"/>
      <c r="M381" s="610"/>
      <c r="N381" s="615" t="s">
        <v>3193</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3192</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3362</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3486</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3361</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3327</v>
      </c>
      <c r="O388" s="615" t="s">
        <v>3484</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71"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3492</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3152</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3465</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3072</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70"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3464</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3076</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3374</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3544</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71"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3065</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3541</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71"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3154</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71"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3544</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3541</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3203</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3202</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71"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3061</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3628</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3053</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3052</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3487</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3242</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3223</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3225</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3240</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3241</v>
      </c>
      <c r="K451" s="614"/>
      <c r="L451" s="609"/>
      <c r="M451" s="610"/>
      <c r="N451" s="497" t="s">
        <v>1563</v>
      </c>
      <c r="O451" s="497" t="s">
        <v>2121</v>
      </c>
      <c r="P451" s="1371"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3221</v>
      </c>
      <c r="K452" s="614"/>
      <c r="L452" s="609"/>
      <c r="M452" s="610"/>
      <c r="N452" s="615" t="s">
        <v>225</v>
      </c>
      <c r="O452" s="615" t="s">
        <v>3063</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3222</v>
      </c>
      <c r="K453" s="614"/>
      <c r="L453" s="609"/>
      <c r="M453" s="610"/>
      <c r="N453" s="497" t="s">
        <v>1564</v>
      </c>
      <c r="O453" s="497" t="s">
        <v>3486</v>
      </c>
      <c r="P453" s="1371"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3224</v>
      </c>
      <c r="K454" s="614"/>
      <c r="L454" s="609"/>
      <c r="M454" s="610"/>
      <c r="N454" s="615" t="s">
        <v>2853</v>
      </c>
      <c r="O454" s="615" t="s">
        <v>3374</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71"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3374</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3160</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3159</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3316</v>
      </c>
      <c r="O467" s="615" t="s">
        <v>3486</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3318</v>
      </c>
      <c r="O468" s="615" t="s">
        <v>3072</v>
      </c>
      <c r="P468" s="610" t="s">
        <v>3318</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3489</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3317</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71"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3486</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3393</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71"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3392</v>
      </c>
      <c r="K481" s="614"/>
      <c r="L481" s="609"/>
      <c r="M481" s="610"/>
      <c r="N481" s="497" t="s">
        <v>1568</v>
      </c>
      <c r="O481" s="497" t="s">
        <v>1623</v>
      </c>
      <c r="P481" s="1371"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3093</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3094</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3542</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3070</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3259</v>
      </c>
      <c r="O488" s="615" t="s">
        <v>3627</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3261</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3260</v>
      </c>
      <c r="K491" s="614"/>
      <c r="L491" s="609"/>
      <c r="M491" s="610"/>
      <c r="N491" s="497" t="s">
        <v>1569</v>
      </c>
      <c r="O491" s="497" t="s">
        <v>2886</v>
      </c>
      <c r="P491" s="1371"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3632</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70"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70"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3486</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3068</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3497</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3489</v>
      </c>
      <c r="P509" s="1371"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3620</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3076</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3625</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3489</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3066</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3541</v>
      </c>
      <c r="P518" s="1371"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3627</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3374</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3244</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3243</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70"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71"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71"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3544</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3620</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3486</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3631</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3492</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3630</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3197</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3197</v>
      </c>
      <c r="O556" s="497" t="s">
        <v>1744</v>
      </c>
      <c r="P556" s="1371"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3264</v>
      </c>
      <c r="K558" s="614"/>
      <c r="L558" s="609"/>
      <c r="M558" s="610"/>
      <c r="N558" s="615" t="s">
        <v>3158</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70"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3196</v>
      </c>
      <c r="K561" s="614"/>
      <c r="L561" s="609"/>
      <c r="M561" s="610"/>
      <c r="N561" s="615" t="s">
        <v>468</v>
      </c>
      <c r="O561" s="615" t="s">
        <v>3625</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3061</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3544</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3157</v>
      </c>
      <c r="K564" s="614"/>
      <c r="L564" s="609"/>
      <c r="M564" s="610"/>
      <c r="N564" s="615" t="s">
        <v>3625</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3187</v>
      </c>
      <c r="K565" s="614"/>
      <c r="L565" s="609"/>
      <c r="M565" s="610"/>
      <c r="N565" s="615" t="s">
        <v>2188</v>
      </c>
      <c r="O565" s="615" t="s">
        <v>3490</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3435</v>
      </c>
      <c r="O568" s="615" t="s">
        <v>3492</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71"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71"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71"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3626</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3629</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3436</v>
      </c>
      <c r="K574" s="614"/>
      <c r="L574" s="609"/>
      <c r="M574" s="610"/>
      <c r="N574" s="615" t="s">
        <v>2696</v>
      </c>
      <c r="O574" s="615" t="s">
        <v>3152</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3152</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3626</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3627</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3061</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3068</v>
      </c>
      <c r="P584" s="1370"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3184</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3186</v>
      </c>
      <c r="O586" s="615" t="s">
        <v>3065</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3625</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3185</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71"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3589</v>
      </c>
      <c r="S599" s="497" t="s">
        <v>887</v>
      </c>
      <c r="T599" s="1371"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71" t="s">
        <v>3031</v>
      </c>
      <c r="Q600" s="596"/>
      <c r="R600" s="497" t="s">
        <v>3590</v>
      </c>
      <c r="S600" s="497" t="s">
        <v>388</v>
      </c>
      <c r="T600" s="1371"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3591</v>
      </c>
      <c r="S601" s="497" t="s">
        <v>3486</v>
      </c>
      <c r="T601" s="1371"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3592</v>
      </c>
      <c r="S602" s="497"/>
      <c r="T602" s="1371"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3593</v>
      </c>
      <c r="S603" s="497" t="s">
        <v>2888</v>
      </c>
      <c r="T603" s="1371"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3594</v>
      </c>
      <c r="S604" s="497" t="s">
        <v>3486</v>
      </c>
      <c r="T604" s="1371"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3595</v>
      </c>
      <c r="S605" s="497" t="s">
        <v>1894</v>
      </c>
      <c r="T605" s="1371"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3070</v>
      </c>
      <c r="P606" s="610" t="s">
        <v>1082</v>
      </c>
      <c r="Q606" s="596"/>
      <c r="R606" s="497" t="s">
        <v>3596</v>
      </c>
      <c r="S606" s="497" t="s">
        <v>2890</v>
      </c>
      <c r="T606" s="1371"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3597</v>
      </c>
      <c r="S607" s="497" t="s">
        <v>932</v>
      </c>
      <c r="T607" s="1371"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3598</v>
      </c>
      <c r="S608" s="497" t="s">
        <v>887</v>
      </c>
      <c r="T608" s="1371"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3599</v>
      </c>
      <c r="S609" s="497" t="s">
        <v>3065</v>
      </c>
      <c r="T609" s="1371"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3600</v>
      </c>
      <c r="S610" s="497" t="s">
        <v>3544</v>
      </c>
      <c r="T610" s="1371"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3625</v>
      </c>
      <c r="P611" s="610" t="s">
        <v>1087</v>
      </c>
      <c r="Q611" s="596"/>
      <c r="R611" s="497" t="s">
        <v>3154</v>
      </c>
      <c r="S611" s="497" t="s">
        <v>3541</v>
      </c>
      <c r="T611" s="1371"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3376</v>
      </c>
      <c r="P612" s="610" t="s">
        <v>1088</v>
      </c>
      <c r="Q612" s="596"/>
      <c r="R612" s="497" t="s">
        <v>3601</v>
      </c>
      <c r="S612" s="497" t="s">
        <v>3065</v>
      </c>
      <c r="T612" s="1371"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3489</v>
      </c>
      <c r="P613" s="610" t="s">
        <v>1089</v>
      </c>
      <c r="Q613" s="596"/>
      <c r="R613" s="497" t="s">
        <v>3602</v>
      </c>
      <c r="S613" s="497" t="s">
        <v>3489</v>
      </c>
      <c r="T613" s="1371"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70" t="s">
        <v>1311</v>
      </c>
      <c r="Q614" s="596"/>
      <c r="R614" s="497" t="s">
        <v>3603</v>
      </c>
      <c r="S614" s="497" t="s">
        <v>2888</v>
      </c>
      <c r="T614" s="1371"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71"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71" t="s">
        <v>3031</v>
      </c>
      <c r="Q616" s="596"/>
      <c r="R616" s="497" t="s">
        <v>1397</v>
      </c>
      <c r="S616" s="497" t="s">
        <v>1616</v>
      </c>
      <c r="T616" s="1371"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71"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71"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71" t="s">
        <v>3031</v>
      </c>
      <c r="Q619" s="596"/>
      <c r="R619" s="497" t="s">
        <v>1561</v>
      </c>
      <c r="S619" s="497" t="s">
        <v>2886</v>
      </c>
      <c r="T619" s="1371"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71"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3372</v>
      </c>
      <c r="P621" s="610" t="s">
        <v>1093</v>
      </c>
      <c r="Q621" s="1372"/>
      <c r="R621" s="497" t="s">
        <v>1563</v>
      </c>
      <c r="S621" s="497" t="s">
        <v>2121</v>
      </c>
      <c r="T621" s="1371"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3486</v>
      </c>
      <c r="T622" s="1371"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71" t="s">
        <v>3031</v>
      </c>
      <c r="Q623" s="596"/>
      <c r="R623" s="497" t="s">
        <v>1565</v>
      </c>
      <c r="S623" s="497" t="s">
        <v>196</v>
      </c>
      <c r="T623" s="1371"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1581</v>
      </c>
      <c r="O624" s="497" t="s">
        <v>385</v>
      </c>
      <c r="P624" s="1371" t="s">
        <v>3031</v>
      </c>
      <c r="Q624" s="596"/>
      <c r="R624" s="497" t="s">
        <v>1566</v>
      </c>
      <c r="S624" s="497" t="s">
        <v>1901</v>
      </c>
      <c r="T624" s="1371"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1894</v>
      </c>
      <c r="P625" s="610" t="s">
        <v>1095</v>
      </c>
      <c r="Q625" s="596"/>
      <c r="R625" s="497" t="s">
        <v>1567</v>
      </c>
      <c r="S625" s="497" t="s">
        <v>2121</v>
      </c>
      <c r="T625" s="1371"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3076</v>
      </c>
      <c r="P626" s="610" t="s">
        <v>1096</v>
      </c>
      <c r="Q626" s="596"/>
      <c r="R626" s="497" t="s">
        <v>1568</v>
      </c>
      <c r="S626" s="497" t="s">
        <v>1623</v>
      </c>
      <c r="T626" s="1371"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1097</v>
      </c>
      <c r="Q627" s="596"/>
      <c r="R627" s="497" t="s">
        <v>1569</v>
      </c>
      <c r="S627" s="497" t="s">
        <v>2886</v>
      </c>
      <c r="T627" s="1371"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2038</v>
      </c>
      <c r="P628" s="610" t="s">
        <v>1098</v>
      </c>
      <c r="Q628" s="596"/>
      <c r="R628" s="615" t="s">
        <v>1315</v>
      </c>
      <c r="S628" s="615" t="s">
        <v>1363</v>
      </c>
      <c r="T628" s="1371"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933</v>
      </c>
      <c r="P629" s="610" t="s">
        <v>1099</v>
      </c>
      <c r="Q629" s="596"/>
      <c r="R629" s="497" t="s">
        <v>1570</v>
      </c>
      <c r="S629" s="497" t="s">
        <v>3489</v>
      </c>
      <c r="T629" s="1371"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3541</v>
      </c>
      <c r="T630" s="1371"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3078</v>
      </c>
      <c r="P631" s="610" t="s">
        <v>1101</v>
      </c>
      <c r="Q631" s="596"/>
      <c r="R631" s="497" t="s">
        <v>1571</v>
      </c>
      <c r="S631" s="497"/>
      <c r="T631" s="1371"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71"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71"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3068</v>
      </c>
      <c r="P634" s="610" t="s">
        <v>1104</v>
      </c>
      <c r="Q634" s="596"/>
      <c r="R634" s="497" t="s">
        <v>3197</v>
      </c>
      <c r="S634" s="497" t="s">
        <v>1744</v>
      </c>
      <c r="T634" s="1371"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71"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71"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71"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71"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3486</v>
      </c>
      <c r="P639" s="610" t="s">
        <v>1109</v>
      </c>
      <c r="Q639" s="596"/>
      <c r="R639" s="497" t="s">
        <v>1577</v>
      </c>
      <c r="S639" s="497" t="s">
        <v>2502</v>
      </c>
      <c r="T639" s="1371"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3492</v>
      </c>
      <c r="P640" s="610" t="s">
        <v>1110</v>
      </c>
      <c r="Q640" s="596"/>
      <c r="R640" s="497" t="s">
        <v>1578</v>
      </c>
      <c r="S640" s="497" t="s">
        <v>1450</v>
      </c>
      <c r="T640" s="1371"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3545</v>
      </c>
      <c r="P641" s="610" t="s">
        <v>1111</v>
      </c>
      <c r="Q641" s="596"/>
      <c r="R641" s="497" t="s">
        <v>1579</v>
      </c>
      <c r="S641" s="497" t="s">
        <v>131</v>
      </c>
      <c r="T641" s="1371"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71" t="s">
        <v>3031</v>
      </c>
      <c r="Q642" s="596"/>
      <c r="R642" s="497" t="s">
        <v>1580</v>
      </c>
      <c r="S642" s="497" t="s">
        <v>887</v>
      </c>
      <c r="T642" s="1371"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71"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71"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3178</v>
      </c>
      <c r="O645" s="615" t="s">
        <v>3061</v>
      </c>
      <c r="P645" s="610" t="s">
        <v>1114</v>
      </c>
      <c r="Q645" s="596"/>
      <c r="R645" s="497" t="s">
        <v>1319</v>
      </c>
      <c r="S645" s="497" t="s">
        <v>1880</v>
      </c>
      <c r="T645" s="1371"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3177</v>
      </c>
      <c r="K646" s="614"/>
      <c r="L646" s="609"/>
      <c r="M646" s="610"/>
      <c r="N646" s="615" t="s">
        <v>3180</v>
      </c>
      <c r="O646" s="615" t="s">
        <v>924</v>
      </c>
      <c r="P646" s="610" t="s">
        <v>1115</v>
      </c>
      <c r="Q646" s="596"/>
      <c r="R646" s="497" t="s">
        <v>1583</v>
      </c>
      <c r="S646" s="497" t="s">
        <v>932</v>
      </c>
      <c r="T646" s="1371"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3179</v>
      </c>
      <c r="K647" s="614"/>
      <c r="L647" s="609"/>
      <c r="M647" s="610"/>
      <c r="N647" s="615" t="s">
        <v>2625</v>
      </c>
      <c r="O647" s="615" t="s">
        <v>1129</v>
      </c>
      <c r="P647" s="610" t="s">
        <v>1116</v>
      </c>
      <c r="Q647" s="596"/>
      <c r="R647" s="497" t="s">
        <v>1584</v>
      </c>
      <c r="S647" s="497" t="s">
        <v>2121</v>
      </c>
      <c r="T647" s="1371"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3532</v>
      </c>
      <c r="O648" s="615" t="s">
        <v>2888</v>
      </c>
      <c r="P648" s="610" t="s">
        <v>1117</v>
      </c>
      <c r="Q648" s="596"/>
      <c r="R648" s="497" t="s">
        <v>1585</v>
      </c>
      <c r="S648" s="497" t="s">
        <v>887</v>
      </c>
      <c r="T648" s="1371"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3531</v>
      </c>
      <c r="K649" s="614"/>
      <c r="L649" s="609"/>
      <c r="M649" s="610"/>
      <c r="N649" s="615" t="s">
        <v>3055</v>
      </c>
      <c r="O649" s="615" t="s">
        <v>1744</v>
      </c>
      <c r="P649" s="610" t="s">
        <v>1118</v>
      </c>
      <c r="Q649" s="596"/>
      <c r="R649" s="497" t="s">
        <v>1586</v>
      </c>
      <c r="S649" s="497" t="s">
        <v>924</v>
      </c>
      <c r="T649" s="1371"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3054</v>
      </c>
      <c r="K650" s="614"/>
      <c r="L650" s="609"/>
      <c r="M650" s="610"/>
      <c r="N650" s="615" t="s">
        <v>2361</v>
      </c>
      <c r="O650" s="615" t="s">
        <v>926</v>
      </c>
      <c r="P650" s="610" t="s">
        <v>701</v>
      </c>
      <c r="Q650" s="596"/>
      <c r="R650" s="497" t="s">
        <v>1587</v>
      </c>
      <c r="S650" s="497" t="s">
        <v>196</v>
      </c>
      <c r="T650" s="1371"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70" t="s">
        <v>1311</v>
      </c>
      <c r="Q651" s="596"/>
      <c r="R651" s="497" t="s">
        <v>1588</v>
      </c>
      <c r="S651" s="497" t="s">
        <v>2788</v>
      </c>
      <c r="T651" s="1371"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71" t="s">
        <v>3031</v>
      </c>
      <c r="Q652" s="596"/>
      <c r="R652" s="497" t="s">
        <v>1589</v>
      </c>
      <c r="S652" s="497" t="s">
        <v>2886</v>
      </c>
      <c r="T652" s="1371"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3620</v>
      </c>
      <c r="P653" s="610" t="s">
        <v>702</v>
      </c>
      <c r="Q653" s="596"/>
      <c r="R653" s="497" t="s">
        <v>1590</v>
      </c>
      <c r="S653" s="497" t="s">
        <v>887</v>
      </c>
      <c r="T653" s="1371"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71"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71" t="s">
        <v>3031</v>
      </c>
      <c r="Q655" s="596"/>
      <c r="R655" s="497" t="s">
        <v>1592</v>
      </c>
      <c r="S655" s="497" t="s">
        <v>3489</v>
      </c>
      <c r="T655" s="1371"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3397</v>
      </c>
      <c r="O656" s="615" t="s">
        <v>115</v>
      </c>
      <c r="P656" s="610" t="s">
        <v>703</v>
      </c>
      <c r="Q656" s="596"/>
      <c r="R656" s="497" t="s">
        <v>1593</v>
      </c>
      <c r="S656" s="497" t="s">
        <v>196</v>
      </c>
      <c r="T656" s="1371"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71"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3398</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3539</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3351</v>
      </c>
      <c r="K663" s="614"/>
      <c r="L663" s="609"/>
      <c r="M663" s="610"/>
      <c r="N663" s="497" t="s">
        <v>1585</v>
      </c>
      <c r="O663" s="497" t="s">
        <v>887</v>
      </c>
      <c r="P663" s="1371"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3538</v>
      </c>
      <c r="K664" s="614"/>
      <c r="L664" s="609"/>
      <c r="M664" s="610"/>
      <c r="N664" s="615" t="s">
        <v>3061</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3544</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71"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3074</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3544</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71"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3489</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3549</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3551</v>
      </c>
      <c r="O681" s="615" t="s">
        <v>3542</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3548</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3550</v>
      </c>
      <c r="K683" s="614"/>
      <c r="L683" s="609"/>
      <c r="M683" s="610"/>
      <c r="N683" s="615" t="s">
        <v>3528</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3527</v>
      </c>
      <c r="K685" s="614"/>
      <c r="L685" s="609"/>
      <c r="M685" s="610"/>
      <c r="N685" s="497" t="s">
        <v>1583</v>
      </c>
      <c r="O685" s="497" t="s">
        <v>932</v>
      </c>
      <c r="P685" s="1371"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3529</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3152</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3507</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3152</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3376</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3506</v>
      </c>
      <c r="K696" s="614"/>
      <c r="L696" s="609"/>
      <c r="M696" s="610"/>
      <c r="N696" s="615" t="s">
        <v>1303</v>
      </c>
      <c r="O696" s="615" t="s">
        <v>3065</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3508</v>
      </c>
      <c r="K697" s="614"/>
      <c r="L697" s="609"/>
      <c r="M697" s="610"/>
      <c r="N697" s="497" t="s">
        <v>1588</v>
      </c>
      <c r="O697" s="497" t="s">
        <v>2788</v>
      </c>
      <c r="P697" s="1371"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3509</v>
      </c>
      <c r="K698" s="614"/>
      <c r="L698" s="609"/>
      <c r="M698" s="610"/>
      <c r="N698" s="497" t="s">
        <v>1589</v>
      </c>
      <c r="O698" s="497" t="s">
        <v>2886</v>
      </c>
      <c r="P698" s="1371"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3227</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3152</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3167</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3169</v>
      </c>
      <c r="O703" s="615" t="s">
        <v>3061</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3171</v>
      </c>
      <c r="O704" s="615" t="s">
        <v>3376</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3226</v>
      </c>
      <c r="K705" s="614"/>
      <c r="L705" s="609"/>
      <c r="M705" s="610"/>
      <c r="N705" s="615" t="s">
        <v>1629</v>
      </c>
      <c r="O705" s="615" t="s">
        <v>3072</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3168</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3170</v>
      </c>
      <c r="K709" s="614"/>
      <c r="L709" s="609"/>
      <c r="M709" s="610"/>
      <c r="N709" s="615" t="s">
        <v>2850</v>
      </c>
      <c r="O709" s="615" t="s">
        <v>392</v>
      </c>
      <c r="P709" s="610" t="s">
        <v>524</v>
      </c>
      <c r="Q709" s="1372"/>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70"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3253</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3254</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3255</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3256</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3257</v>
      </c>
      <c r="O721" s="615" t="s">
        <v>3372</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3172</v>
      </c>
      <c r="O722" s="615" t="s">
        <v>3066</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3374</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71"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3544</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3152</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71"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70"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3489</v>
      </c>
      <c r="P745" s="1371"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3376</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3372</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3626</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70"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71"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71"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3072</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3352</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3353</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3354</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3514</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2">
    <mergeCell ref="M119:P119"/>
    <mergeCell ref="M118:P118"/>
    <mergeCell ref="C117:E117"/>
    <mergeCell ref="J114:L114"/>
    <mergeCell ref="J113:L113"/>
    <mergeCell ref="C114:E114"/>
    <mergeCell ref="F114:I114"/>
    <mergeCell ref="J107:L107"/>
    <mergeCell ref="J108:L108"/>
    <mergeCell ref="C116:E116"/>
    <mergeCell ref="F116:I116"/>
    <mergeCell ref="C108:E108"/>
    <mergeCell ref="F9:H9"/>
    <mergeCell ref="J7:K7"/>
    <mergeCell ref="O7:P7"/>
    <mergeCell ref="J9:P9"/>
    <mergeCell ref="F15:H15"/>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F29:G29"/>
    <mergeCell ref="M35:N35"/>
    <mergeCell ref="K65:L65"/>
    <mergeCell ref="I48:I49"/>
    <mergeCell ref="J144:K144"/>
    <mergeCell ref="H125:I125"/>
    <mergeCell ref="I145:K145"/>
    <mergeCell ref="J116:L116"/>
    <mergeCell ref="J117:L117"/>
    <mergeCell ref="F117:I117"/>
    <mergeCell ref="J102:L102"/>
    <mergeCell ref="M143:P143"/>
    <mergeCell ref="E143:K143"/>
    <mergeCell ref="M113:P113"/>
    <mergeCell ref="M114:P114"/>
    <mergeCell ref="J105:L105"/>
    <mergeCell ref="M105:P105"/>
    <mergeCell ref="O87:P87"/>
    <mergeCell ref="J106:L106"/>
    <mergeCell ref="C115:E115"/>
    <mergeCell ref="F115:I115"/>
    <mergeCell ref="F108:I108"/>
    <mergeCell ref="E90:G90"/>
    <mergeCell ref="E89:G89"/>
    <mergeCell ref="L90:M90"/>
    <mergeCell ref="M89:P89"/>
    <mergeCell ref="O90:P90"/>
    <mergeCell ref="M86:N86"/>
    <mergeCell ref="M87:N87"/>
    <mergeCell ref="E87:L87"/>
    <mergeCell ref="F30:G30"/>
    <mergeCell ref="F35:G35"/>
    <mergeCell ref="H30:I30"/>
    <mergeCell ref="F32:K32"/>
    <mergeCell ref="F33:J33"/>
    <mergeCell ref="H75:J75"/>
    <mergeCell ref="K69:L69"/>
    <mergeCell ref="L39:O39"/>
    <mergeCell ref="K71:L71"/>
    <mergeCell ref="N13:P13"/>
    <mergeCell ref="L34:N34"/>
    <mergeCell ref="O25:P25"/>
    <mergeCell ref="L33:N33"/>
    <mergeCell ref="J26:L26"/>
    <mergeCell ref="J30:K30"/>
    <mergeCell ref="O22:P22"/>
    <mergeCell ref="O14:P14"/>
    <mergeCell ref="I35:K35"/>
    <mergeCell ref="O23:P23"/>
    <mergeCell ref="J16:K16"/>
    <mergeCell ref="J29:K29"/>
    <mergeCell ref="H29:I29"/>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F13:L13"/>
    <mergeCell ref="F14:L14"/>
    <mergeCell ref="F34:J34"/>
    <mergeCell ref="E88:G88"/>
    <mergeCell ref="H65:I65"/>
    <mergeCell ref="C153:D153"/>
    <mergeCell ref="O126:P126"/>
    <mergeCell ref="M145:O145"/>
    <mergeCell ref="C110:P111"/>
    <mergeCell ref="M108:P108"/>
    <mergeCell ref="N65:P65"/>
    <mergeCell ref="L41:P41"/>
    <mergeCell ref="M102:P102"/>
    <mergeCell ref="K67:L67"/>
    <mergeCell ref="C103:E103"/>
    <mergeCell ref="K88:L88"/>
    <mergeCell ref="O86:P86"/>
    <mergeCell ref="M104:P104"/>
    <mergeCell ref="J104:L104"/>
    <mergeCell ref="F102:I102"/>
    <mergeCell ref="M106:P106"/>
    <mergeCell ref="I90:J90"/>
    <mergeCell ref="I89:K89"/>
    <mergeCell ref="M115:P115"/>
    <mergeCell ref="E86:L86"/>
    <mergeCell ref="C119:E119"/>
    <mergeCell ref="F119:I119"/>
    <mergeCell ref="J119:L119"/>
    <mergeCell ref="J103:L103"/>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2012-028 Veranda at Groveway, Roswell, Fulton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3985</v>
      </c>
      <c r="I5" s="1341"/>
      <c r="J5" s="1341"/>
      <c r="K5" s="1341"/>
      <c r="L5" s="1341"/>
      <c r="M5" s="1341"/>
      <c r="N5" s="1342"/>
      <c r="O5" s="828" t="s">
        <v>2869</v>
      </c>
      <c r="P5" s="828"/>
      <c r="Q5" s="1292" t="s">
        <v>3986</v>
      </c>
      <c r="R5" s="1341"/>
      <c r="S5" s="1342"/>
    </row>
    <row r="6" spans="1:19" s="449" customFormat="1" ht="12.6" customHeight="1">
      <c r="D6" s="498"/>
      <c r="E6" s="455" t="s">
        <v>1527</v>
      </c>
      <c r="F6" s="463"/>
      <c r="H6" s="1292" t="s">
        <v>3980</v>
      </c>
      <c r="I6" s="1341"/>
      <c r="J6" s="1341"/>
      <c r="K6" s="1341"/>
      <c r="L6" s="1341"/>
      <c r="M6" s="1341"/>
      <c r="N6" s="1342"/>
      <c r="O6" s="828" t="s">
        <v>2601</v>
      </c>
      <c r="Q6" s="1292" t="s">
        <v>3981</v>
      </c>
      <c r="R6" s="1341"/>
      <c r="S6" s="1342"/>
    </row>
    <row r="7" spans="1:19" s="449" customFormat="1" ht="12.6" customHeight="1">
      <c r="D7" s="498"/>
      <c r="E7" s="455" t="s">
        <v>876</v>
      </c>
      <c r="H7" s="1292" t="s">
        <v>1743</v>
      </c>
      <c r="I7" s="1341"/>
      <c r="J7" s="1342"/>
      <c r="K7" s="1373" t="s">
        <v>1159</v>
      </c>
      <c r="L7" s="1292"/>
      <c r="M7" s="1341"/>
      <c r="N7" s="1342"/>
      <c r="O7" s="828" t="s">
        <v>2659</v>
      </c>
      <c r="Q7" s="1300">
        <v>4042241889</v>
      </c>
      <c r="R7" s="1305"/>
      <c r="S7" s="1301"/>
    </row>
    <row r="8" spans="1:19" s="449" customFormat="1" ht="12.6" customHeight="1">
      <c r="D8" s="498"/>
      <c r="E8" s="455" t="s">
        <v>2655</v>
      </c>
      <c r="H8" s="1306" t="s">
        <v>1337</v>
      </c>
      <c r="I8" s="839" t="s">
        <v>1843</v>
      </c>
      <c r="J8" s="1303">
        <v>303032540</v>
      </c>
      <c r="K8" s="1342"/>
      <c r="L8" s="397" t="s">
        <v>1846</v>
      </c>
      <c r="N8" s="1343">
        <v>5</v>
      </c>
      <c r="O8" s="828" t="s">
        <v>2858</v>
      </c>
      <c r="Q8" s="1300">
        <v>4044490062</v>
      </c>
      <c r="R8" s="1305"/>
      <c r="S8" s="1301"/>
    </row>
    <row r="9" spans="1:19" s="449" customFormat="1" ht="12.6" customHeight="1">
      <c r="D9" s="498"/>
      <c r="E9" s="455" t="s">
        <v>2864</v>
      </c>
      <c r="H9" s="1300">
        <v>4042241860</v>
      </c>
      <c r="I9" s="1301"/>
      <c r="J9" s="1374"/>
      <c r="K9" s="839" t="s">
        <v>2658</v>
      </c>
      <c r="L9" s="1329">
        <v>4042241899</v>
      </c>
      <c r="M9" s="1342"/>
      <c r="N9" s="457" t="s">
        <v>2863</v>
      </c>
      <c r="O9" s="1307" t="s">
        <v>3982</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5" t="s">
        <v>1842</v>
      </c>
      <c r="P12" s="1375"/>
      <c r="Q12" s="1375"/>
      <c r="R12" s="1375"/>
      <c r="S12" s="1375"/>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6" t="s">
        <v>1840</v>
      </c>
      <c r="P14" s="1376"/>
      <c r="Q14" s="1376"/>
      <c r="R14" s="1376"/>
      <c r="S14" s="1376"/>
    </row>
    <row r="15" spans="1:19" s="449" customFormat="1" ht="4.1500000000000004" customHeight="1">
      <c r="D15" s="500"/>
      <c r="E15" s="501"/>
      <c r="H15" s="1377"/>
      <c r="I15" s="1377"/>
      <c r="J15" s="1377"/>
      <c r="K15" s="827"/>
      <c r="L15" s="1377"/>
      <c r="M15" s="1377"/>
      <c r="N15" s="827"/>
      <c r="O15" s="863"/>
      <c r="P15" s="863"/>
      <c r="Q15" s="839"/>
      <c r="R15" s="863"/>
      <c r="S15" s="863"/>
    </row>
    <row r="16" spans="1:19" s="449" customFormat="1" ht="12.6" customHeight="1">
      <c r="D16" s="452" t="s">
        <v>3005</v>
      </c>
      <c r="E16" s="449" t="s">
        <v>2727</v>
      </c>
      <c r="H16" s="1292" t="s">
        <v>3987</v>
      </c>
      <c r="I16" s="1341"/>
      <c r="J16" s="1341"/>
      <c r="K16" s="1341"/>
      <c r="L16" s="1341"/>
      <c r="M16" s="1341"/>
      <c r="N16" s="1342"/>
      <c r="O16" s="828" t="s">
        <v>2869</v>
      </c>
      <c r="P16" s="828"/>
      <c r="Q16" s="1292" t="s">
        <v>3986</v>
      </c>
      <c r="R16" s="1341"/>
      <c r="S16" s="1342"/>
    </row>
    <row r="17" spans="4:19" s="449" customFormat="1" ht="12.6" customHeight="1">
      <c r="D17" s="498"/>
      <c r="E17" s="455" t="s">
        <v>1527</v>
      </c>
      <c r="F17" s="463"/>
      <c r="H17" s="1292" t="s">
        <v>3980</v>
      </c>
      <c r="I17" s="1341"/>
      <c r="J17" s="1341"/>
      <c r="K17" s="1341"/>
      <c r="L17" s="1341"/>
      <c r="M17" s="1341"/>
      <c r="N17" s="1342"/>
      <c r="O17" s="828" t="s">
        <v>2601</v>
      </c>
      <c r="Q17" s="1292" t="s">
        <v>3981</v>
      </c>
      <c r="R17" s="1341"/>
      <c r="S17" s="1342"/>
    </row>
    <row r="18" spans="4:19" s="449" customFormat="1" ht="12.6" customHeight="1">
      <c r="D18" s="498"/>
      <c r="E18" s="455" t="s">
        <v>876</v>
      </c>
      <c r="H18" s="1292" t="s">
        <v>3988</v>
      </c>
      <c r="I18" s="1341"/>
      <c r="J18" s="1342"/>
      <c r="O18" s="828" t="s">
        <v>2659</v>
      </c>
      <c r="Q18" s="1300">
        <v>4042241889</v>
      </c>
      <c r="R18" s="1305"/>
      <c r="S18" s="1301"/>
    </row>
    <row r="19" spans="4:19" s="449" customFormat="1" ht="12.6" customHeight="1">
      <c r="D19" s="452"/>
      <c r="E19" s="455" t="s">
        <v>2655</v>
      </c>
      <c r="H19" s="1306" t="s">
        <v>1337</v>
      </c>
      <c r="I19" s="839" t="s">
        <v>1843</v>
      </c>
      <c r="J19" s="1303">
        <v>303032540</v>
      </c>
      <c r="K19" s="1342"/>
      <c r="L19" s="397" t="s">
        <v>1846</v>
      </c>
      <c r="N19" s="1343">
        <v>5</v>
      </c>
      <c r="O19" s="828" t="s">
        <v>2858</v>
      </c>
      <c r="Q19" s="1300">
        <v>4044490062</v>
      </c>
      <c r="R19" s="1305"/>
      <c r="S19" s="1301"/>
    </row>
    <row r="20" spans="4:19" s="449" customFormat="1" ht="12.6" customHeight="1">
      <c r="D20" s="498"/>
      <c r="E20" s="455" t="s">
        <v>2864</v>
      </c>
      <c r="H20" s="1300">
        <v>4042241860</v>
      </c>
      <c r="I20" s="1301"/>
      <c r="J20" s="1374"/>
      <c r="K20" s="839" t="s">
        <v>2658</v>
      </c>
      <c r="L20" s="1329">
        <v>4042241899</v>
      </c>
      <c r="M20" s="1342"/>
      <c r="N20" s="457" t="s">
        <v>2863</v>
      </c>
      <c r="O20" s="1307" t="s">
        <v>3982</v>
      </c>
      <c r="P20" s="1308"/>
      <c r="Q20" s="1308"/>
      <c r="R20" s="1308"/>
      <c r="S20" s="1309"/>
    </row>
    <row r="21" spans="4:19" ht="4.1500000000000004" customHeight="1">
      <c r="D21" s="481"/>
      <c r="H21" s="1378"/>
      <c r="I21" s="1378"/>
      <c r="J21" s="1378"/>
      <c r="K21" s="839"/>
      <c r="L21" s="1378"/>
      <c r="M21" s="1378"/>
      <c r="N21" s="827"/>
      <c r="O21" s="863"/>
      <c r="P21" s="863"/>
      <c r="Q21" s="839"/>
      <c r="R21" s="863"/>
      <c r="S21" s="863"/>
    </row>
    <row r="22" spans="4:19" s="449" customFormat="1" ht="12.6" customHeight="1">
      <c r="D22" s="452" t="s">
        <v>3006</v>
      </c>
      <c r="E22" s="449" t="s">
        <v>2728</v>
      </c>
      <c r="F22" s="833"/>
      <c r="H22" s="1292"/>
      <c r="I22" s="1341"/>
      <c r="J22" s="1341"/>
      <c r="K22" s="1341"/>
      <c r="L22" s="1341"/>
      <c r="M22" s="1341"/>
      <c r="N22" s="1342"/>
      <c r="O22" s="828"/>
      <c r="P22" s="828"/>
      <c r="Q22" s="1292"/>
      <c r="R22" s="1341"/>
      <c r="S22" s="1342"/>
    </row>
    <row r="23" spans="4:19" s="449" customFormat="1" ht="12.6" customHeight="1">
      <c r="D23" s="498"/>
      <c r="E23" s="455" t="s">
        <v>1527</v>
      </c>
      <c r="F23" s="463"/>
      <c r="H23" s="1292"/>
      <c r="I23" s="1341"/>
      <c r="J23" s="1341"/>
      <c r="K23" s="1341"/>
      <c r="L23" s="1341"/>
      <c r="M23" s="1341"/>
      <c r="N23" s="1342"/>
      <c r="O23" s="828"/>
      <c r="Q23" s="1292"/>
      <c r="R23" s="1341"/>
      <c r="S23" s="1342"/>
    </row>
    <row r="24" spans="4:19" s="449" customFormat="1" ht="12.6" customHeight="1">
      <c r="D24" s="498"/>
      <c r="E24" s="455" t="s">
        <v>876</v>
      </c>
      <c r="H24" s="1292"/>
      <c r="I24" s="1341"/>
      <c r="J24" s="1342"/>
      <c r="O24" s="828"/>
      <c r="Q24" s="1300"/>
      <c r="R24" s="1305"/>
      <c r="S24" s="1301"/>
    </row>
    <row r="25" spans="4:19" s="449" customFormat="1" ht="12.6" customHeight="1">
      <c r="E25" s="455" t="s">
        <v>2655</v>
      </c>
      <c r="H25" s="1306"/>
      <c r="I25" s="483"/>
      <c r="J25" s="1303"/>
      <c r="K25" s="1342"/>
      <c r="O25" s="828"/>
      <c r="Q25" s="1300"/>
      <c r="R25" s="1305"/>
      <c r="S25" s="1301"/>
    </row>
    <row r="26" spans="4:19" s="449" customFormat="1" ht="12.6" customHeight="1">
      <c r="D26" s="498"/>
      <c r="E26" s="455" t="s">
        <v>2864</v>
      </c>
      <c r="H26" s="1300"/>
      <c r="I26" s="1301"/>
      <c r="J26" s="1374"/>
      <c r="K26" s="839"/>
      <c r="L26" s="1329"/>
      <c r="M26" s="1342"/>
      <c r="N26" s="457"/>
      <c r="O26" s="1307"/>
      <c r="P26" s="1308"/>
      <c r="Q26" s="1308"/>
      <c r="R26" s="1308"/>
      <c r="S26" s="1309"/>
    </row>
    <row r="27" spans="4:19" s="449" customFormat="1" ht="4.1500000000000004" customHeight="1">
      <c r="D27" s="498"/>
      <c r="E27" s="833"/>
      <c r="F27" s="833"/>
      <c r="G27" s="828"/>
      <c r="H27" s="1378"/>
      <c r="I27" s="1378"/>
      <c r="J27" s="1378"/>
      <c r="K27" s="839"/>
      <c r="L27" s="1378"/>
      <c r="M27" s="1378"/>
      <c r="N27" s="827"/>
      <c r="O27" s="863"/>
      <c r="P27" s="863"/>
      <c r="Q27" s="839"/>
      <c r="R27" s="863"/>
      <c r="S27" s="863"/>
    </row>
    <row r="28" spans="4:19" s="449" customFormat="1" ht="12.6" customHeight="1">
      <c r="D28" s="452" t="s">
        <v>2587</v>
      </c>
      <c r="E28" s="449" t="s">
        <v>2728</v>
      </c>
      <c r="F28" s="833"/>
      <c r="H28" s="1292"/>
      <c r="I28" s="1341"/>
      <c r="J28" s="1341"/>
      <c r="K28" s="1341"/>
      <c r="L28" s="1341"/>
      <c r="M28" s="1341"/>
      <c r="N28" s="1342"/>
      <c r="O28" s="828" t="s">
        <v>2869</v>
      </c>
      <c r="P28" s="828"/>
      <c r="Q28" s="1292"/>
      <c r="R28" s="1341"/>
      <c r="S28" s="1342"/>
    </row>
    <row r="29" spans="4:19" s="449" customFormat="1" ht="12.6" customHeight="1">
      <c r="D29" s="498"/>
      <c r="E29" s="455" t="s">
        <v>1527</v>
      </c>
      <c r="F29" s="463"/>
      <c r="H29" s="1292"/>
      <c r="I29" s="1341"/>
      <c r="J29" s="1341"/>
      <c r="K29" s="1341"/>
      <c r="L29" s="1341"/>
      <c r="M29" s="1341"/>
      <c r="N29" s="1342"/>
      <c r="O29" s="828" t="s">
        <v>2601</v>
      </c>
      <c r="Q29" s="1292"/>
      <c r="R29" s="1341"/>
      <c r="S29" s="1342"/>
    </row>
    <row r="30" spans="4:19" s="449" customFormat="1" ht="12.6" customHeight="1">
      <c r="D30" s="498"/>
      <c r="E30" s="455" t="s">
        <v>876</v>
      </c>
      <c r="H30" s="1292"/>
      <c r="I30" s="1341"/>
      <c r="J30" s="1342"/>
      <c r="O30" s="828" t="s">
        <v>2659</v>
      </c>
      <c r="Q30" s="1300"/>
      <c r="R30" s="1305"/>
      <c r="S30" s="1301"/>
    </row>
    <row r="31" spans="4:19" s="449" customFormat="1" ht="12.6" customHeight="1">
      <c r="E31" s="455" t="s">
        <v>2655</v>
      </c>
      <c r="H31" s="1306"/>
      <c r="I31" s="483" t="s">
        <v>3136</v>
      </c>
      <c r="J31" s="1303"/>
      <c r="K31" s="1342"/>
      <c r="O31" s="828" t="s">
        <v>2858</v>
      </c>
      <c r="Q31" s="1300"/>
      <c r="R31" s="1305"/>
      <c r="S31" s="1301"/>
    </row>
    <row r="32" spans="4:19" s="449" customFormat="1" ht="12.6" customHeight="1">
      <c r="D32" s="498"/>
      <c r="E32" s="455" t="s">
        <v>2864</v>
      </c>
      <c r="H32" s="1300"/>
      <c r="I32" s="1301"/>
      <c r="J32" s="1374"/>
      <c r="K32" s="839" t="s">
        <v>2658</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7"/>
      <c r="I35" s="1377"/>
      <c r="J35" s="1377"/>
      <c r="K35" s="827"/>
      <c r="L35" s="1377"/>
      <c r="M35" s="1377"/>
      <c r="N35" s="827"/>
      <c r="O35" s="863"/>
      <c r="P35" s="863"/>
      <c r="Q35" s="839"/>
      <c r="R35" s="863"/>
      <c r="S35" s="863"/>
    </row>
    <row r="36" spans="3:19" s="449" customFormat="1" ht="12.6" customHeight="1">
      <c r="D36" s="452" t="s">
        <v>3005</v>
      </c>
      <c r="E36" s="449" t="s">
        <v>1146</v>
      </c>
      <c r="H36" s="1292" t="s">
        <v>4071</v>
      </c>
      <c r="I36" s="1341"/>
      <c r="J36" s="1341"/>
      <c r="K36" s="1341"/>
      <c r="L36" s="1341"/>
      <c r="M36" s="1341"/>
      <c r="N36" s="1342"/>
      <c r="O36" s="828" t="s">
        <v>2869</v>
      </c>
      <c r="P36" s="828"/>
      <c r="Q36" s="1292" t="s">
        <v>4068</v>
      </c>
      <c r="R36" s="1341"/>
      <c r="S36" s="1342"/>
    </row>
    <row r="37" spans="3:19" s="449" customFormat="1" ht="12.6" customHeight="1">
      <c r="D37" s="498"/>
      <c r="E37" s="455" t="s">
        <v>1527</v>
      </c>
      <c r="F37" s="463"/>
      <c r="H37" s="1292" t="s">
        <v>4066</v>
      </c>
      <c r="I37" s="1341"/>
      <c r="J37" s="1341"/>
      <c r="K37" s="1341"/>
      <c r="L37" s="1341"/>
      <c r="M37" s="1341"/>
      <c r="N37" s="1342"/>
      <c r="O37" s="828" t="s">
        <v>2601</v>
      </c>
      <c r="Q37" s="1292" t="s">
        <v>4069</v>
      </c>
      <c r="R37" s="1341"/>
      <c r="S37" s="1342"/>
    </row>
    <row r="38" spans="3:19" s="449" customFormat="1" ht="12.6" customHeight="1">
      <c r="D38" s="498"/>
      <c r="E38" s="455" t="s">
        <v>876</v>
      </c>
      <c r="H38" s="1292" t="s">
        <v>4067</v>
      </c>
      <c r="I38" s="1341"/>
      <c r="J38" s="1342"/>
      <c r="O38" s="828" t="s">
        <v>2659</v>
      </c>
      <c r="Q38" s="1300">
        <v>4048477796</v>
      </c>
      <c r="R38" s="1305"/>
      <c r="S38" s="1301"/>
    </row>
    <row r="39" spans="3:19" s="449" customFormat="1" ht="12.6" customHeight="1">
      <c r="E39" s="455" t="s">
        <v>2655</v>
      </c>
      <c r="H39" s="1306" t="s">
        <v>1336</v>
      </c>
      <c r="I39" s="483" t="s">
        <v>3136</v>
      </c>
      <c r="J39" s="1303">
        <v>337550000</v>
      </c>
      <c r="K39" s="1342"/>
      <c r="O39" s="828" t="s">
        <v>2858</v>
      </c>
      <c r="Q39" s="1300">
        <v>4043072868</v>
      </c>
      <c r="R39" s="1305"/>
      <c r="S39" s="1301"/>
    </row>
    <row r="40" spans="3:19" s="449" customFormat="1" ht="12.6" customHeight="1">
      <c r="D40" s="498"/>
      <c r="E40" s="455" t="s">
        <v>2864</v>
      </c>
      <c r="H40" s="1300">
        <v>7274612200</v>
      </c>
      <c r="I40" s="1301"/>
      <c r="J40" s="1374"/>
      <c r="K40" s="839" t="s">
        <v>2658</v>
      </c>
      <c r="L40" s="1329">
        <v>7274616047</v>
      </c>
      <c r="M40" s="1342"/>
      <c r="N40" s="457" t="s">
        <v>2863</v>
      </c>
      <c r="O40" s="1307" t="s">
        <v>4070</v>
      </c>
      <c r="P40" s="1308"/>
      <c r="Q40" s="1308"/>
      <c r="R40" s="1308"/>
      <c r="S40" s="1309"/>
    </row>
    <row r="41" spans="3:19" ht="4.1500000000000004" customHeight="1">
      <c r="H41" s="1378"/>
      <c r="I41" s="1378"/>
      <c r="J41" s="1378"/>
      <c r="K41" s="839"/>
      <c r="L41" s="1378"/>
      <c r="M41" s="1378"/>
      <c r="N41" s="827"/>
      <c r="O41" s="863"/>
      <c r="P41" s="863"/>
      <c r="Q41" s="839"/>
      <c r="R41" s="863"/>
      <c r="S41" s="863"/>
    </row>
    <row r="42" spans="3:19" s="449" customFormat="1" ht="12.6" customHeight="1">
      <c r="D42" s="452" t="s">
        <v>3006</v>
      </c>
      <c r="E42" s="449" t="s">
        <v>1147</v>
      </c>
      <c r="F42" s="452"/>
      <c r="H42" s="1292" t="s">
        <v>4071</v>
      </c>
      <c r="I42" s="1341"/>
      <c r="J42" s="1341"/>
      <c r="K42" s="1341"/>
      <c r="L42" s="1341"/>
      <c r="M42" s="1341"/>
      <c r="N42" s="1342"/>
      <c r="O42" s="828" t="s">
        <v>2869</v>
      </c>
      <c r="P42" s="828"/>
      <c r="Q42" s="1292" t="s">
        <v>4068</v>
      </c>
      <c r="R42" s="1341"/>
      <c r="S42" s="1342"/>
    </row>
    <row r="43" spans="3:19" s="449" customFormat="1" ht="12.6" customHeight="1">
      <c r="D43" s="498"/>
      <c r="E43" s="455" t="s">
        <v>1527</v>
      </c>
      <c r="F43" s="463"/>
      <c r="H43" s="1292" t="s">
        <v>4066</v>
      </c>
      <c r="I43" s="1341"/>
      <c r="J43" s="1341"/>
      <c r="K43" s="1341"/>
      <c r="L43" s="1341"/>
      <c r="M43" s="1341"/>
      <c r="N43" s="1342"/>
      <c r="O43" s="828" t="s">
        <v>2601</v>
      </c>
      <c r="Q43" s="1292" t="s">
        <v>4069</v>
      </c>
      <c r="R43" s="1341"/>
      <c r="S43" s="1342"/>
    </row>
    <row r="44" spans="3:19" s="449" customFormat="1" ht="12.6" customHeight="1">
      <c r="D44" s="498"/>
      <c r="E44" s="455" t="s">
        <v>876</v>
      </c>
      <c r="H44" s="1292" t="s">
        <v>4067</v>
      </c>
      <c r="I44" s="1341"/>
      <c r="J44" s="1342"/>
      <c r="O44" s="828" t="s">
        <v>2659</v>
      </c>
      <c r="Q44" s="1300">
        <v>4048477796</v>
      </c>
      <c r="R44" s="1305"/>
      <c r="S44" s="1301"/>
    </row>
    <row r="45" spans="3:19" s="449" customFormat="1" ht="12.6" customHeight="1">
      <c r="D45" s="452"/>
      <c r="E45" s="455" t="s">
        <v>2655</v>
      </c>
      <c r="H45" s="1306" t="s">
        <v>1336</v>
      </c>
      <c r="I45" s="483" t="s">
        <v>3136</v>
      </c>
      <c r="J45" s="1303">
        <v>337550000</v>
      </c>
      <c r="K45" s="1342"/>
      <c r="O45" s="828" t="s">
        <v>2858</v>
      </c>
      <c r="Q45" s="1300">
        <v>4043072868</v>
      </c>
      <c r="R45" s="1305"/>
      <c r="S45" s="1301"/>
    </row>
    <row r="46" spans="3:19" s="449" customFormat="1" ht="12.6" customHeight="1">
      <c r="D46" s="498"/>
      <c r="E46" s="455" t="s">
        <v>2864</v>
      </c>
      <c r="H46" s="1300">
        <v>7274612200</v>
      </c>
      <c r="I46" s="1301"/>
      <c r="J46" s="1374"/>
      <c r="K46" s="839" t="s">
        <v>2658</v>
      </c>
      <c r="L46" s="1329">
        <v>7274616047</v>
      </c>
      <c r="M46" s="1342"/>
      <c r="N46" s="457" t="s">
        <v>2863</v>
      </c>
      <c r="O46" s="1307" t="s">
        <v>4070</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3547</v>
      </c>
      <c r="D48" s="496" t="s">
        <v>916</v>
      </c>
      <c r="H48" s="833"/>
      <c r="I48" s="833"/>
      <c r="J48" s="833"/>
      <c r="K48" s="833"/>
      <c r="L48" s="833"/>
      <c r="M48" s="833"/>
    </row>
    <row r="49" spans="1:19" s="449" customFormat="1" ht="4.1500000000000004" customHeight="1">
      <c r="D49" s="502"/>
      <c r="E49" s="501"/>
      <c r="H49" s="1377"/>
      <c r="I49" s="1377"/>
      <c r="J49" s="1377"/>
      <c r="K49" s="827"/>
      <c r="L49" s="1377"/>
      <c r="M49" s="1377"/>
      <c r="N49" s="827"/>
      <c r="O49" s="863"/>
      <c r="P49" s="863"/>
      <c r="Q49" s="839"/>
      <c r="R49" s="863"/>
      <c r="S49" s="863"/>
    </row>
    <row r="50" spans="1:19" s="449" customFormat="1" ht="12.6" customHeight="1">
      <c r="E50" s="449" t="s">
        <v>98</v>
      </c>
      <c r="H50" s="1292"/>
      <c r="I50" s="1341"/>
      <c r="J50" s="1341"/>
      <c r="K50" s="1341"/>
      <c r="L50" s="1341"/>
      <c r="M50" s="1341"/>
      <c r="N50" s="1342"/>
      <c r="O50" s="828" t="s">
        <v>2869</v>
      </c>
      <c r="P50" s="828"/>
      <c r="Q50" s="1292"/>
      <c r="R50" s="1341"/>
      <c r="S50" s="1342"/>
    </row>
    <row r="51" spans="1:19" s="449" customFormat="1" ht="12.6" customHeight="1">
      <c r="D51" s="498"/>
      <c r="E51" s="455" t="s">
        <v>1527</v>
      </c>
      <c r="F51" s="463"/>
      <c r="H51" s="1292"/>
      <c r="I51" s="1341"/>
      <c r="J51" s="1341"/>
      <c r="K51" s="1341"/>
      <c r="L51" s="1341"/>
      <c r="M51" s="1341"/>
      <c r="N51" s="1342"/>
      <c r="O51" s="828" t="s">
        <v>2601</v>
      </c>
      <c r="Q51" s="1292"/>
      <c r="R51" s="1341"/>
      <c r="S51" s="1342"/>
    </row>
    <row r="52" spans="1:19" s="449" customFormat="1" ht="12.6" customHeight="1">
      <c r="D52" s="498"/>
      <c r="E52" s="455" t="s">
        <v>876</v>
      </c>
      <c r="H52" s="1292"/>
      <c r="I52" s="1341"/>
      <c r="J52" s="1342"/>
      <c r="O52" s="828" t="s">
        <v>2659</v>
      </c>
      <c r="Q52" s="1300"/>
      <c r="R52" s="1305"/>
      <c r="S52" s="1301"/>
    </row>
    <row r="53" spans="1:19" s="449" customFormat="1" ht="12.6" customHeight="1">
      <c r="E53" s="455" t="s">
        <v>2655</v>
      </c>
      <c r="H53" s="1306"/>
      <c r="I53" s="483" t="s">
        <v>3136</v>
      </c>
      <c r="J53" s="1303"/>
      <c r="K53" s="1342"/>
      <c r="O53" s="828" t="s">
        <v>2858</v>
      </c>
      <c r="Q53" s="1300"/>
      <c r="R53" s="1305"/>
      <c r="S53" s="1301"/>
    </row>
    <row r="54" spans="1:19" s="449" customFormat="1" ht="12.6" customHeight="1">
      <c r="D54" s="498"/>
      <c r="E54" s="455" t="s">
        <v>2864</v>
      </c>
      <c r="H54" s="1300"/>
      <c r="I54" s="1301"/>
      <c r="J54" s="1374"/>
      <c r="K54" s="839" t="s">
        <v>2658</v>
      </c>
      <c r="L54" s="1329"/>
      <c r="M54" s="1342"/>
      <c r="N54" s="457" t="s">
        <v>2863</v>
      </c>
      <c r="O54" s="1307"/>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7"/>
      <c r="I57" s="1377"/>
      <c r="J57" s="1377"/>
      <c r="K57" s="827"/>
      <c r="L57" s="1377"/>
      <c r="M57" s="1377"/>
      <c r="N57" s="827"/>
      <c r="O57" s="863"/>
      <c r="P57" s="863"/>
      <c r="Q57" s="839"/>
      <c r="R57" s="863"/>
      <c r="S57" s="863"/>
    </row>
    <row r="58" spans="1:19" s="449" customFormat="1" ht="13.15" customHeight="1">
      <c r="B58" s="452" t="s">
        <v>2862</v>
      </c>
      <c r="C58" s="452" t="s">
        <v>349</v>
      </c>
      <c r="H58" s="1292" t="s">
        <v>4032</v>
      </c>
      <c r="I58" s="1341"/>
      <c r="J58" s="1341"/>
      <c r="K58" s="1341"/>
      <c r="L58" s="1341"/>
      <c r="M58" s="1341"/>
      <c r="N58" s="1342"/>
      <c r="O58" s="828" t="s">
        <v>2869</v>
      </c>
      <c r="P58" s="828"/>
      <c r="Q58" s="1292" t="s">
        <v>3986</v>
      </c>
      <c r="R58" s="1341"/>
      <c r="S58" s="1342"/>
    </row>
    <row r="59" spans="1:19" s="449" customFormat="1" ht="13.15" customHeight="1">
      <c r="D59" s="498"/>
      <c r="E59" s="455" t="s">
        <v>1527</v>
      </c>
      <c r="F59" s="463"/>
      <c r="H59" s="1292" t="s">
        <v>3980</v>
      </c>
      <c r="I59" s="1341"/>
      <c r="J59" s="1341"/>
      <c r="K59" s="1341"/>
      <c r="L59" s="1341"/>
      <c r="M59" s="1341"/>
      <c r="N59" s="1342"/>
      <c r="O59" s="828" t="s">
        <v>2601</v>
      </c>
      <c r="Q59" s="1292" t="s">
        <v>3981</v>
      </c>
      <c r="R59" s="1341"/>
      <c r="S59" s="1342"/>
    </row>
    <row r="60" spans="1:19" s="449" customFormat="1" ht="13.15" customHeight="1">
      <c r="D60" s="498"/>
      <c r="E60" s="455" t="s">
        <v>876</v>
      </c>
      <c r="H60" s="1292" t="s">
        <v>1743</v>
      </c>
      <c r="I60" s="1341"/>
      <c r="J60" s="1342"/>
      <c r="O60" s="828" t="s">
        <v>2659</v>
      </c>
      <c r="Q60" s="1300">
        <v>4042241889</v>
      </c>
      <c r="R60" s="1305"/>
      <c r="S60" s="1301"/>
    </row>
    <row r="61" spans="1:19" s="449" customFormat="1" ht="13.15" customHeight="1">
      <c r="E61" s="455" t="s">
        <v>2655</v>
      </c>
      <c r="H61" s="1306" t="s">
        <v>1337</v>
      </c>
      <c r="I61" s="483" t="s">
        <v>3136</v>
      </c>
      <c r="J61" s="1303">
        <v>303032540</v>
      </c>
      <c r="K61" s="1342"/>
      <c r="O61" s="828" t="s">
        <v>2858</v>
      </c>
      <c r="Q61" s="1300">
        <v>4044490062</v>
      </c>
      <c r="R61" s="1305"/>
      <c r="S61" s="1301"/>
    </row>
    <row r="62" spans="1:19" s="449" customFormat="1" ht="13.15" customHeight="1">
      <c r="D62" s="498"/>
      <c r="E62" s="455" t="s">
        <v>2864</v>
      </c>
      <c r="H62" s="1300">
        <v>4042241860</v>
      </c>
      <c r="I62" s="1301"/>
      <c r="J62" s="1374"/>
      <c r="K62" s="839" t="s">
        <v>2658</v>
      </c>
      <c r="L62" s="1329">
        <v>4042241899</v>
      </c>
      <c r="M62" s="1342"/>
      <c r="N62" s="457" t="s">
        <v>2863</v>
      </c>
      <c r="O62" s="1307" t="s">
        <v>3982</v>
      </c>
      <c r="P62" s="1308"/>
      <c r="Q62" s="1308"/>
      <c r="R62" s="1308"/>
      <c r="S62" s="1309"/>
    </row>
    <row r="63" spans="1:19" s="449" customFormat="1" ht="6.6" customHeight="1">
      <c r="D63" s="498"/>
      <c r="E63" s="833"/>
      <c r="F63" s="833"/>
      <c r="G63" s="828"/>
      <c r="H63" s="1378"/>
      <c r="I63" s="1378"/>
      <c r="J63" s="1378"/>
      <c r="K63" s="839"/>
      <c r="L63" s="1378"/>
      <c r="M63" s="1378"/>
      <c r="N63" s="827"/>
      <c r="O63" s="863"/>
      <c r="P63" s="863"/>
      <c r="Q63" s="839"/>
      <c r="R63" s="863"/>
      <c r="S63" s="863"/>
    </row>
    <row r="64" spans="1:19" s="449" customFormat="1" ht="13.15" customHeight="1">
      <c r="B64" s="452" t="s">
        <v>2865</v>
      </c>
      <c r="C64" s="452" t="s">
        <v>350</v>
      </c>
      <c r="H64" s="1292" t="s">
        <v>4046</v>
      </c>
      <c r="I64" s="1341"/>
      <c r="J64" s="1341"/>
      <c r="K64" s="1341"/>
      <c r="L64" s="1341"/>
      <c r="M64" s="1341"/>
      <c r="N64" s="1342"/>
      <c r="O64" s="828" t="s">
        <v>2869</v>
      </c>
      <c r="P64" s="828"/>
      <c r="Q64" s="1292" t="s">
        <v>4035</v>
      </c>
      <c r="R64" s="1341"/>
      <c r="S64" s="1342"/>
    </row>
    <row r="65" spans="2:19" s="449" customFormat="1" ht="13.15" customHeight="1">
      <c r="D65" s="498"/>
      <c r="E65" s="455" t="s">
        <v>1527</v>
      </c>
      <c r="F65" s="463"/>
      <c r="H65" s="1379" t="s">
        <v>4047</v>
      </c>
      <c r="I65" s="1341"/>
      <c r="J65" s="1341"/>
      <c r="K65" s="1341"/>
      <c r="L65" s="1341"/>
      <c r="M65" s="1341"/>
      <c r="N65" s="1342"/>
      <c r="O65" s="828" t="s">
        <v>2601</v>
      </c>
      <c r="Q65" s="1292" t="s">
        <v>3477</v>
      </c>
      <c r="R65" s="1341"/>
      <c r="S65" s="1342"/>
    </row>
    <row r="66" spans="2:19" s="449" customFormat="1" ht="13.15" customHeight="1">
      <c r="D66" s="498"/>
      <c r="E66" s="455" t="s">
        <v>876</v>
      </c>
      <c r="H66" s="1292" t="s">
        <v>3055</v>
      </c>
      <c r="I66" s="1341"/>
      <c r="J66" s="1342"/>
      <c r="O66" s="828" t="s">
        <v>2659</v>
      </c>
      <c r="Q66" s="1300"/>
      <c r="R66" s="1305"/>
      <c r="S66" s="1301"/>
    </row>
    <row r="67" spans="2:19" s="449" customFormat="1" ht="13.15" customHeight="1">
      <c r="E67" s="455" t="s">
        <v>2655</v>
      </c>
      <c r="H67" s="1306" t="s">
        <v>1337</v>
      </c>
      <c r="I67" s="483" t="s">
        <v>3136</v>
      </c>
      <c r="J67" s="1303">
        <v>300770000</v>
      </c>
      <c r="K67" s="1342"/>
      <c r="O67" s="828" t="s">
        <v>2858</v>
      </c>
      <c r="Q67" s="1300">
        <v>6783004877</v>
      </c>
      <c r="R67" s="1305"/>
      <c r="S67" s="1301"/>
    </row>
    <row r="68" spans="2:19" s="449" customFormat="1" ht="13.15" customHeight="1">
      <c r="D68" s="498"/>
      <c r="E68" s="455" t="s">
        <v>2864</v>
      </c>
      <c r="H68" s="1300">
        <v>6783004877</v>
      </c>
      <c r="I68" s="1301"/>
      <c r="J68" s="1374"/>
      <c r="K68" s="839" t="s">
        <v>2658</v>
      </c>
      <c r="L68" s="1329"/>
      <c r="M68" s="1342"/>
      <c r="N68" s="457" t="s">
        <v>2863</v>
      </c>
      <c r="O68" s="1307" t="s">
        <v>4036</v>
      </c>
      <c r="P68" s="1308"/>
      <c r="Q68" s="1308"/>
      <c r="R68" s="1308"/>
      <c r="S68" s="1309"/>
    </row>
    <row r="69" spans="2:19" s="449" customFormat="1" ht="6.6" customHeight="1">
      <c r="D69" s="498"/>
      <c r="E69" s="833"/>
      <c r="F69" s="833"/>
      <c r="G69" s="828"/>
      <c r="H69" s="1378"/>
      <c r="I69" s="1378"/>
      <c r="J69" s="1378"/>
      <c r="K69" s="839"/>
      <c r="L69" s="1378"/>
      <c r="M69" s="1378"/>
      <c r="N69" s="827"/>
      <c r="O69" s="863"/>
      <c r="P69" s="863"/>
      <c r="Q69" s="839"/>
      <c r="R69" s="863"/>
      <c r="S69" s="863"/>
    </row>
    <row r="70" spans="2:19" s="449" customFormat="1" ht="13.15" customHeight="1">
      <c r="B70" s="452" t="s">
        <v>1145</v>
      </c>
      <c r="C70" s="452" t="s">
        <v>2129</v>
      </c>
      <c r="H70" s="1292" t="s">
        <v>4028</v>
      </c>
      <c r="I70" s="1341"/>
      <c r="J70" s="1341"/>
      <c r="K70" s="1341"/>
      <c r="L70" s="1341"/>
      <c r="M70" s="1341"/>
      <c r="N70" s="1342"/>
      <c r="O70" s="828" t="s">
        <v>2869</v>
      </c>
      <c r="P70" s="828"/>
      <c r="Q70" s="1292" t="s">
        <v>4030</v>
      </c>
      <c r="R70" s="1341"/>
      <c r="S70" s="1342"/>
    </row>
    <row r="71" spans="2:19" s="449" customFormat="1" ht="13.15" customHeight="1">
      <c r="D71" s="498"/>
      <c r="E71" s="455" t="s">
        <v>1527</v>
      </c>
      <c r="F71" s="463"/>
      <c r="H71" s="1292" t="s">
        <v>4033</v>
      </c>
      <c r="I71" s="1341"/>
      <c r="J71" s="1341"/>
      <c r="K71" s="1341"/>
      <c r="L71" s="1341"/>
      <c r="M71" s="1341"/>
      <c r="N71" s="1342"/>
      <c r="O71" s="828" t="s">
        <v>2601</v>
      </c>
      <c r="Q71" s="1292" t="s">
        <v>4034</v>
      </c>
      <c r="R71" s="1341"/>
      <c r="S71" s="1342"/>
    </row>
    <row r="72" spans="2:19" s="449" customFormat="1" ht="13.15" customHeight="1">
      <c r="D72" s="498"/>
      <c r="E72" s="455" t="s">
        <v>876</v>
      </c>
      <c r="H72" s="1292" t="s">
        <v>3055</v>
      </c>
      <c r="I72" s="1341"/>
      <c r="J72" s="1342"/>
      <c r="O72" s="828" t="s">
        <v>2659</v>
      </c>
      <c r="Q72" s="1300">
        <v>7709936226</v>
      </c>
      <c r="R72" s="1305"/>
      <c r="S72" s="1301"/>
    </row>
    <row r="73" spans="2:19" s="449" customFormat="1" ht="13.15" customHeight="1">
      <c r="E73" s="455" t="s">
        <v>2655</v>
      </c>
      <c r="H73" s="1306" t="s">
        <v>1337</v>
      </c>
      <c r="I73" s="483" t="s">
        <v>3136</v>
      </c>
      <c r="J73" s="1303">
        <v>300756500</v>
      </c>
      <c r="K73" s="1342"/>
      <c r="O73" s="828" t="s">
        <v>2858</v>
      </c>
      <c r="Q73" s="1300">
        <v>7706850633</v>
      </c>
      <c r="R73" s="1305"/>
      <c r="S73" s="1301"/>
    </row>
    <row r="74" spans="2:19" s="449" customFormat="1" ht="13.15" customHeight="1">
      <c r="D74" s="498"/>
      <c r="E74" s="455" t="s">
        <v>2864</v>
      </c>
      <c r="H74" s="1300">
        <v>7709936226</v>
      </c>
      <c r="I74" s="1301"/>
      <c r="J74" s="1374"/>
      <c r="K74" s="839" t="s">
        <v>2658</v>
      </c>
      <c r="L74" s="1329"/>
      <c r="M74" s="1342"/>
      <c r="N74" s="457" t="s">
        <v>2863</v>
      </c>
      <c r="O74" s="1307" t="s">
        <v>4031</v>
      </c>
      <c r="P74" s="1308"/>
      <c r="Q74" s="1308"/>
      <c r="R74" s="1308"/>
      <c r="S74" s="1309"/>
    </row>
    <row r="75" spans="2:19" ht="6.6" customHeight="1">
      <c r="H75" s="1378"/>
      <c r="I75" s="1378"/>
      <c r="J75" s="1378"/>
      <c r="K75" s="839"/>
      <c r="L75" s="1378"/>
      <c r="M75" s="1378"/>
      <c r="N75" s="827"/>
      <c r="O75" s="863"/>
      <c r="P75" s="863"/>
      <c r="Q75" s="839"/>
      <c r="R75" s="863"/>
      <c r="S75" s="863"/>
    </row>
    <row r="76" spans="2:19" s="449" customFormat="1" ht="13.15" customHeight="1">
      <c r="B76" s="452" t="s">
        <v>3004</v>
      </c>
      <c r="C76" s="452" t="s">
        <v>351</v>
      </c>
      <c r="H76" s="1292"/>
      <c r="I76" s="1341"/>
      <c r="J76" s="1341"/>
      <c r="K76" s="1341"/>
      <c r="L76" s="1341"/>
      <c r="M76" s="1341"/>
      <c r="N76" s="1342"/>
      <c r="O76" s="828" t="s">
        <v>2869</v>
      </c>
      <c r="P76" s="828"/>
      <c r="Q76" s="1292"/>
      <c r="R76" s="1341"/>
      <c r="S76" s="1342"/>
    </row>
    <row r="77" spans="2:19" s="449" customFormat="1" ht="13.15" customHeight="1">
      <c r="D77" s="498"/>
      <c r="E77" s="455" t="s">
        <v>1527</v>
      </c>
      <c r="F77" s="463"/>
      <c r="H77" s="1292"/>
      <c r="I77" s="1341"/>
      <c r="J77" s="1341"/>
      <c r="K77" s="1341"/>
      <c r="L77" s="1341"/>
      <c r="M77" s="1341"/>
      <c r="N77" s="1342"/>
      <c r="O77" s="828" t="s">
        <v>2601</v>
      </c>
      <c r="Q77" s="1292"/>
      <c r="R77" s="1341"/>
      <c r="S77" s="1342"/>
    </row>
    <row r="78" spans="2:19" s="449" customFormat="1" ht="13.15" customHeight="1">
      <c r="D78" s="498"/>
      <c r="E78" s="455" t="s">
        <v>876</v>
      </c>
      <c r="H78" s="1292"/>
      <c r="I78" s="1341"/>
      <c r="J78" s="1342"/>
      <c r="O78" s="828" t="s">
        <v>2659</v>
      </c>
      <c r="Q78" s="1300"/>
      <c r="R78" s="1305"/>
      <c r="S78" s="1301"/>
    </row>
    <row r="79" spans="2:19" s="449" customFormat="1" ht="13.15" customHeight="1">
      <c r="E79" s="455" t="s">
        <v>2655</v>
      </c>
      <c r="H79" s="1306"/>
      <c r="I79" s="483" t="s">
        <v>3136</v>
      </c>
      <c r="J79" s="1303"/>
      <c r="K79" s="1342"/>
      <c r="O79" s="828" t="s">
        <v>2858</v>
      </c>
      <c r="Q79" s="1300"/>
      <c r="R79" s="1305"/>
      <c r="S79" s="1301"/>
    </row>
    <row r="80" spans="2:19" s="449" customFormat="1" ht="13.15" customHeight="1">
      <c r="D80" s="498"/>
      <c r="E80" s="455" t="s">
        <v>2864</v>
      </c>
      <c r="H80" s="1300"/>
      <c r="I80" s="1301"/>
      <c r="J80" s="1374"/>
      <c r="K80" s="839" t="s">
        <v>2658</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8"/>
      <c r="F82" s="394"/>
      <c r="G82" s="394"/>
      <c r="H82" s="394"/>
      <c r="I82" s="394"/>
      <c r="J82" s="394"/>
      <c r="K82" s="394"/>
      <c r="L82" s="394"/>
      <c r="M82" s="394"/>
    </row>
    <row r="83" spans="1:19" s="455" customFormat="1" ht="9" customHeight="1">
      <c r="A83" s="456"/>
      <c r="B83" s="456"/>
      <c r="D83" s="456"/>
      <c r="E83" s="828"/>
      <c r="F83" s="394"/>
      <c r="G83" s="394"/>
      <c r="H83" s="1377"/>
      <c r="I83" s="1377"/>
      <c r="J83" s="1377"/>
      <c r="K83" s="827"/>
      <c r="L83" s="1377"/>
      <c r="M83" s="1377"/>
      <c r="N83" s="827"/>
      <c r="O83" s="863"/>
      <c r="P83" s="863"/>
      <c r="Q83" s="839"/>
      <c r="R83" s="863"/>
      <c r="S83" s="863"/>
    </row>
    <row r="84" spans="1:19" s="449" customFormat="1" ht="13.15" customHeight="1">
      <c r="B84" s="452" t="s">
        <v>2862</v>
      </c>
      <c r="C84" s="452" t="s">
        <v>353</v>
      </c>
      <c r="H84" s="1292"/>
      <c r="I84" s="1341"/>
      <c r="J84" s="1341"/>
      <c r="K84" s="1341"/>
      <c r="L84" s="1341"/>
      <c r="M84" s="1341"/>
      <c r="N84" s="1342"/>
      <c r="O84" s="828" t="s">
        <v>2869</v>
      </c>
      <c r="P84" s="828"/>
      <c r="Q84" s="1292"/>
      <c r="R84" s="1341"/>
      <c r="S84" s="1342"/>
    </row>
    <row r="85" spans="1:19" s="449" customFormat="1" ht="13.15" customHeight="1">
      <c r="D85" s="498"/>
      <c r="E85" s="455" t="s">
        <v>1527</v>
      </c>
      <c r="F85" s="463"/>
      <c r="H85" s="1292"/>
      <c r="I85" s="1341"/>
      <c r="J85" s="1341"/>
      <c r="K85" s="1341"/>
      <c r="L85" s="1341"/>
      <c r="M85" s="1341"/>
      <c r="N85" s="1342"/>
      <c r="O85" s="828" t="s">
        <v>2601</v>
      </c>
      <c r="Q85" s="1292"/>
      <c r="R85" s="1341"/>
      <c r="S85" s="1342"/>
    </row>
    <row r="86" spans="1:19" s="449" customFormat="1" ht="13.15" customHeight="1">
      <c r="D86" s="498"/>
      <c r="E86" s="455" t="s">
        <v>876</v>
      </c>
      <c r="H86" s="1292"/>
      <c r="I86" s="1341"/>
      <c r="J86" s="1342"/>
      <c r="O86" s="828" t="s">
        <v>2659</v>
      </c>
      <c r="Q86" s="1300"/>
      <c r="R86" s="1305"/>
      <c r="S86" s="1301"/>
    </row>
    <row r="87" spans="1:19" s="449" customFormat="1" ht="13.15" customHeight="1">
      <c r="E87" s="455" t="s">
        <v>2655</v>
      </c>
      <c r="H87" s="1306"/>
      <c r="I87" s="483" t="s">
        <v>3136</v>
      </c>
      <c r="J87" s="1303"/>
      <c r="K87" s="1342"/>
      <c r="O87" s="828" t="s">
        <v>2858</v>
      </c>
      <c r="Q87" s="1300"/>
      <c r="R87" s="1305"/>
      <c r="S87" s="1301"/>
    </row>
    <row r="88" spans="1:19" s="449" customFormat="1" ht="13.15" customHeight="1">
      <c r="D88" s="498"/>
      <c r="E88" s="455" t="s">
        <v>2864</v>
      </c>
      <c r="H88" s="1300"/>
      <c r="I88" s="1301"/>
      <c r="J88" s="1374"/>
      <c r="K88" s="839" t="s">
        <v>2658</v>
      </c>
      <c r="L88" s="1329"/>
      <c r="M88" s="1342"/>
      <c r="N88" s="457" t="s">
        <v>2863</v>
      </c>
      <c r="O88" s="1307"/>
      <c r="P88" s="1308"/>
      <c r="Q88" s="1308"/>
      <c r="R88" s="1308"/>
      <c r="S88" s="1309"/>
    </row>
    <row r="89" spans="1:19" ht="6.6" customHeight="1">
      <c r="H89" s="1378"/>
      <c r="I89" s="1378"/>
      <c r="J89" s="1378"/>
      <c r="K89" s="839"/>
      <c r="L89" s="1378"/>
      <c r="M89" s="1378"/>
      <c r="N89" s="827"/>
      <c r="O89" s="863"/>
      <c r="P89" s="863"/>
      <c r="Q89" s="839"/>
      <c r="R89" s="863"/>
      <c r="S89" s="863"/>
    </row>
    <row r="90" spans="1:19" s="449" customFormat="1" ht="13.15" customHeight="1">
      <c r="B90" s="452" t="s">
        <v>2865</v>
      </c>
      <c r="C90" s="452" t="s">
        <v>354</v>
      </c>
      <c r="H90" s="1292" t="s">
        <v>3989</v>
      </c>
      <c r="I90" s="1341"/>
      <c r="J90" s="1341"/>
      <c r="K90" s="1341"/>
      <c r="L90" s="1341"/>
      <c r="M90" s="1341"/>
      <c r="N90" s="1342"/>
      <c r="O90" s="828" t="s">
        <v>2869</v>
      </c>
      <c r="P90" s="828"/>
      <c r="Q90" s="1292" t="s">
        <v>3993</v>
      </c>
      <c r="R90" s="1341"/>
      <c r="S90" s="1342"/>
    </row>
    <row r="91" spans="1:19" s="449" customFormat="1" ht="13.15" customHeight="1">
      <c r="D91" s="498"/>
      <c r="E91" s="455" t="s">
        <v>1527</v>
      </c>
      <c r="F91" s="463"/>
      <c r="H91" s="1292" t="s">
        <v>3992</v>
      </c>
      <c r="I91" s="1341"/>
      <c r="J91" s="1341"/>
      <c r="K91" s="1341"/>
      <c r="L91" s="1341"/>
      <c r="M91" s="1341"/>
      <c r="N91" s="1342"/>
      <c r="O91" s="828" t="s">
        <v>2601</v>
      </c>
      <c r="Q91" s="1292" t="s">
        <v>3994</v>
      </c>
      <c r="R91" s="1341"/>
      <c r="S91" s="1342"/>
    </row>
    <row r="92" spans="1:19" s="449" customFormat="1" ht="13.15" customHeight="1">
      <c r="D92" s="498"/>
      <c r="E92" s="455" t="s">
        <v>876</v>
      </c>
      <c r="H92" s="1292" t="s">
        <v>1743</v>
      </c>
      <c r="I92" s="1341"/>
      <c r="J92" s="1342"/>
      <c r="O92" s="828" t="s">
        <v>2659</v>
      </c>
      <c r="Q92" s="1300">
        <v>4042241871</v>
      </c>
      <c r="R92" s="1305"/>
      <c r="S92" s="1301"/>
    </row>
    <row r="93" spans="1:19" s="449" customFormat="1" ht="13.15" customHeight="1">
      <c r="E93" s="455" t="s">
        <v>2655</v>
      </c>
      <c r="H93" s="1306" t="s">
        <v>1337</v>
      </c>
      <c r="I93" s="483" t="s">
        <v>3136</v>
      </c>
      <c r="J93" s="1303">
        <v>303032540</v>
      </c>
      <c r="K93" s="1342"/>
      <c r="O93" s="828" t="s">
        <v>2858</v>
      </c>
      <c r="Q93" s="1300"/>
      <c r="R93" s="1305"/>
      <c r="S93" s="1301"/>
    </row>
    <row r="94" spans="1:19" s="449" customFormat="1" ht="13.15" customHeight="1">
      <c r="D94" s="498"/>
      <c r="E94" s="455" t="s">
        <v>2864</v>
      </c>
      <c r="H94" s="1300">
        <v>4042241870</v>
      </c>
      <c r="I94" s="1301"/>
      <c r="J94" s="1374"/>
      <c r="K94" s="839" t="s">
        <v>2658</v>
      </c>
      <c r="L94" s="1329">
        <v>4042245177</v>
      </c>
      <c r="M94" s="1342"/>
      <c r="N94" s="457" t="s">
        <v>2863</v>
      </c>
      <c r="O94" s="1307" t="s">
        <v>3995</v>
      </c>
      <c r="P94" s="1308"/>
      <c r="Q94" s="1308"/>
      <c r="R94" s="1308"/>
      <c r="S94" s="1309"/>
    </row>
    <row r="95" spans="1:19" ht="6.6" customHeight="1">
      <c r="H95" s="1378"/>
      <c r="I95" s="1378"/>
      <c r="J95" s="1378"/>
      <c r="K95" s="839"/>
      <c r="L95" s="1378"/>
      <c r="M95" s="1378"/>
      <c r="N95" s="827"/>
      <c r="O95" s="863"/>
      <c r="P95" s="863"/>
      <c r="Q95" s="839"/>
      <c r="R95" s="863"/>
      <c r="S95" s="863"/>
    </row>
    <row r="96" spans="1:19" s="449" customFormat="1" ht="13.15" customHeight="1">
      <c r="B96" s="452" t="s">
        <v>1145</v>
      </c>
      <c r="C96" s="452" t="s">
        <v>355</v>
      </c>
      <c r="F96" s="472"/>
      <c r="H96" s="1292" t="s">
        <v>3990</v>
      </c>
      <c r="I96" s="1341"/>
      <c r="J96" s="1341"/>
      <c r="K96" s="1341"/>
      <c r="L96" s="1341"/>
      <c r="M96" s="1341"/>
      <c r="N96" s="1342"/>
      <c r="O96" s="828" t="s">
        <v>2869</v>
      </c>
      <c r="P96" s="828"/>
      <c r="Q96" s="1292" t="s">
        <v>3996</v>
      </c>
      <c r="R96" s="1341"/>
      <c r="S96" s="1342"/>
    </row>
    <row r="97" spans="2:19" s="449" customFormat="1" ht="13.15" customHeight="1">
      <c r="D97" s="498"/>
      <c r="E97" s="455" t="s">
        <v>1527</v>
      </c>
      <c r="F97" s="463"/>
      <c r="H97" s="1292" t="s">
        <v>3992</v>
      </c>
      <c r="I97" s="1341"/>
      <c r="J97" s="1341"/>
      <c r="K97" s="1341"/>
      <c r="L97" s="1341"/>
      <c r="M97" s="1341"/>
      <c r="N97" s="1342"/>
      <c r="O97" s="828" t="s">
        <v>2601</v>
      </c>
      <c r="Q97" s="1292" t="s">
        <v>3994</v>
      </c>
      <c r="R97" s="1341"/>
      <c r="S97" s="1342"/>
    </row>
    <row r="98" spans="2:19" s="449" customFormat="1" ht="13.15" customHeight="1">
      <c r="D98" s="498"/>
      <c r="E98" s="455" t="s">
        <v>876</v>
      </c>
      <c r="H98" s="1292" t="s">
        <v>1743</v>
      </c>
      <c r="I98" s="1341"/>
      <c r="J98" s="1342"/>
      <c r="O98" s="828" t="s">
        <v>2659</v>
      </c>
      <c r="Q98" s="1300">
        <v>4045261882</v>
      </c>
      <c r="R98" s="1305"/>
      <c r="S98" s="1301"/>
    </row>
    <row r="99" spans="2:19" s="449" customFormat="1" ht="13.15" customHeight="1">
      <c r="D99" s="498"/>
      <c r="E99" s="455" t="s">
        <v>2655</v>
      </c>
      <c r="H99" s="1306" t="s">
        <v>1337</v>
      </c>
      <c r="I99" s="483" t="s">
        <v>3136</v>
      </c>
      <c r="J99" s="1303">
        <v>303032540</v>
      </c>
      <c r="K99" s="1342"/>
      <c r="O99" s="828" t="s">
        <v>2858</v>
      </c>
      <c r="Q99" s="1300"/>
      <c r="R99" s="1305"/>
      <c r="S99" s="1301"/>
    </row>
    <row r="100" spans="2:19" s="449" customFormat="1" ht="13.15" customHeight="1">
      <c r="D100" s="498"/>
      <c r="E100" s="455" t="s">
        <v>2864</v>
      </c>
      <c r="H100" s="1300">
        <v>4042241860</v>
      </c>
      <c r="I100" s="1301"/>
      <c r="J100" s="1374"/>
      <c r="K100" s="839" t="s">
        <v>2658</v>
      </c>
      <c r="L100" s="1329">
        <v>4042241899</v>
      </c>
      <c r="M100" s="1342"/>
      <c r="N100" s="457" t="s">
        <v>2863</v>
      </c>
      <c r="O100" s="1307" t="s">
        <v>3997</v>
      </c>
      <c r="P100" s="1308"/>
      <c r="Q100" s="1308"/>
      <c r="R100" s="1308"/>
      <c r="S100" s="1309"/>
    </row>
    <row r="101" spans="2:19" ht="6.6" customHeight="1">
      <c r="H101" s="1378"/>
      <c r="I101" s="1378"/>
      <c r="J101" s="1378"/>
      <c r="K101" s="839"/>
      <c r="L101" s="1378"/>
      <c r="M101" s="1378"/>
      <c r="N101" s="827"/>
      <c r="O101" s="863"/>
      <c r="P101" s="863"/>
      <c r="Q101" s="839"/>
      <c r="R101" s="863"/>
      <c r="S101" s="863"/>
    </row>
    <row r="102" spans="2:19" s="449" customFormat="1" ht="13.15" customHeight="1">
      <c r="B102" s="452" t="s">
        <v>3004</v>
      </c>
      <c r="C102" s="452" t="s">
        <v>356</v>
      </c>
      <c r="H102" s="1292" t="s">
        <v>3991</v>
      </c>
      <c r="I102" s="1341"/>
      <c r="J102" s="1341"/>
      <c r="K102" s="1341"/>
      <c r="L102" s="1341"/>
      <c r="M102" s="1341"/>
      <c r="N102" s="1342"/>
      <c r="O102" s="828" t="s">
        <v>2869</v>
      </c>
      <c r="P102" s="828"/>
      <c r="Q102" s="1292" t="s">
        <v>4000</v>
      </c>
      <c r="R102" s="1341"/>
      <c r="S102" s="1342"/>
    </row>
    <row r="103" spans="2:19" s="449" customFormat="1" ht="13.15" customHeight="1">
      <c r="D103" s="498"/>
      <c r="E103" s="455" t="s">
        <v>1527</v>
      </c>
      <c r="F103" s="463"/>
      <c r="H103" s="1292" t="s">
        <v>3998</v>
      </c>
      <c r="I103" s="1341"/>
      <c r="J103" s="1341"/>
      <c r="K103" s="1341"/>
      <c r="L103" s="1341"/>
      <c r="M103" s="1341"/>
      <c r="N103" s="1342"/>
      <c r="O103" s="828" t="s">
        <v>2601</v>
      </c>
      <c r="Q103" s="1292" t="s">
        <v>4001</v>
      </c>
      <c r="R103" s="1341"/>
      <c r="S103" s="1342"/>
    </row>
    <row r="104" spans="2:19" s="449" customFormat="1" ht="13.15" customHeight="1">
      <c r="D104" s="498"/>
      <c r="E104" s="455" t="s">
        <v>876</v>
      </c>
      <c r="H104" s="1292" t="s">
        <v>1743</v>
      </c>
      <c r="I104" s="1341"/>
      <c r="J104" s="1342"/>
      <c r="O104" s="828" t="s">
        <v>2659</v>
      </c>
      <c r="Q104" s="1300">
        <v>4048738656</v>
      </c>
      <c r="R104" s="1305"/>
      <c r="S104" s="1301"/>
    </row>
    <row r="105" spans="2:19" s="449" customFormat="1" ht="13.15" customHeight="1">
      <c r="D105" s="498"/>
      <c r="E105" s="455" t="s">
        <v>2655</v>
      </c>
      <c r="H105" s="1306" t="s">
        <v>1337</v>
      </c>
      <c r="I105" s="483" t="s">
        <v>3136</v>
      </c>
      <c r="J105" s="1303">
        <v>303630000</v>
      </c>
      <c r="K105" s="1342"/>
      <c r="O105" s="828" t="s">
        <v>2858</v>
      </c>
      <c r="Q105" s="1300"/>
      <c r="R105" s="1305"/>
      <c r="S105" s="1301"/>
    </row>
    <row r="106" spans="2:19" ht="13.15" customHeight="1">
      <c r="E106" s="455" t="s">
        <v>2864</v>
      </c>
      <c r="F106" s="449"/>
      <c r="G106" s="449"/>
      <c r="H106" s="1300">
        <v>4048738500</v>
      </c>
      <c r="I106" s="1301"/>
      <c r="J106" s="1374"/>
      <c r="K106" s="839" t="s">
        <v>2658</v>
      </c>
      <c r="L106" s="1329">
        <v>4048738657</v>
      </c>
      <c r="M106" s="1342"/>
      <c r="N106" s="457" t="s">
        <v>2863</v>
      </c>
      <c r="O106" s="1307" t="s">
        <v>3999</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80"/>
    </row>
    <row r="108" spans="2:19" ht="0.6" customHeight="1">
      <c r="E108" s="455"/>
      <c r="F108" s="449"/>
      <c r="G108" s="833"/>
      <c r="H108" s="1377"/>
      <c r="I108" s="1377"/>
      <c r="J108" s="1377"/>
      <c r="K108" s="827"/>
      <c r="L108" s="1377"/>
      <c r="M108" s="1377"/>
      <c r="N108" s="827"/>
      <c r="O108" s="863"/>
      <c r="P108" s="863"/>
      <c r="Q108" s="839"/>
      <c r="R108" s="863"/>
      <c r="S108" s="863"/>
    </row>
    <row r="109" spans="2:19" s="449" customFormat="1" ht="13.15" customHeight="1">
      <c r="B109" s="452" t="s">
        <v>2588</v>
      </c>
      <c r="C109" s="452" t="s">
        <v>357</v>
      </c>
      <c r="H109" s="1292" t="s">
        <v>4041</v>
      </c>
      <c r="I109" s="1341"/>
      <c r="J109" s="1341"/>
      <c r="K109" s="1341"/>
      <c r="L109" s="1341"/>
      <c r="M109" s="1341"/>
      <c r="N109" s="1342"/>
      <c r="O109" s="828" t="s">
        <v>2869</v>
      </c>
      <c r="P109" s="828"/>
      <c r="Q109" s="1292" t="s">
        <v>4043</v>
      </c>
      <c r="R109" s="1341"/>
      <c r="S109" s="1342"/>
    </row>
    <row r="110" spans="2:19" s="449" customFormat="1" ht="13.15" customHeight="1">
      <c r="D110" s="498"/>
      <c r="E110" s="455" t="s">
        <v>1527</v>
      </c>
      <c r="F110" s="463"/>
      <c r="H110" s="1292" t="s">
        <v>4042</v>
      </c>
      <c r="I110" s="1341"/>
      <c r="J110" s="1341"/>
      <c r="K110" s="1341"/>
      <c r="L110" s="1341"/>
      <c r="M110" s="1341"/>
      <c r="N110" s="1342"/>
      <c r="O110" s="828" t="s">
        <v>2601</v>
      </c>
      <c r="Q110" s="1292" t="s">
        <v>4044</v>
      </c>
      <c r="R110" s="1341"/>
      <c r="S110" s="1342"/>
    </row>
    <row r="111" spans="2:19" s="449" customFormat="1" ht="13.15" customHeight="1">
      <c r="D111" s="498"/>
      <c r="E111" s="455" t="s">
        <v>876</v>
      </c>
      <c r="H111" s="1292" t="s">
        <v>1743</v>
      </c>
      <c r="I111" s="1341"/>
      <c r="J111" s="1342"/>
      <c r="O111" s="828" t="s">
        <v>2659</v>
      </c>
      <c r="Q111" s="1300">
        <v>7703537115</v>
      </c>
      <c r="R111" s="1305"/>
      <c r="S111" s="1301"/>
    </row>
    <row r="112" spans="2:19" s="449" customFormat="1" ht="13.15" customHeight="1">
      <c r="D112" s="498"/>
      <c r="E112" s="455" t="s">
        <v>2655</v>
      </c>
      <c r="H112" s="1306" t="s">
        <v>1337</v>
      </c>
      <c r="I112" s="483" t="s">
        <v>3136</v>
      </c>
      <c r="J112" s="1303">
        <v>303280000</v>
      </c>
      <c r="K112" s="1342"/>
      <c r="O112" s="828" t="s">
        <v>2858</v>
      </c>
      <c r="Q112" s="1300"/>
      <c r="R112" s="1305"/>
      <c r="S112" s="1301"/>
    </row>
    <row r="113" spans="1:19" ht="13.15" customHeight="1">
      <c r="E113" s="455" t="s">
        <v>2864</v>
      </c>
      <c r="F113" s="449"/>
      <c r="G113" s="449"/>
      <c r="H113" s="1300">
        <v>4048929651</v>
      </c>
      <c r="I113" s="1301"/>
      <c r="J113" s="1374"/>
      <c r="K113" s="839" t="s">
        <v>2658</v>
      </c>
      <c r="L113" s="1329"/>
      <c r="M113" s="1342"/>
      <c r="N113" s="457" t="s">
        <v>2863</v>
      </c>
      <c r="O113" s="1307" t="s">
        <v>4045</v>
      </c>
      <c r="P113" s="1308"/>
      <c r="Q113" s="1308"/>
      <c r="R113" s="1308"/>
      <c r="S113" s="1309"/>
    </row>
    <row r="114" spans="1:19" ht="6.6" customHeight="1">
      <c r="E114" s="455"/>
      <c r="F114" s="449"/>
      <c r="G114" s="833"/>
      <c r="H114" s="1378"/>
      <c r="I114" s="1378"/>
      <c r="J114" s="1378"/>
      <c r="K114" s="839"/>
      <c r="L114" s="1378"/>
      <c r="M114" s="1378"/>
      <c r="N114" s="827"/>
      <c r="O114" s="863"/>
      <c r="P114" s="863"/>
      <c r="Q114" s="839"/>
      <c r="R114" s="863"/>
      <c r="S114" s="863"/>
    </row>
    <row r="115" spans="1:19" s="449" customFormat="1" ht="13.15" customHeight="1">
      <c r="B115" s="452" t="s">
        <v>2589</v>
      </c>
      <c r="C115" s="452" t="s">
        <v>358</v>
      </c>
      <c r="H115" s="1292" t="s">
        <v>4037</v>
      </c>
      <c r="I115" s="1341"/>
      <c r="J115" s="1341"/>
      <c r="K115" s="1341"/>
      <c r="L115" s="1341"/>
      <c r="M115" s="1341"/>
      <c r="N115" s="1342"/>
      <c r="O115" s="828" t="s">
        <v>2869</v>
      </c>
      <c r="P115" s="828"/>
      <c r="Q115" s="1292" t="s">
        <v>4039</v>
      </c>
      <c r="R115" s="1341"/>
      <c r="S115" s="1342"/>
    </row>
    <row r="116" spans="1:19" s="449" customFormat="1" ht="13.15" customHeight="1">
      <c r="D116" s="498"/>
      <c r="E116" s="455" t="s">
        <v>1527</v>
      </c>
      <c r="F116" s="463"/>
      <c r="H116" s="1292" t="s">
        <v>4038</v>
      </c>
      <c r="I116" s="1341"/>
      <c r="J116" s="1341"/>
      <c r="K116" s="1341"/>
      <c r="L116" s="1341"/>
      <c r="M116" s="1341"/>
      <c r="N116" s="1342"/>
      <c r="O116" s="828" t="s">
        <v>2601</v>
      </c>
      <c r="Q116" s="1292" t="s">
        <v>3477</v>
      </c>
      <c r="R116" s="1341"/>
      <c r="S116" s="1342"/>
    </row>
    <row r="117" spans="1:19" s="449" customFormat="1" ht="13.15" customHeight="1">
      <c r="D117" s="498"/>
      <c r="E117" s="455" t="s">
        <v>876</v>
      </c>
      <c r="H117" s="1292" t="s">
        <v>1743</v>
      </c>
      <c r="I117" s="1341"/>
      <c r="J117" s="1342"/>
      <c r="O117" s="828" t="s">
        <v>2659</v>
      </c>
      <c r="Q117" s="1300">
        <v>4042409299</v>
      </c>
      <c r="R117" s="1305"/>
      <c r="S117" s="1301"/>
    </row>
    <row r="118" spans="1:19" s="449" customFormat="1" ht="13.15" customHeight="1">
      <c r="D118" s="503"/>
      <c r="E118" s="455" t="s">
        <v>2655</v>
      </c>
      <c r="H118" s="1306" t="s">
        <v>1337</v>
      </c>
      <c r="I118" s="483" t="s">
        <v>3136</v>
      </c>
      <c r="J118" s="1303">
        <v>303050000</v>
      </c>
      <c r="K118" s="1342"/>
      <c r="O118" s="828" t="s">
        <v>2858</v>
      </c>
      <c r="Q118" s="1300"/>
      <c r="R118" s="1305"/>
      <c r="S118" s="1301"/>
    </row>
    <row r="119" spans="1:19" s="449" customFormat="1" ht="13.15" customHeight="1">
      <c r="D119" s="503"/>
      <c r="E119" s="455" t="s">
        <v>2864</v>
      </c>
      <c r="H119" s="1300">
        <v>4042409299</v>
      </c>
      <c r="I119" s="1301"/>
      <c r="J119" s="1374"/>
      <c r="K119" s="839" t="s">
        <v>2658</v>
      </c>
      <c r="L119" s="1329"/>
      <c r="M119" s="1342"/>
      <c r="N119" s="457" t="s">
        <v>2863</v>
      </c>
      <c r="O119" s="1307" t="s">
        <v>4040</v>
      </c>
      <c r="P119" s="1308"/>
      <c r="Q119" s="1308"/>
      <c r="R119" s="1308"/>
      <c r="S119" s="1309"/>
    </row>
    <row r="120" spans="1:19" ht="13.15" customHeight="1"/>
    <row r="121" spans="1:19" s="449" customFormat="1" ht="13.15" customHeight="1">
      <c r="A121" s="452" t="s">
        <v>2648</v>
      </c>
      <c r="B121" s="452" t="s">
        <v>3641</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81"/>
      <c r="C123" s="1381"/>
      <c r="D123" s="1382"/>
      <c r="E123" s="949" t="s">
        <v>3306</v>
      </c>
      <c r="F123" s="924" t="s">
        <v>3299</v>
      </c>
      <c r="G123" s="917" t="s">
        <v>3300</v>
      </c>
      <c r="H123" s="928"/>
      <c r="I123" s="929"/>
      <c r="J123" s="917" t="s">
        <v>3301</v>
      </c>
      <c r="K123" s="935"/>
      <c r="L123" s="917" t="s">
        <v>3302</v>
      </c>
      <c r="M123" s="940"/>
      <c r="N123" s="917" t="s">
        <v>3303</v>
      </c>
      <c r="O123" s="929"/>
      <c r="P123" s="917" t="s">
        <v>3304</v>
      </c>
      <c r="Q123" s="929"/>
      <c r="R123" s="917" t="s">
        <v>3305</v>
      </c>
      <c r="S123" s="918"/>
    </row>
    <row r="124" spans="1:19" s="449" customFormat="1" ht="21.6" customHeight="1">
      <c r="A124" s="1383"/>
      <c r="B124" s="1384"/>
      <c r="C124" s="1384"/>
      <c r="D124" s="1385"/>
      <c r="E124" s="950"/>
      <c r="F124" s="925"/>
      <c r="G124" s="919"/>
      <c r="H124" s="930"/>
      <c r="I124" s="931"/>
      <c r="J124" s="936"/>
      <c r="K124" s="937"/>
      <c r="L124" s="919"/>
      <c r="M124" s="941"/>
      <c r="N124" s="919"/>
      <c r="O124" s="931"/>
      <c r="P124" s="919"/>
      <c r="Q124" s="931"/>
      <c r="R124" s="919"/>
      <c r="S124" s="920"/>
    </row>
    <row r="125" spans="1:19" s="449" customFormat="1" ht="21.6" customHeight="1">
      <c r="A125" s="1383"/>
      <c r="B125" s="1384"/>
      <c r="C125" s="1384"/>
      <c r="D125" s="1385"/>
      <c r="E125" s="950"/>
      <c r="F125" s="926"/>
      <c r="G125" s="919"/>
      <c r="H125" s="930"/>
      <c r="I125" s="931"/>
      <c r="J125" s="936"/>
      <c r="K125" s="937"/>
      <c r="L125" s="942"/>
      <c r="M125" s="941"/>
      <c r="N125" s="919"/>
      <c r="O125" s="931"/>
      <c r="P125" s="919"/>
      <c r="Q125" s="931"/>
      <c r="R125" s="921"/>
      <c r="S125" s="920"/>
    </row>
    <row r="126" spans="1:19" s="449" customFormat="1" ht="21.6" customHeight="1">
      <c r="A126" s="1383"/>
      <c r="B126" s="1384"/>
      <c r="C126" s="1384"/>
      <c r="D126" s="1385"/>
      <c r="E126" s="950"/>
      <c r="F126" s="926"/>
      <c r="G126" s="919"/>
      <c r="H126" s="930"/>
      <c r="I126" s="931"/>
      <c r="J126" s="936"/>
      <c r="K126" s="937"/>
      <c r="L126" s="942"/>
      <c r="M126" s="941"/>
      <c r="N126" s="919"/>
      <c r="O126" s="931"/>
      <c r="P126" s="919"/>
      <c r="Q126" s="931"/>
      <c r="R126" s="921"/>
      <c r="S126" s="920"/>
    </row>
    <row r="127" spans="1:19" s="449" customFormat="1" ht="21.6" customHeight="1">
      <c r="A127" s="1386"/>
      <c r="B127" s="1387"/>
      <c r="C127" s="1387"/>
      <c r="D127" s="1388"/>
      <c r="E127" s="951"/>
      <c r="F127" s="927"/>
      <c r="G127" s="932"/>
      <c r="H127" s="933"/>
      <c r="I127" s="934"/>
      <c r="J127" s="938"/>
      <c r="K127" s="939"/>
      <c r="L127" s="943"/>
      <c r="M127" s="944"/>
      <c r="N127" s="932"/>
      <c r="O127" s="934"/>
      <c r="P127" s="932"/>
      <c r="Q127" s="934"/>
      <c r="R127" s="922"/>
      <c r="S127" s="923"/>
    </row>
    <row r="128" spans="1:19" s="449" customFormat="1" ht="13.9" customHeight="1">
      <c r="A128" s="834" t="s">
        <v>3298</v>
      </c>
      <c r="B128" s="835"/>
      <c r="C128" s="835"/>
      <c r="D128" s="836"/>
      <c r="E128" s="1389" t="s">
        <v>3984</v>
      </c>
      <c r="F128" s="1389" t="s">
        <v>3974</v>
      </c>
      <c r="G128" s="1390" t="s">
        <v>3984</v>
      </c>
      <c r="H128" s="1391"/>
      <c r="I128" s="1392"/>
      <c r="J128" s="1390" t="s">
        <v>3974</v>
      </c>
      <c r="K128" s="1392"/>
      <c r="L128" s="1390" t="s">
        <v>3984</v>
      </c>
      <c r="M128" s="1392"/>
      <c r="N128" s="1390" t="s">
        <v>3984</v>
      </c>
      <c r="O128" s="1392"/>
      <c r="P128" s="1393" t="s">
        <v>4002</v>
      </c>
      <c r="Q128" s="1394"/>
      <c r="R128" s="1395">
        <v>1E-4</v>
      </c>
      <c r="S128" s="1396"/>
    </row>
    <row r="129" spans="1:19" s="449" customFormat="1" ht="13.9" customHeight="1">
      <c r="A129" s="832" t="s">
        <v>3288</v>
      </c>
      <c r="B129" s="833"/>
      <c r="C129" s="833"/>
      <c r="D129" s="837"/>
      <c r="E129" s="1397"/>
      <c r="F129" s="1397"/>
      <c r="G129" s="1398"/>
      <c r="H129" s="1399"/>
      <c r="I129" s="1400"/>
      <c r="J129" s="1398"/>
      <c r="K129" s="1400"/>
      <c r="L129" s="1398"/>
      <c r="M129" s="1400"/>
      <c r="N129" s="1398"/>
      <c r="O129" s="1400"/>
      <c r="P129" s="1401"/>
      <c r="Q129" s="1402"/>
      <c r="R129" s="1403"/>
      <c r="S129" s="1404"/>
    </row>
    <row r="130" spans="1:19" s="449" customFormat="1" ht="13.9" customHeight="1">
      <c r="A130" s="832" t="s">
        <v>3289</v>
      </c>
      <c r="B130" s="833"/>
      <c r="C130" s="833"/>
      <c r="D130" s="837"/>
      <c r="E130" s="1397"/>
      <c r="F130" s="1397"/>
      <c r="G130" s="1398"/>
      <c r="H130" s="1399"/>
      <c r="I130" s="1400"/>
      <c r="J130" s="1398"/>
      <c r="K130" s="1400"/>
      <c r="L130" s="1398"/>
      <c r="M130" s="1400"/>
      <c r="N130" s="1398"/>
      <c r="O130" s="1400"/>
      <c r="P130" s="1401"/>
      <c r="Q130" s="1402"/>
      <c r="R130" s="1403"/>
      <c r="S130" s="1404"/>
    </row>
    <row r="131" spans="1:19" s="449" customFormat="1" ht="13.9" customHeight="1">
      <c r="A131" s="832" t="s">
        <v>3290</v>
      </c>
      <c r="B131" s="833"/>
      <c r="C131" s="833"/>
      <c r="D131" s="837"/>
      <c r="E131" s="1397" t="s">
        <v>3984</v>
      </c>
      <c r="F131" s="1397" t="s">
        <v>3984</v>
      </c>
      <c r="G131" s="1398" t="s">
        <v>3984</v>
      </c>
      <c r="H131" s="1399"/>
      <c r="I131" s="1400"/>
      <c r="J131" s="1398" t="s">
        <v>3984</v>
      </c>
      <c r="K131" s="1400"/>
      <c r="L131" s="1398" t="s">
        <v>3984</v>
      </c>
      <c r="M131" s="1400"/>
      <c r="N131" s="1398" t="s">
        <v>3984</v>
      </c>
      <c r="O131" s="1400"/>
      <c r="P131" s="1401" t="s">
        <v>4002</v>
      </c>
      <c r="Q131" s="1402"/>
      <c r="R131" s="1403">
        <v>0.9899</v>
      </c>
      <c r="S131" s="1404"/>
    </row>
    <row r="132" spans="1:19" s="449" customFormat="1" ht="13.9" customHeight="1">
      <c r="A132" s="832" t="s">
        <v>3291</v>
      </c>
      <c r="B132" s="833"/>
      <c r="C132" s="833"/>
      <c r="D132" s="837"/>
      <c r="E132" s="1397" t="s">
        <v>3984</v>
      </c>
      <c r="F132" s="1397" t="s">
        <v>3984</v>
      </c>
      <c r="G132" s="1398" t="s">
        <v>3984</v>
      </c>
      <c r="H132" s="1399"/>
      <c r="I132" s="1400"/>
      <c r="J132" s="1398" t="s">
        <v>3984</v>
      </c>
      <c r="K132" s="1400"/>
      <c r="L132" s="1398" t="s">
        <v>3984</v>
      </c>
      <c r="M132" s="1400"/>
      <c r="N132" s="1398" t="s">
        <v>3984</v>
      </c>
      <c r="O132" s="1400"/>
      <c r="P132" s="1401" t="s">
        <v>4002</v>
      </c>
      <c r="Q132" s="1402"/>
      <c r="R132" s="1403">
        <v>0.01</v>
      </c>
      <c r="S132" s="1404"/>
    </row>
    <row r="133" spans="1:19" s="449" customFormat="1" ht="13.9" customHeight="1">
      <c r="A133" s="832" t="s">
        <v>3292</v>
      </c>
      <c r="B133" s="833"/>
      <c r="C133" s="833"/>
      <c r="D133" s="837"/>
      <c r="E133" s="1397"/>
      <c r="F133" s="1397"/>
      <c r="G133" s="1398"/>
      <c r="H133" s="1399"/>
      <c r="I133" s="1400"/>
      <c r="J133" s="1398"/>
      <c r="K133" s="1400"/>
      <c r="L133" s="1398"/>
      <c r="M133" s="1400"/>
      <c r="N133" s="1398"/>
      <c r="O133" s="1400"/>
      <c r="P133" s="1401"/>
      <c r="Q133" s="1402"/>
      <c r="R133" s="1403"/>
      <c r="S133" s="1404"/>
    </row>
    <row r="134" spans="1:19" s="449" customFormat="1" ht="13.9" customHeight="1">
      <c r="A134" s="832" t="s">
        <v>918</v>
      </c>
      <c r="B134" s="833"/>
      <c r="C134" s="833"/>
      <c r="D134" s="837"/>
      <c r="E134" s="1397" t="s">
        <v>3984</v>
      </c>
      <c r="F134" s="1397" t="s">
        <v>3974</v>
      </c>
      <c r="G134" s="1398" t="s">
        <v>3984</v>
      </c>
      <c r="H134" s="1399"/>
      <c r="I134" s="1400"/>
      <c r="J134" s="1398" t="s">
        <v>3974</v>
      </c>
      <c r="K134" s="1400"/>
      <c r="L134" s="1398" t="s">
        <v>3984</v>
      </c>
      <c r="M134" s="1400"/>
      <c r="N134" s="1398" t="s">
        <v>3984</v>
      </c>
      <c r="O134" s="1400"/>
      <c r="P134" s="1401" t="s">
        <v>4002</v>
      </c>
      <c r="Q134" s="1402"/>
      <c r="R134" s="1403"/>
      <c r="S134" s="1404"/>
    </row>
    <row r="135" spans="1:19" s="449" customFormat="1" ht="13.9" customHeight="1">
      <c r="A135" s="832" t="s">
        <v>3293</v>
      </c>
      <c r="B135" s="833"/>
      <c r="C135" s="833"/>
      <c r="D135" s="837"/>
      <c r="E135" s="1397"/>
      <c r="F135" s="1397"/>
      <c r="G135" s="1398"/>
      <c r="H135" s="1399"/>
      <c r="I135" s="1400"/>
      <c r="J135" s="1398"/>
      <c r="K135" s="1400"/>
      <c r="L135" s="1398"/>
      <c r="M135" s="1400"/>
      <c r="N135" s="1398"/>
      <c r="O135" s="1400"/>
      <c r="P135" s="1401"/>
      <c r="Q135" s="1402"/>
      <c r="R135" s="1403"/>
      <c r="S135" s="1404"/>
    </row>
    <row r="136" spans="1:19" s="449" customFormat="1" ht="13.9" customHeight="1">
      <c r="A136" s="832" t="s">
        <v>3294</v>
      </c>
      <c r="B136" s="833"/>
      <c r="C136" s="833"/>
      <c r="D136" s="837"/>
      <c r="E136" s="1397"/>
      <c r="F136" s="1397"/>
      <c r="G136" s="1398"/>
      <c r="H136" s="1399"/>
      <c r="I136" s="1400"/>
      <c r="J136" s="1398"/>
      <c r="K136" s="1400"/>
      <c r="L136" s="1398"/>
      <c r="M136" s="1400"/>
      <c r="N136" s="1398"/>
      <c r="O136" s="1400"/>
      <c r="P136" s="1401"/>
      <c r="Q136" s="1402"/>
      <c r="R136" s="1403"/>
      <c r="S136" s="1404"/>
    </row>
    <row r="137" spans="1:19" s="449" customFormat="1" ht="13.9" customHeight="1">
      <c r="A137" s="832" t="s">
        <v>3295</v>
      </c>
      <c r="B137" s="833"/>
      <c r="C137" s="833"/>
      <c r="D137" s="837"/>
      <c r="E137" s="1397"/>
      <c r="F137" s="1397"/>
      <c r="G137" s="1398"/>
      <c r="H137" s="1399"/>
      <c r="I137" s="1400"/>
      <c r="J137" s="1398"/>
      <c r="K137" s="1400"/>
      <c r="L137" s="1398"/>
      <c r="M137" s="1400"/>
      <c r="N137" s="1398"/>
      <c r="O137" s="1400"/>
      <c r="P137" s="1401"/>
      <c r="Q137" s="1402"/>
      <c r="R137" s="1403"/>
      <c r="S137" s="1404"/>
    </row>
    <row r="138" spans="1:19" s="449" customFormat="1" ht="13.9" customHeight="1">
      <c r="A138" s="832" t="s">
        <v>3296</v>
      </c>
      <c r="B138" s="833"/>
      <c r="C138" s="833"/>
      <c r="D138" s="837"/>
      <c r="E138" s="1397"/>
      <c r="F138" s="1397"/>
      <c r="G138" s="1398"/>
      <c r="H138" s="1399"/>
      <c r="I138" s="1400"/>
      <c r="J138" s="1398"/>
      <c r="K138" s="1400"/>
      <c r="L138" s="1398"/>
      <c r="M138" s="1400"/>
      <c r="N138" s="1398"/>
      <c r="O138" s="1400"/>
      <c r="P138" s="1401"/>
      <c r="Q138" s="1402"/>
      <c r="R138" s="1403"/>
      <c r="S138" s="1404"/>
    </row>
    <row r="139" spans="1:19" s="449" customFormat="1" ht="13.9" customHeight="1">
      <c r="A139" s="832" t="s">
        <v>2130</v>
      </c>
      <c r="B139" s="833"/>
      <c r="C139" s="833"/>
      <c r="D139" s="837"/>
      <c r="E139" s="1397" t="s">
        <v>3984</v>
      </c>
      <c r="F139" s="1397" t="s">
        <v>3974</v>
      </c>
      <c r="G139" s="1398" t="s">
        <v>3984</v>
      </c>
      <c r="H139" s="1399"/>
      <c r="I139" s="1400"/>
      <c r="J139" s="1398" t="s">
        <v>3974</v>
      </c>
      <c r="K139" s="1400"/>
      <c r="L139" s="1398" t="s">
        <v>3984</v>
      </c>
      <c r="M139" s="1400"/>
      <c r="N139" s="1398" t="s">
        <v>3984</v>
      </c>
      <c r="O139" s="1400"/>
      <c r="P139" s="1401" t="s">
        <v>4002</v>
      </c>
      <c r="Q139" s="1402"/>
      <c r="R139" s="1403">
        <v>0</v>
      </c>
      <c r="S139" s="1404"/>
    </row>
    <row r="140" spans="1:19" s="449" customFormat="1" ht="13.9" customHeight="1">
      <c r="A140" s="841" t="s">
        <v>3297</v>
      </c>
      <c r="B140" s="842"/>
      <c r="C140" s="842"/>
      <c r="D140" s="504"/>
      <c r="E140" s="1405" t="s">
        <v>3984</v>
      </c>
      <c r="F140" s="1405" t="s">
        <v>3974</v>
      </c>
      <c r="G140" s="1406" t="s">
        <v>3984</v>
      </c>
      <c r="H140" s="1407"/>
      <c r="I140" s="1408"/>
      <c r="J140" s="1406" t="s">
        <v>3974</v>
      </c>
      <c r="K140" s="1408"/>
      <c r="L140" s="1406" t="s">
        <v>3984</v>
      </c>
      <c r="M140" s="1408"/>
      <c r="N140" s="1406" t="s">
        <v>3984</v>
      </c>
      <c r="O140" s="1408"/>
      <c r="P140" s="1409" t="s">
        <v>4002</v>
      </c>
      <c r="Q140" s="1410"/>
      <c r="R140" s="1411">
        <v>0</v>
      </c>
      <c r="S140" s="1412"/>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42.6" customHeight="1">
      <c r="A145" s="1363" t="s">
        <v>4003</v>
      </c>
      <c r="B145" s="1364"/>
      <c r="C145" s="1364"/>
      <c r="D145" s="1364"/>
      <c r="E145" s="1364"/>
      <c r="F145" s="1364"/>
      <c r="G145" s="1364"/>
      <c r="H145" s="1364"/>
      <c r="I145" s="1364"/>
      <c r="J145" s="1364"/>
      <c r="K145" s="1364"/>
      <c r="L145" s="1364"/>
      <c r="M145" s="1365"/>
      <c r="N145" s="1366"/>
      <c r="O145" s="1367"/>
      <c r="P145" s="1367"/>
      <c r="Q145" s="1367"/>
      <c r="R145" s="1367"/>
      <c r="S145" s="1368"/>
      <c r="T145" s="886" t="s">
        <v>3964</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13"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2012-028 Veranda at Groveway, Roswell, Fulton County</v>
      </c>
      <c r="B1" s="946"/>
      <c r="C1" s="946"/>
      <c r="D1" s="946"/>
      <c r="E1" s="946"/>
      <c r="F1" s="946"/>
      <c r="G1" s="946"/>
      <c r="H1" s="946"/>
      <c r="I1" s="946"/>
      <c r="J1" s="946"/>
      <c r="K1" s="946"/>
      <c r="L1" s="946"/>
      <c r="M1" s="946"/>
      <c r="N1" s="946"/>
      <c r="O1" s="946"/>
      <c r="P1" s="946"/>
      <c r="Q1" s="947"/>
      <c r="S1" s="953" t="str">
        <f>$A$1</f>
        <v>PART THREE - SOURCES OF FUNDS  -  2012-028 Veranda at Groveway, Roswell, Fulton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3496</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3863</v>
      </c>
      <c r="T4" s="954"/>
    </row>
    <row r="5" spans="1:20" s="397" customFormat="1" ht="16.899999999999999" customHeight="1">
      <c r="A5" s="846"/>
      <c r="B5" s="1306" t="s">
        <v>3974</v>
      </c>
      <c r="C5" s="828" t="s">
        <v>3390</v>
      </c>
      <c r="D5" s="449"/>
      <c r="E5" s="1306"/>
      <c r="F5" s="829" t="s">
        <v>2494</v>
      </c>
      <c r="G5" s="449"/>
      <c r="J5" s="1414"/>
      <c r="K5" s="1415"/>
      <c r="M5" s="1306"/>
      <c r="N5" s="828" t="s">
        <v>786</v>
      </c>
      <c r="P5" s="1306"/>
      <c r="Q5" s="956" t="s">
        <v>3653</v>
      </c>
      <c r="S5" s="1416"/>
      <c r="T5" s="1417"/>
    </row>
    <row r="6" spans="1:20" s="397" customFormat="1" ht="16.899999999999999" customHeight="1">
      <c r="A6" s="846"/>
      <c r="B6" s="1306"/>
      <c r="C6" s="828" t="s">
        <v>2660</v>
      </c>
      <c r="D6" s="449"/>
      <c r="E6" s="1306"/>
      <c r="F6" s="829" t="s">
        <v>3097</v>
      </c>
      <c r="H6" s="1306"/>
      <c r="I6" s="833" t="s">
        <v>787</v>
      </c>
      <c r="J6" s="1306"/>
      <c r="K6" s="833" t="s">
        <v>2140</v>
      </c>
      <c r="M6" s="1306" t="s">
        <v>3974</v>
      </c>
      <c r="N6" s="829" t="s">
        <v>785</v>
      </c>
      <c r="Q6" s="956"/>
      <c r="S6" s="1418"/>
      <c r="T6" s="1419"/>
    </row>
    <row r="7" spans="1:20" s="397" customFormat="1" ht="16.899999999999999" customHeight="1">
      <c r="A7" s="449"/>
      <c r="B7" s="1306"/>
      <c r="C7" s="828" t="s">
        <v>2661</v>
      </c>
      <c r="E7" s="1306"/>
      <c r="F7" s="829" t="s">
        <v>3096</v>
      </c>
      <c r="G7" s="449"/>
      <c r="H7" s="1306"/>
      <c r="I7" s="955" t="s">
        <v>3651</v>
      </c>
      <c r="J7" s="1306"/>
      <c r="K7" s="956" t="s">
        <v>3650</v>
      </c>
      <c r="L7" s="957"/>
      <c r="M7" s="1306"/>
      <c r="N7" s="455" t="s">
        <v>3652</v>
      </c>
      <c r="Q7" s="958"/>
      <c r="S7" s="1418"/>
      <c r="T7" s="1419"/>
    </row>
    <row r="8" spans="1:20" s="397" customFormat="1" ht="16.899999999999999" customHeight="1">
      <c r="A8" s="846"/>
      <c r="B8" s="1306"/>
      <c r="C8" s="833" t="s">
        <v>3638</v>
      </c>
      <c r="D8" s="449"/>
      <c r="E8" s="1306"/>
      <c r="F8" s="477" t="s">
        <v>3639</v>
      </c>
      <c r="I8" s="955"/>
      <c r="K8" s="956"/>
      <c r="L8" s="957"/>
      <c r="M8" s="1306" t="s">
        <v>3974</v>
      </c>
      <c r="N8" s="1292" t="s">
        <v>4028</v>
      </c>
      <c r="O8" s="1293"/>
      <c r="P8" s="1293"/>
      <c r="Q8" s="1294"/>
      <c r="S8" s="1420"/>
      <c r="T8" s="1421"/>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3268</v>
      </c>
      <c r="C11" s="449"/>
      <c r="D11" s="833"/>
      <c r="E11" s="449"/>
      <c r="F11" s="449"/>
      <c r="G11" s="449"/>
      <c r="H11" s="397"/>
      <c r="I11" s="397"/>
      <c r="J11" s="452"/>
      <c r="K11" s="449"/>
      <c r="L11" s="449"/>
      <c r="M11" s="833"/>
      <c r="N11" s="894"/>
      <c r="O11" s="894"/>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8" t="s">
        <v>2743</v>
      </c>
      <c r="C13" s="449"/>
      <c r="D13" s="449"/>
      <c r="E13" s="449"/>
      <c r="F13" s="449"/>
      <c r="G13" s="449"/>
      <c r="H13" s="977" t="s">
        <v>1864</v>
      </c>
      <c r="I13" s="977"/>
      <c r="J13" s="977"/>
      <c r="K13" s="977"/>
      <c r="L13" s="892" t="s">
        <v>2870</v>
      </c>
      <c r="M13" s="892"/>
      <c r="N13" s="892" t="s">
        <v>2108</v>
      </c>
      <c r="O13" s="892"/>
      <c r="P13" s="892" t="s">
        <v>2381</v>
      </c>
      <c r="Q13" s="892"/>
      <c r="S13" s="954" t="s">
        <v>3863</v>
      </c>
      <c r="T13" s="954"/>
    </row>
    <row r="14" spans="1:20" s="397" customFormat="1" ht="16.899999999999999" customHeight="1">
      <c r="A14" s="449"/>
      <c r="B14" s="961" t="s">
        <v>2195</v>
      </c>
      <c r="C14" s="962"/>
      <c r="D14" s="962"/>
      <c r="E14" s="835"/>
      <c r="F14" s="835"/>
      <c r="G14" s="835"/>
      <c r="H14" s="1292" t="s">
        <v>4048</v>
      </c>
      <c r="I14" s="1293"/>
      <c r="J14" s="1293"/>
      <c r="K14" s="1294"/>
      <c r="L14" s="1422">
        <v>3800000</v>
      </c>
      <c r="M14" s="1423"/>
      <c r="N14" s="1424">
        <v>3.7499999999999999E-2</v>
      </c>
      <c r="O14" s="1425"/>
      <c r="P14" s="1426">
        <v>18</v>
      </c>
      <c r="Q14" s="1427"/>
      <c r="S14" s="1416"/>
      <c r="T14" s="1417"/>
    </row>
    <row r="15" spans="1:20" s="397" customFormat="1" ht="16.899999999999999" customHeight="1">
      <c r="A15" s="449"/>
      <c r="B15" s="959" t="s">
        <v>2196</v>
      </c>
      <c r="C15" s="960"/>
      <c r="D15" s="960"/>
      <c r="E15" s="833"/>
      <c r="F15" s="833"/>
      <c r="G15" s="833"/>
      <c r="H15" s="1292" t="s">
        <v>4086</v>
      </c>
      <c r="I15" s="1293"/>
      <c r="J15" s="1293"/>
      <c r="K15" s="1294"/>
      <c r="L15" s="1422">
        <v>877587</v>
      </c>
      <c r="M15" s="1423"/>
      <c r="N15" s="1424">
        <v>5.0000000000000001E-3</v>
      </c>
      <c r="O15" s="1425"/>
      <c r="P15" s="1428">
        <v>24</v>
      </c>
      <c r="Q15" s="1429"/>
      <c r="S15" s="1418"/>
      <c r="T15" s="1419"/>
    </row>
    <row r="16" spans="1:20" s="397" customFormat="1" ht="16.899999999999999" customHeight="1">
      <c r="A16" s="449"/>
      <c r="B16" s="966" t="s">
        <v>2197</v>
      </c>
      <c r="C16" s="967"/>
      <c r="D16" s="967"/>
      <c r="E16" s="842"/>
      <c r="F16" s="842"/>
      <c r="G16" s="842"/>
      <c r="H16" s="1292"/>
      <c r="I16" s="1293"/>
      <c r="J16" s="1293"/>
      <c r="K16" s="1294"/>
      <c r="L16" s="1422"/>
      <c r="M16" s="1423"/>
      <c r="N16" s="1424"/>
      <c r="O16" s="1425"/>
      <c r="P16" s="1428"/>
      <c r="Q16" s="1429"/>
      <c r="S16" s="1418"/>
      <c r="T16" s="1419"/>
    </row>
    <row r="17" spans="1:20" s="397" customFormat="1" ht="16.899999999999999" customHeight="1">
      <c r="A17" s="449"/>
      <c r="B17" s="961" t="s">
        <v>3116</v>
      </c>
      <c r="C17" s="962"/>
      <c r="D17" s="962"/>
      <c r="E17" s="833"/>
      <c r="F17" s="833"/>
      <c r="G17" s="833"/>
      <c r="H17" s="1292"/>
      <c r="I17" s="1293"/>
      <c r="J17" s="1293"/>
      <c r="K17" s="1294"/>
      <c r="L17" s="1422"/>
      <c r="M17" s="1423"/>
      <c r="N17" s="963"/>
      <c r="O17" s="964"/>
      <c r="P17" s="965"/>
      <c r="Q17" s="965"/>
      <c r="S17" s="1418"/>
      <c r="T17" s="1419"/>
    </row>
    <row r="18" spans="1:20" s="397" customFormat="1" ht="16.899999999999999" customHeight="1">
      <c r="A18" s="449"/>
      <c r="B18" s="959" t="s">
        <v>1287</v>
      </c>
      <c r="C18" s="960"/>
      <c r="D18" s="960"/>
      <c r="E18" s="833"/>
      <c r="H18" s="1292"/>
      <c r="I18" s="1293"/>
      <c r="J18" s="1293"/>
      <c r="K18" s="1294"/>
      <c r="L18" s="1422"/>
      <c r="M18" s="1423"/>
      <c r="N18" s="963"/>
      <c r="O18" s="964"/>
      <c r="P18" s="965"/>
      <c r="Q18" s="965"/>
      <c r="S18" s="1418"/>
      <c r="T18" s="1419"/>
    </row>
    <row r="19" spans="1:20" s="397" customFormat="1" ht="16.899999999999999" customHeight="1">
      <c r="A19" s="449"/>
      <c r="B19" s="959" t="s">
        <v>900</v>
      </c>
      <c r="C19" s="960"/>
      <c r="D19" s="960"/>
      <c r="E19" s="833"/>
      <c r="H19" s="1292" t="s">
        <v>3975</v>
      </c>
      <c r="I19" s="1293"/>
      <c r="J19" s="1293"/>
      <c r="K19" s="1294"/>
      <c r="L19" s="1422">
        <v>164475.5</v>
      </c>
      <c r="M19" s="1423"/>
      <c r="N19" s="963"/>
      <c r="O19" s="964"/>
      <c r="P19" s="965"/>
      <c r="Q19" s="965"/>
      <c r="S19" s="1418"/>
      <c r="T19" s="1419"/>
    </row>
    <row r="20" spans="1:20" s="397" customFormat="1" ht="16.899999999999999" customHeight="1">
      <c r="A20" s="449"/>
      <c r="B20" s="959" t="s">
        <v>1288</v>
      </c>
      <c r="C20" s="960"/>
      <c r="D20" s="960"/>
      <c r="E20" s="833"/>
      <c r="H20" s="1292" t="s">
        <v>4088</v>
      </c>
      <c r="I20" s="1293"/>
      <c r="J20" s="1293"/>
      <c r="K20" s="1294"/>
      <c r="L20" s="1422">
        <v>3814743.8</v>
      </c>
      <c r="M20" s="1423"/>
      <c r="N20" s="449"/>
      <c r="O20" s="449"/>
      <c r="P20" s="449"/>
      <c r="Q20" s="449"/>
      <c r="S20" s="1420"/>
      <c r="T20" s="1421"/>
    </row>
    <row r="21" spans="1:20" s="397" customFormat="1" ht="16.899999999999999" customHeight="1">
      <c r="A21" s="449"/>
      <c r="B21" s="959" t="s">
        <v>1289</v>
      </c>
      <c r="C21" s="960"/>
      <c r="D21" s="960"/>
      <c r="E21" s="833"/>
      <c r="H21" s="1292" t="s">
        <v>4088</v>
      </c>
      <c r="I21" s="1293"/>
      <c r="J21" s="1293"/>
      <c r="K21" s="1294"/>
      <c r="L21" s="1422">
        <v>1242134</v>
      </c>
      <c r="M21" s="1423"/>
      <c r="N21" s="449"/>
      <c r="O21" s="449"/>
      <c r="P21" s="449"/>
      <c r="Q21" s="449"/>
      <c r="S21" s="1416"/>
      <c r="T21" s="1417"/>
    </row>
    <row r="22" spans="1:20" s="397" customFormat="1" ht="16.899999999999999" customHeight="1">
      <c r="A22" s="449"/>
      <c r="B22" s="832" t="s">
        <v>289</v>
      </c>
      <c r="C22" s="833"/>
      <c r="D22" s="1430"/>
      <c r="E22" s="1430"/>
      <c r="F22" s="1430"/>
      <c r="G22" s="1430"/>
      <c r="H22" s="1292"/>
      <c r="I22" s="1293"/>
      <c r="J22" s="1293"/>
      <c r="K22" s="1294"/>
      <c r="L22" s="1422"/>
      <c r="M22" s="1423"/>
      <c r="N22" s="449"/>
      <c r="O22" s="449"/>
      <c r="P22" s="449"/>
      <c r="Q22" s="449"/>
      <c r="S22" s="1418"/>
      <c r="T22" s="1419"/>
    </row>
    <row r="23" spans="1:20" s="397" customFormat="1" ht="16.899999999999999" customHeight="1">
      <c r="A23" s="449"/>
      <c r="B23" s="832" t="s">
        <v>289</v>
      </c>
      <c r="C23" s="833"/>
      <c r="D23" s="1430"/>
      <c r="E23" s="1430"/>
      <c r="F23" s="1430"/>
      <c r="G23" s="1430"/>
      <c r="H23" s="1292"/>
      <c r="I23" s="1293"/>
      <c r="J23" s="1293"/>
      <c r="K23" s="1294"/>
      <c r="L23" s="1422"/>
      <c r="M23" s="1423"/>
      <c r="N23" s="449"/>
      <c r="O23" s="449"/>
      <c r="P23" s="449"/>
      <c r="Q23" s="449"/>
      <c r="S23" s="1418"/>
      <c r="T23" s="1419"/>
    </row>
    <row r="24" spans="1:20" s="397" customFormat="1" ht="16.899999999999999" customHeight="1">
      <c r="A24" s="449"/>
      <c r="B24" s="841" t="s">
        <v>289</v>
      </c>
      <c r="C24" s="842"/>
      <c r="D24" s="1430"/>
      <c r="E24" s="1430"/>
      <c r="F24" s="1430"/>
      <c r="G24" s="1430"/>
      <c r="H24" s="1292"/>
      <c r="I24" s="1293"/>
      <c r="J24" s="1293"/>
      <c r="K24" s="1294"/>
      <c r="L24" s="1422"/>
      <c r="M24" s="1423"/>
      <c r="N24" s="449"/>
      <c r="O24" s="449"/>
      <c r="P24" s="449"/>
      <c r="Q24" s="449"/>
      <c r="S24" s="1418"/>
      <c r="T24" s="1419"/>
    </row>
    <row r="25" spans="1:20" s="397" customFormat="1" ht="16.899999999999999" customHeight="1">
      <c r="A25" s="449"/>
      <c r="B25" s="394" t="s">
        <v>1865</v>
      </c>
      <c r="C25" s="449"/>
      <c r="D25" s="449"/>
      <c r="E25" s="449"/>
      <c r="F25" s="449"/>
      <c r="G25" s="449"/>
      <c r="H25" s="449"/>
      <c r="I25" s="449"/>
      <c r="L25" s="982">
        <f>SUM(L14:L24)</f>
        <v>9898940.3000000007</v>
      </c>
      <c r="M25" s="983"/>
      <c r="N25" s="472"/>
      <c r="O25" s="472"/>
      <c r="P25" s="472"/>
      <c r="Q25" s="472"/>
      <c r="S25" s="1418"/>
      <c r="T25" s="1419"/>
    </row>
    <row r="26" spans="1:20" s="397" customFormat="1" ht="16.899999999999999" customHeight="1">
      <c r="A26" s="449"/>
      <c r="B26" s="828" t="s">
        <v>1866</v>
      </c>
      <c r="C26" s="449"/>
      <c r="D26" s="449"/>
      <c r="E26" s="449"/>
      <c r="F26" s="449"/>
      <c r="G26" s="449"/>
      <c r="H26" s="449"/>
      <c r="I26" s="449"/>
      <c r="L26" s="1431">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9898940</v>
      </c>
      <c r="M26" s="1432"/>
      <c r="N26" s="980"/>
      <c r="O26" s="981"/>
      <c r="P26" s="981"/>
      <c r="Q26" s="981"/>
      <c r="S26" s="1418"/>
      <c r="T26" s="1419"/>
    </row>
    <row r="27" spans="1:20" s="397" customFormat="1" ht="16.899999999999999" customHeight="1">
      <c r="A27" s="449"/>
      <c r="B27" s="455" t="s">
        <v>3048</v>
      </c>
      <c r="C27" s="449"/>
      <c r="D27" s="449"/>
      <c r="E27" s="449"/>
      <c r="F27" s="449"/>
      <c r="G27" s="449"/>
      <c r="H27" s="449"/>
      <c r="I27" s="449"/>
      <c r="L27" s="984">
        <f>L25-L26</f>
        <v>0.30000000074505806</v>
      </c>
      <c r="M27" s="985"/>
      <c r="N27" s="980"/>
      <c r="O27" s="981"/>
      <c r="P27" s="981"/>
      <c r="Q27" s="981"/>
      <c r="S27" s="1420"/>
      <c r="T27" s="1421"/>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900" t="s">
        <v>39</v>
      </c>
      <c r="N30" s="900"/>
      <c r="O30" s="830"/>
      <c r="P30" s="839"/>
      <c r="Q30" s="975" t="s">
        <v>3265</v>
      </c>
      <c r="S30" s="507"/>
    </row>
    <row r="31" spans="1:20" s="397" customFormat="1" ht="13.15" customHeight="1">
      <c r="A31" s="449"/>
      <c r="B31" s="838" t="s">
        <v>2743</v>
      </c>
      <c r="C31" s="842"/>
      <c r="D31" s="842"/>
      <c r="E31" s="960" t="s">
        <v>1864</v>
      </c>
      <c r="F31" s="960"/>
      <c r="G31" s="960"/>
      <c r="H31" s="892" t="s">
        <v>676</v>
      </c>
      <c r="I31" s="892"/>
      <c r="J31" s="827" t="s">
        <v>2667</v>
      </c>
      <c r="K31" s="827" t="s">
        <v>3115</v>
      </c>
      <c r="L31" s="827" t="s">
        <v>3115</v>
      </c>
      <c r="M31" s="1433"/>
      <c r="N31" s="1433"/>
      <c r="O31" s="892" t="s">
        <v>80</v>
      </c>
      <c r="P31" s="892"/>
      <c r="Q31" s="976"/>
      <c r="S31" s="954" t="s">
        <v>3863</v>
      </c>
      <c r="T31" s="954"/>
    </row>
    <row r="32" spans="1:20" s="397" customFormat="1" ht="13.15" customHeight="1">
      <c r="A32" s="449"/>
      <c r="B32" s="961" t="s">
        <v>3661</v>
      </c>
      <c r="C32" s="962"/>
      <c r="D32" s="962"/>
      <c r="E32" s="1434" t="s">
        <v>4048</v>
      </c>
      <c r="F32" s="1435"/>
      <c r="G32" s="1436"/>
      <c r="H32" s="1437">
        <v>3800000</v>
      </c>
      <c r="I32" s="1438"/>
      <c r="J32" s="1439">
        <v>3.7499999999999999E-2</v>
      </c>
      <c r="K32" s="1306">
        <v>40</v>
      </c>
      <c r="L32" s="1306">
        <v>40</v>
      </c>
      <c r="M32" s="1440">
        <f t="shared" ref="M32:M36" si="0">IF(OR(H32&lt;=0,H32=""),"",IF(O32="Amortizing",-PMT(J32/12,L32*12,H32,0,0)*12,""))</f>
        <v>183551.85875759445</v>
      </c>
      <c r="N32" s="1441"/>
      <c r="O32" s="1286" t="s">
        <v>3976</v>
      </c>
      <c r="P32" s="1287"/>
      <c r="Q32" s="1442">
        <v>1.1499999999999999</v>
      </c>
      <c r="S32" s="1416"/>
      <c r="T32" s="1417"/>
    </row>
    <row r="33" spans="1:20" s="397" customFormat="1" ht="13.15" customHeight="1">
      <c r="A33" s="449"/>
      <c r="B33" s="959" t="s">
        <v>3662</v>
      </c>
      <c r="C33" s="960"/>
      <c r="D33" s="960"/>
      <c r="E33" s="1297" t="s">
        <v>4086</v>
      </c>
      <c r="F33" s="1443"/>
      <c r="G33" s="1444"/>
      <c r="H33" s="1445">
        <v>877587</v>
      </c>
      <c r="I33" s="1438"/>
      <c r="J33" s="1439">
        <v>5.0000000000000001E-3</v>
      </c>
      <c r="K33" s="1306">
        <f>53</f>
        <v>53</v>
      </c>
      <c r="L33" s="1306" t="s">
        <v>1469</v>
      </c>
      <c r="M33" s="1440" t="str">
        <f t="shared" si="0"/>
        <v/>
      </c>
      <c r="N33" s="1441"/>
      <c r="O33" s="1286" t="s">
        <v>1687</v>
      </c>
      <c r="P33" s="1287"/>
      <c r="Q33" s="1442" t="s">
        <v>1469</v>
      </c>
      <c r="S33" s="1418"/>
      <c r="T33" s="1419"/>
    </row>
    <row r="34" spans="1:20" s="397" customFormat="1" ht="13.15" customHeight="1">
      <c r="A34" s="449"/>
      <c r="B34" s="959" t="s">
        <v>3663</v>
      </c>
      <c r="C34" s="960"/>
      <c r="D34" s="960"/>
      <c r="E34" s="1292"/>
      <c r="F34" s="1446"/>
      <c r="G34" s="1438"/>
      <c r="H34" s="1445"/>
      <c r="I34" s="1438"/>
      <c r="J34" s="1439"/>
      <c r="K34" s="1306"/>
      <c r="L34" s="1306"/>
      <c r="M34" s="1440" t="str">
        <f t="shared" si="0"/>
        <v/>
      </c>
      <c r="N34" s="1441"/>
      <c r="O34" s="1286"/>
      <c r="P34" s="1287"/>
      <c r="Q34" s="1442"/>
      <c r="S34" s="1418"/>
      <c r="T34" s="1419"/>
    </row>
    <row r="35" spans="1:20" s="397" customFormat="1" ht="13.15" customHeight="1">
      <c r="A35" s="449"/>
      <c r="B35" s="832" t="s">
        <v>1137</v>
      </c>
      <c r="C35" s="1286"/>
      <c r="D35" s="1287"/>
      <c r="E35" s="1292"/>
      <c r="F35" s="1446"/>
      <c r="G35" s="1438"/>
      <c r="H35" s="1445"/>
      <c r="I35" s="1438"/>
      <c r="J35" s="1439"/>
      <c r="K35" s="1306"/>
      <c r="L35" s="1306"/>
      <c r="M35" s="1440" t="str">
        <f t="shared" si="0"/>
        <v/>
      </c>
      <c r="N35" s="1441"/>
      <c r="O35" s="1286"/>
      <c r="P35" s="1287"/>
      <c r="Q35" s="1442"/>
      <c r="S35" s="1418"/>
      <c r="T35" s="1419"/>
    </row>
    <row r="36" spans="1:20" s="397" customFormat="1" ht="13.15" customHeight="1">
      <c r="A36" s="449"/>
      <c r="B36" s="832" t="s">
        <v>1949</v>
      </c>
      <c r="C36" s="833"/>
      <c r="D36" s="837"/>
      <c r="E36" s="1292"/>
      <c r="F36" s="1446"/>
      <c r="G36" s="1438"/>
      <c r="H36" s="1445"/>
      <c r="I36" s="1438"/>
      <c r="J36" s="790"/>
      <c r="K36" s="831"/>
      <c r="L36" s="831"/>
      <c r="M36" s="992" t="str">
        <f t="shared" si="0"/>
        <v/>
      </c>
      <c r="N36" s="992"/>
      <c r="O36" s="991"/>
      <c r="P36" s="991"/>
      <c r="Q36" s="791"/>
      <c r="S36" s="1418"/>
      <c r="T36" s="1419"/>
    </row>
    <row r="37" spans="1:20" s="397" customFormat="1" ht="13.15" customHeight="1">
      <c r="A37" s="449"/>
      <c r="B37" s="841" t="s">
        <v>272</v>
      </c>
      <c r="C37" s="842"/>
      <c r="D37" s="543">
        <f>IF(OR(H37="",H37=0,'Part IV-Uses of Funds'!$G$109="",'Part IV-Uses of Funds'!$G$109=0),"",H37/'Part IV-Uses of Funds'!$G$109)</f>
        <v>0.10051911033753172</v>
      </c>
      <c r="E37" s="1292" t="s">
        <v>3975</v>
      </c>
      <c r="F37" s="1446"/>
      <c r="G37" s="1438"/>
      <c r="H37" s="1445">
        <v>164475.5</v>
      </c>
      <c r="I37" s="1438"/>
      <c r="J37" s="1439">
        <v>2.8899999999999999E-2</v>
      </c>
      <c r="K37" s="1306">
        <v>15</v>
      </c>
      <c r="L37" s="1306">
        <v>15</v>
      </c>
      <c r="M37" s="1440">
        <f>IF(OR(H37&lt;=0,H37=""),"",IF(O37="Amortizing",-PMT(J37/12,L37*12,H37,0,0)*12,""))</f>
        <v>13525.877281010773</v>
      </c>
      <c r="N37" s="1441"/>
      <c r="O37" s="1286" t="s">
        <v>3976</v>
      </c>
      <c r="P37" s="1287"/>
      <c r="Q37" s="1442" t="s">
        <v>1469</v>
      </c>
      <c r="S37" s="1418"/>
      <c r="T37" s="1419"/>
    </row>
    <row r="38" spans="1:20" s="397" customFormat="1" ht="13.15" customHeight="1">
      <c r="A38" s="449"/>
      <c r="B38" s="961" t="s">
        <v>3116</v>
      </c>
      <c r="C38" s="962"/>
      <c r="D38" s="986"/>
      <c r="E38" s="1292"/>
      <c r="F38" s="1446"/>
      <c r="G38" s="1438"/>
      <c r="H38" s="1447"/>
      <c r="I38" s="1448"/>
      <c r="K38" s="544"/>
      <c r="L38" s="544"/>
      <c r="M38" s="544"/>
      <c r="N38" s="544"/>
      <c r="O38" s="544"/>
      <c r="P38" s="544"/>
      <c r="Q38" s="544"/>
      <c r="S38" s="1416"/>
      <c r="T38" s="1417"/>
    </row>
    <row r="39" spans="1:20" s="397" customFormat="1" ht="13.15" customHeight="1">
      <c r="A39" s="449"/>
      <c r="B39" s="959" t="s">
        <v>1287</v>
      </c>
      <c r="C39" s="960"/>
      <c r="D39" s="968"/>
      <c r="E39" s="1292"/>
      <c r="F39" s="1446"/>
      <c r="G39" s="1438"/>
      <c r="H39" s="1447"/>
      <c r="I39" s="1448"/>
      <c r="J39" s="971" t="s">
        <v>752</v>
      </c>
      <c r="K39" s="972"/>
      <c r="L39" s="970" t="s">
        <v>753</v>
      </c>
      <c r="M39" s="970"/>
      <c r="O39" s="625" t="s">
        <v>751</v>
      </c>
      <c r="P39" s="545"/>
      <c r="Q39" s="544"/>
      <c r="S39" s="1418"/>
      <c r="T39" s="1419"/>
    </row>
    <row r="40" spans="1:20" s="397" customFormat="1" ht="13.15" customHeight="1">
      <c r="A40" s="449"/>
      <c r="B40" s="959" t="s">
        <v>1288</v>
      </c>
      <c r="C40" s="960"/>
      <c r="D40" s="968"/>
      <c r="E40" s="1292" t="s">
        <v>4088</v>
      </c>
      <c r="F40" s="1293"/>
      <c r="G40" s="1294"/>
      <c r="H40" s="1445">
        <v>6153585</v>
      </c>
      <c r="I40" s="1449"/>
      <c r="J40" s="973">
        <f>'Part IV-Uses of Funds'!$J$165*10*'Part IV-Uses of Funds'!$N$158</f>
        <v>6154201.8660450587</v>
      </c>
      <c r="K40" s="974"/>
      <c r="L40" s="969">
        <f>H40-J40</f>
        <v>-616.86604505870491</v>
      </c>
      <c r="M40" s="969"/>
      <c r="O40" s="626" t="s">
        <v>3588</v>
      </c>
      <c r="P40" s="545"/>
      <c r="Q40" s="544"/>
      <c r="S40" s="1418"/>
      <c r="T40" s="1419"/>
    </row>
    <row r="41" spans="1:20" s="397" customFormat="1" ht="13.15" customHeight="1">
      <c r="A41" s="449"/>
      <c r="B41" s="959" t="s">
        <v>1289</v>
      </c>
      <c r="C41" s="960"/>
      <c r="D41" s="968"/>
      <c r="E41" s="1292" t="s">
        <v>4088</v>
      </c>
      <c r="F41" s="1293"/>
      <c r="G41" s="1294"/>
      <c r="H41" s="1445">
        <v>2003693.65</v>
      </c>
      <c r="I41" s="1449"/>
      <c r="J41" s="973">
        <f>'Part IV-Uses of Funds'!$J$165*10*'Part IV-Uses of Funds'!$Q$158</f>
        <v>2003693.6308053681</v>
      </c>
      <c r="K41" s="974"/>
      <c r="L41" s="969">
        <f>H41-J41</f>
        <v>1.9194631837308407E-2</v>
      </c>
      <c r="M41" s="969"/>
      <c r="O41" s="627">
        <f>H40/H50</f>
        <v>0.47337668886445861</v>
      </c>
      <c r="P41" s="545"/>
      <c r="Q41" s="544"/>
      <c r="S41" s="1418"/>
      <c r="T41" s="1419"/>
    </row>
    <row r="42" spans="1:20" s="397" customFormat="1" ht="13.15" customHeight="1">
      <c r="A42" s="449"/>
      <c r="B42" s="959" t="s">
        <v>1984</v>
      </c>
      <c r="C42" s="960"/>
      <c r="D42" s="968"/>
      <c r="E42" s="1292"/>
      <c r="F42" s="1293"/>
      <c r="G42" s="1294"/>
      <c r="H42" s="1445"/>
      <c r="I42" s="1449"/>
      <c r="M42" s="545"/>
      <c r="O42" s="627">
        <f>H41/H50</f>
        <v>0.15413809438493842</v>
      </c>
      <c r="P42" s="545"/>
      <c r="Q42" s="544"/>
      <c r="S42" s="1420"/>
      <c r="T42" s="1421"/>
    </row>
    <row r="43" spans="1:20" s="397" customFormat="1" ht="13.15" customHeight="1">
      <c r="A43" s="449"/>
      <c r="B43" s="832" t="s">
        <v>767</v>
      </c>
      <c r="C43" s="833"/>
      <c r="D43" s="837"/>
      <c r="E43" s="1292"/>
      <c r="F43" s="1293"/>
      <c r="G43" s="1294"/>
      <c r="H43" s="1445"/>
      <c r="I43" s="1449"/>
      <c r="K43" s="449"/>
      <c r="L43" s="449"/>
      <c r="M43" s="545"/>
      <c r="O43" s="628">
        <f>SUM(O41:O42)</f>
        <v>0.62751478324939702</v>
      </c>
      <c r="P43" s="545"/>
      <c r="Q43" s="544"/>
      <c r="S43" s="1418"/>
      <c r="T43" s="1419"/>
    </row>
    <row r="44" spans="1:20" s="397" customFormat="1" ht="13.15" customHeight="1">
      <c r="A44" s="449"/>
      <c r="B44" s="832" t="s">
        <v>2741</v>
      </c>
      <c r="C44" s="833"/>
      <c r="D44" s="837"/>
      <c r="E44" s="1292"/>
      <c r="F44" s="1293"/>
      <c r="G44" s="1294"/>
      <c r="H44" s="1445"/>
      <c r="I44" s="1449"/>
      <c r="J44" s="449"/>
      <c r="M44" s="545"/>
      <c r="N44" s="545"/>
      <c r="O44" s="545"/>
      <c r="P44" s="545"/>
      <c r="Q44" s="544"/>
      <c r="S44" s="1418"/>
      <c r="T44" s="1419"/>
    </row>
    <row r="45" spans="1:20" s="397" customFormat="1" ht="13.15" customHeight="1">
      <c r="A45" s="449"/>
      <c r="B45" s="832" t="s">
        <v>2742</v>
      </c>
      <c r="C45" s="833"/>
      <c r="D45" s="837"/>
      <c r="E45" s="1292"/>
      <c r="F45" s="1293"/>
      <c r="G45" s="1294"/>
      <c r="H45" s="1445"/>
      <c r="I45" s="1449"/>
      <c r="J45" s="449"/>
      <c r="M45" s="545"/>
      <c r="N45" s="545"/>
      <c r="O45" s="545"/>
      <c r="P45" s="545"/>
      <c r="Q45" s="544"/>
      <c r="S45" s="1418"/>
      <c r="T45" s="1419"/>
    </row>
    <row r="46" spans="1:20" s="397" customFormat="1" ht="13.15" customHeight="1">
      <c r="A46" s="449"/>
      <c r="B46" s="832" t="s">
        <v>1137</v>
      </c>
      <c r="C46" s="1292"/>
      <c r="D46" s="1294"/>
      <c r="E46" s="1292"/>
      <c r="F46" s="1293"/>
      <c r="G46" s="1294"/>
      <c r="H46" s="1445"/>
      <c r="I46" s="1449"/>
      <c r="J46" s="449"/>
      <c r="M46" s="545"/>
      <c r="N46" s="545"/>
      <c r="O46" s="545"/>
      <c r="P46" s="545"/>
      <c r="Q46" s="544"/>
      <c r="S46" s="1418"/>
      <c r="T46" s="1419"/>
    </row>
    <row r="47" spans="1:20" s="397" customFormat="1" ht="13.15" customHeight="1">
      <c r="A47" s="449"/>
      <c r="B47" s="832" t="s">
        <v>1137</v>
      </c>
      <c r="C47" s="1292"/>
      <c r="D47" s="1294"/>
      <c r="E47" s="1292"/>
      <c r="F47" s="1293"/>
      <c r="G47" s="1294"/>
      <c r="H47" s="1445"/>
      <c r="I47" s="1449"/>
      <c r="J47" s="449"/>
      <c r="K47" s="449"/>
      <c r="L47" s="546"/>
      <c r="M47" s="545"/>
      <c r="N47" s="545"/>
      <c r="O47" s="545"/>
      <c r="P47" s="545"/>
      <c r="Q47" s="544"/>
      <c r="S47" s="1418"/>
      <c r="T47" s="1419"/>
    </row>
    <row r="48" spans="1:20" s="397" customFormat="1" ht="13.15" customHeight="1">
      <c r="A48" s="449"/>
      <c r="B48" s="841" t="s">
        <v>1137</v>
      </c>
      <c r="C48" s="1292"/>
      <c r="D48" s="1294"/>
      <c r="E48" s="1292"/>
      <c r="F48" s="1293"/>
      <c r="G48" s="1294"/>
      <c r="H48" s="1445"/>
      <c r="I48" s="1449"/>
      <c r="J48" s="449"/>
      <c r="K48" s="449"/>
      <c r="L48" s="546"/>
      <c r="M48" s="545"/>
      <c r="N48" s="545"/>
      <c r="O48" s="545"/>
      <c r="P48" s="545"/>
      <c r="Q48" s="544"/>
      <c r="S48" s="1418"/>
      <c r="T48" s="1419"/>
    </row>
    <row r="49" spans="1:23" s="397" customFormat="1" ht="13.15" customHeight="1">
      <c r="A49" s="449"/>
      <c r="B49" s="828" t="s">
        <v>3117</v>
      </c>
      <c r="C49" s="449"/>
      <c r="D49" s="449"/>
      <c r="E49" s="449"/>
      <c r="F49" s="449"/>
      <c r="G49" s="449"/>
      <c r="H49" s="989">
        <f>SUM(H32:I48)</f>
        <v>12999341.15</v>
      </c>
      <c r="I49" s="990"/>
      <c r="J49" s="472"/>
      <c r="K49" s="449"/>
      <c r="L49" s="546"/>
      <c r="M49" s="545"/>
      <c r="N49" s="545"/>
      <c r="O49" s="545"/>
      <c r="P49" s="545"/>
      <c r="Q49" s="544"/>
      <c r="S49" s="1418"/>
      <c r="T49" s="1419"/>
    </row>
    <row r="50" spans="1:23" s="397" customFormat="1" ht="13.15" customHeight="1" thickBot="1">
      <c r="A50" s="449"/>
      <c r="B50" s="828" t="s">
        <v>3118</v>
      </c>
      <c r="C50" s="449"/>
      <c r="D50" s="449"/>
      <c r="E50" s="449"/>
      <c r="F50" s="449"/>
      <c r="G50" s="449"/>
      <c r="H50" s="987">
        <f>'Part IV-Uses of Funds'!$G$123</f>
        <v>12999341</v>
      </c>
      <c r="I50" s="988"/>
      <c r="J50" s="472"/>
      <c r="K50" s="449"/>
      <c r="L50" s="546"/>
      <c r="M50" s="545"/>
      <c r="N50" s="545"/>
      <c r="O50" s="545"/>
      <c r="P50" s="545"/>
      <c r="Q50" s="544"/>
      <c r="S50" s="1418"/>
      <c r="T50" s="1419"/>
    </row>
    <row r="51" spans="1:23" s="397" customFormat="1" ht="13.15" customHeight="1" thickBot="1">
      <c r="A51" s="449"/>
      <c r="B51" s="455" t="s">
        <v>2126</v>
      </c>
      <c r="C51" s="449"/>
      <c r="D51" s="449"/>
      <c r="E51" s="449"/>
      <c r="F51" s="449"/>
      <c r="G51" s="449"/>
      <c r="H51" s="978">
        <f>H49-H50</f>
        <v>0.15000000037252903</v>
      </c>
      <c r="I51" s="979"/>
      <c r="J51" s="472"/>
      <c r="K51" s="449"/>
      <c r="L51" s="546"/>
      <c r="M51" s="545"/>
      <c r="N51" s="545"/>
      <c r="O51" s="545"/>
      <c r="P51" s="545"/>
      <c r="Q51" s="544"/>
      <c r="S51" s="1420"/>
      <c r="T51" s="1421"/>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151.9" customHeight="1">
      <c r="A55" s="1363" t="s">
        <v>4120</v>
      </c>
      <c r="B55" s="1450"/>
      <c r="C55" s="1450"/>
      <c r="D55" s="1450"/>
      <c r="E55" s="1450"/>
      <c r="F55" s="1450"/>
      <c r="G55" s="1450"/>
      <c r="H55" s="1450"/>
      <c r="I55" s="1450"/>
      <c r="J55" s="1451"/>
      <c r="K55" s="1366"/>
      <c r="L55" s="1450"/>
      <c r="M55" s="1450"/>
      <c r="N55" s="1450"/>
      <c r="O55" s="1450"/>
      <c r="P55" s="1450"/>
      <c r="Q55" s="1451"/>
      <c r="S55" s="952" t="s">
        <v>3964</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2012-028 Veranda at Groveway, Roswell, Fulton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3166</v>
      </c>
      <c r="B5" s="40"/>
      <c r="C5" s="370"/>
      <c r="D5" s="371">
        <f>IF(C5&gt;1500000,1500000,0)</f>
        <v>0</v>
      </c>
      <c r="E5" s="372">
        <f>IF(C5&gt;1500000,C5-1500000,0)</f>
        <v>0</v>
      </c>
    </row>
    <row r="6" spans="1:17">
      <c r="A6" s="40" t="s">
        <v>3466</v>
      </c>
      <c r="B6" s="297" t="s">
        <v>699</v>
      </c>
      <c r="C6" s="373">
        <v>0</v>
      </c>
      <c r="D6" s="161" t="s">
        <v>700</v>
      </c>
      <c r="E6" s="40"/>
    </row>
    <row r="7" spans="1:17">
      <c r="A7" s="40"/>
      <c r="B7" s="297" t="s">
        <v>3482</v>
      </c>
      <c r="C7" s="374"/>
      <c r="D7" s="161" t="s">
        <v>2497</v>
      </c>
      <c r="E7" s="40"/>
    </row>
    <row r="8" spans="1:17" ht="13.15" customHeight="1">
      <c r="A8" s="40" t="s">
        <v>3470</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3483</v>
      </c>
      <c r="B16" s="286" t="s">
        <v>3480</v>
      </c>
      <c r="C16" s="286" t="s">
        <v>3481</v>
      </c>
      <c r="D16" s="1004" t="s">
        <v>3165</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2012-028 Veranda at Groveway, Roswell, Fulton County</v>
      </c>
      <c r="B58" s="996"/>
      <c r="C58" s="996"/>
      <c r="D58" s="996"/>
      <c r="E58" s="996"/>
      <c r="F58" s="996"/>
      <c r="G58" s="996" t="str">
        <f>CONCATENATE('Part I-Project Information'!$O$4," ",'Part I-Project Information'!$F$22,", ",'Part I-Project Information'!$F$24,", ",'Part I-Project Information'!$J$25," County")</f>
        <v>2012-028 Veranda at Groveway, Roswell, Fulton County</v>
      </c>
      <c r="H58" s="996"/>
      <c r="I58" s="996"/>
      <c r="J58" s="996"/>
      <c r="K58" s="996"/>
      <c r="L58" s="996"/>
    </row>
    <row r="59" spans="1:12" ht="15">
      <c r="A59" s="993" t="s">
        <v>3474</v>
      </c>
      <c r="B59" s="993"/>
      <c r="C59" s="993"/>
      <c r="D59" s="993"/>
      <c r="E59" s="993"/>
      <c r="F59" s="993"/>
      <c r="G59" s="993" t="s">
        <v>3474</v>
      </c>
      <c r="H59" s="993"/>
      <c r="I59" s="993"/>
      <c r="J59" s="993"/>
      <c r="K59" s="993"/>
      <c r="L59" s="993"/>
    </row>
    <row r="60" spans="1:12" ht="6" customHeight="1">
      <c r="C60" s="270"/>
      <c r="D60" s="270"/>
      <c r="I60" s="270"/>
      <c r="J60" s="270"/>
    </row>
    <row r="61" spans="1:12">
      <c r="A61" s="273" t="s">
        <v>3475</v>
      </c>
      <c r="B61" s="274" t="s">
        <v>3476</v>
      </c>
      <c r="C61" s="274" t="s">
        <v>1861</v>
      </c>
      <c r="D61" s="274" t="s">
        <v>3477</v>
      </c>
      <c r="E61" s="273" t="s">
        <v>3478</v>
      </c>
      <c r="F61" s="307" t="s">
        <v>3483</v>
      </c>
      <c r="G61" s="273" t="s">
        <v>3475</v>
      </c>
      <c r="H61" s="274" t="s">
        <v>3476</v>
      </c>
      <c r="I61" s="274" t="s">
        <v>1861</v>
      </c>
      <c r="J61" s="274" t="s">
        <v>3477</v>
      </c>
      <c r="K61" s="273" t="s">
        <v>3478</v>
      </c>
      <c r="L61" s="307" t="s">
        <v>3483</v>
      </c>
    </row>
    <row r="62" spans="1:12" ht="3.6" customHeight="1">
      <c r="A62" s="276"/>
      <c r="B62" s="160"/>
      <c r="C62" s="160"/>
      <c r="D62" s="160"/>
      <c r="E62" s="160"/>
      <c r="F62" s="108"/>
      <c r="G62" s="276"/>
      <c r="H62" s="160"/>
      <c r="I62" s="160"/>
      <c r="J62" s="160"/>
      <c r="K62" s="160"/>
      <c r="L62" s="108"/>
    </row>
    <row r="63" spans="1:12">
      <c r="A63" s="277" t="s">
        <v>3479</v>
      </c>
      <c r="B63" s="278"/>
      <c r="C63" s="278"/>
      <c r="D63" s="278"/>
      <c r="E63" s="279">
        <f>IF($C$5&gt;1500000,$D$5,$C$5)</f>
        <v>0</v>
      </c>
      <c r="F63" s="108"/>
      <c r="G63" s="277" t="s">
        <v>3479</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G22" sqref="G2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2012-028 Veranda at Groveway, Roswell, Fulton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3166</v>
      </c>
      <c r="D5" s="304">
        <v>3800000</v>
      </c>
      <c r="E5" s="1005" t="s">
        <v>1451</v>
      </c>
      <c r="F5" s="1006"/>
      <c r="G5" s="217"/>
    </row>
    <row r="6" spans="1:17">
      <c r="E6" s="1006"/>
      <c r="F6" s="1006"/>
      <c r="G6" s="217"/>
    </row>
    <row r="7" spans="1:17">
      <c r="A7" s="31" t="s">
        <v>3466</v>
      </c>
      <c r="C7" s="31" t="s">
        <v>3467</v>
      </c>
      <c r="D7" s="305">
        <v>3.5000000000000003E-2</v>
      </c>
      <c r="E7" s="1006"/>
      <c r="F7" s="1006"/>
      <c r="G7" s="217"/>
    </row>
    <row r="8" spans="1:17">
      <c r="C8" s="31" t="s">
        <v>3468</v>
      </c>
      <c r="D8" s="305">
        <v>1.2999999999999999E-3</v>
      </c>
      <c r="E8" s="1006"/>
      <c r="F8" s="1006"/>
      <c r="G8" s="217"/>
    </row>
    <row r="9" spans="1:17">
      <c r="C9" s="31" t="s">
        <v>3469</v>
      </c>
      <c r="D9" s="305">
        <v>1.1999999999999999E-3</v>
      </c>
      <c r="E9" s="1006"/>
      <c r="F9" s="1006"/>
      <c r="G9" s="217"/>
    </row>
    <row r="10" spans="1:17">
      <c r="C10" s="31" t="s">
        <v>3482</v>
      </c>
      <c r="D10" s="318">
        <f>D7+D8+D9</f>
        <v>3.7500000000000006E-2</v>
      </c>
      <c r="E10" s="1006"/>
      <c r="F10" s="1006"/>
      <c r="G10" s="217"/>
    </row>
    <row r="11" spans="1:17">
      <c r="F11" s="217"/>
      <c r="G11" s="217"/>
    </row>
    <row r="12" spans="1:17">
      <c r="A12" s="31" t="s">
        <v>2568</v>
      </c>
      <c r="D12" s="303">
        <v>4.4999999999999997E-3</v>
      </c>
      <c r="E12" s="31" t="s">
        <v>3023</v>
      </c>
      <c r="F12" s="217"/>
      <c r="G12" s="217"/>
    </row>
    <row r="13" spans="1:17">
      <c r="D13" s="270"/>
      <c r="F13" s="217"/>
      <c r="G13" s="217"/>
    </row>
    <row r="14" spans="1:17">
      <c r="A14" s="31" t="s">
        <v>3471</v>
      </c>
      <c r="D14" s="302">
        <v>40</v>
      </c>
      <c r="E14" s="31" t="s">
        <v>3472</v>
      </c>
      <c r="F14" s="319"/>
    </row>
    <row r="15" spans="1:17">
      <c r="D15" s="290"/>
      <c r="F15" s="319"/>
    </row>
    <row r="16" spans="1:17">
      <c r="A16" s="31" t="s">
        <v>3473</v>
      </c>
      <c r="D16" s="302">
        <v>40</v>
      </c>
      <c r="E16" s="31" t="s">
        <v>3472</v>
      </c>
      <c r="F16" s="319"/>
    </row>
    <row r="17" spans="1:10">
      <c r="D17" s="270"/>
      <c r="F17" s="319"/>
    </row>
    <row r="18" spans="1:10">
      <c r="A18" s="31" t="s">
        <v>1424</v>
      </c>
      <c r="D18" s="320">
        <f>PMT(D10/12,D16*12,-D5,0,0)*12</f>
        <v>183551.85875759448</v>
      </c>
      <c r="E18" s="31" t="s">
        <v>2096</v>
      </c>
      <c r="F18" s="319"/>
    </row>
    <row r="19" spans="1:10">
      <c r="D19" s="270"/>
      <c r="F19" s="319"/>
    </row>
    <row r="20" spans="1:10">
      <c r="A20" s="31" t="s">
        <v>2097</v>
      </c>
      <c r="D20" s="270">
        <f>D18/12</f>
        <v>15295.988229799541</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3165</v>
      </c>
      <c r="D26" s="316"/>
      <c r="E26" s="108"/>
      <c r="F26" s="1007" t="s">
        <v>3165</v>
      </c>
      <c r="J26" s="321"/>
    </row>
    <row r="27" spans="1:10">
      <c r="A27" s="322" t="s">
        <v>3483</v>
      </c>
      <c r="B27" s="87" t="s">
        <v>1532</v>
      </c>
      <c r="C27" s="1008"/>
      <c r="D27" s="323" t="s">
        <v>3483</v>
      </c>
      <c r="E27" s="87" t="s">
        <v>1532</v>
      </c>
      <c r="F27" s="1008"/>
      <c r="J27" s="321"/>
    </row>
    <row r="28" spans="1:10">
      <c r="A28" s="324">
        <v>1</v>
      </c>
      <c r="B28" s="365">
        <f>IF(A28&gt;D14,0,E55*$D$12)</f>
        <v>17100</v>
      </c>
      <c r="C28" s="365">
        <f>IF(A28&gt;$D$14,0,$D$18+B28)</f>
        <v>200651.85875759448</v>
      </c>
      <c r="D28" s="325">
        <v>21</v>
      </c>
      <c r="E28" s="365">
        <f>IF(D28&gt;$D$14,0,E295*$D$12)</f>
        <v>11609.597507199303</v>
      </c>
      <c r="F28" s="365">
        <f>IF(D28&gt;$D$14,0,$D$18+E28)</f>
        <v>195161.45626479379</v>
      </c>
      <c r="J28" s="321"/>
    </row>
    <row r="29" spans="1:10">
      <c r="A29" s="324">
        <v>2</v>
      </c>
      <c r="B29" s="366">
        <f>IF(A29&gt;D14,0,E67*$D$12)</f>
        <v>16912.058223164116</v>
      </c>
      <c r="C29" s="365">
        <f t="shared" ref="C29:C47" si="0">IF(A29&gt;$D$14,0,$D$18+B29)</f>
        <v>200463.9169807586</v>
      </c>
      <c r="D29" s="325">
        <v>22</v>
      </c>
      <c r="E29" s="365">
        <f>IF(D29&gt;$D$14,0,E307*$D$12)</f>
        <v>11212.189778583141</v>
      </c>
      <c r="F29" s="365">
        <f t="shared" ref="F29:F47" si="1">IF(D29&gt;$D$14,0,$D$18+E29)</f>
        <v>194764.04853617764</v>
      </c>
      <c r="J29" s="321"/>
    </row>
    <row r="30" spans="1:10">
      <c r="A30" s="324">
        <v>3</v>
      </c>
      <c r="B30" s="365">
        <f>IF(A30&gt;D14,0,E79*$D$12)</f>
        <v>16716.946224615749</v>
      </c>
      <c r="C30" s="365">
        <f t="shared" si="0"/>
        <v>200268.80498221022</v>
      </c>
      <c r="D30" s="325">
        <v>23</v>
      </c>
      <c r="E30" s="365">
        <f>IF(D30&gt;$D$14,0,E319*$D$12)</f>
        <v>10799.620431446556</v>
      </c>
      <c r="F30" s="365">
        <f t="shared" si="1"/>
        <v>194351.47918904104</v>
      </c>
      <c r="J30" s="321"/>
    </row>
    <row r="31" spans="1:10">
      <c r="A31" s="324">
        <v>4</v>
      </c>
      <c r="B31" s="365">
        <f>IF(A31&gt;D14,0,E91*$D$12)</f>
        <v>16514.390451128602</v>
      </c>
      <c r="C31" s="365">
        <f t="shared" si="0"/>
        <v>200066.24920872308</v>
      </c>
      <c r="D31" s="325">
        <v>24</v>
      </c>
      <c r="E31" s="365">
        <f>IF(D31&gt;$D$14,0,E331*$D$12)</f>
        <v>10371.311030445677</v>
      </c>
      <c r="F31" s="365">
        <f t="shared" si="1"/>
        <v>193923.16978804016</v>
      </c>
      <c r="J31" s="321"/>
    </row>
    <row r="32" spans="1:10">
      <c r="A32" s="324">
        <v>5</v>
      </c>
      <c r="B32" s="365">
        <f>IF(A32&gt;D14,0,E103*$D$12)</f>
        <v>16304.106913067235</v>
      </c>
      <c r="C32" s="367">
        <f t="shared" si="0"/>
        <v>199855.96567066171</v>
      </c>
      <c r="D32" s="325">
        <v>25</v>
      </c>
      <c r="E32" s="365">
        <f>IF(D32&gt;$D$14,0,E343*$D$12)</f>
        <v>9926.6610721806028</v>
      </c>
      <c r="F32" s="367">
        <f t="shared" si="1"/>
        <v>193478.51982977509</v>
      </c>
      <c r="J32" s="321"/>
    </row>
    <row r="33" spans="1:10">
      <c r="A33" s="326">
        <v>6</v>
      </c>
      <c r="B33" s="368">
        <f>IF(A33&gt;D14,0,E115*$D$12)</f>
        <v>16085.800786224534</v>
      </c>
      <c r="C33" s="365">
        <f t="shared" si="0"/>
        <v>199637.65954381903</v>
      </c>
      <c r="D33" s="327">
        <v>26</v>
      </c>
      <c r="E33" s="368">
        <f>IF(D33&gt;$D$14,0,E355*$D$12)</f>
        <v>9465.0471432705363</v>
      </c>
      <c r="F33" s="365">
        <f t="shared" si="1"/>
        <v>193016.90590086501</v>
      </c>
      <c r="J33" s="321"/>
    </row>
    <row r="34" spans="1:10">
      <c r="A34" s="328">
        <v>7</v>
      </c>
      <c r="B34" s="369">
        <f>IF(A34&gt;D14,0,E127*$D$12)</f>
        <v>15859.165998468807</v>
      </c>
      <c r="C34" s="365">
        <f t="shared" si="0"/>
        <v>199411.0247560633</v>
      </c>
      <c r="D34" s="325">
        <v>27</v>
      </c>
      <c r="E34" s="369">
        <f>IF(D34&gt;$D$14,0,E367*$D$12)</f>
        <v>8985.8220463084072</v>
      </c>
      <c r="F34" s="365">
        <f t="shared" si="1"/>
        <v>192537.68080390288</v>
      </c>
      <c r="J34" s="321"/>
    </row>
    <row r="35" spans="1:10">
      <c r="A35" s="328">
        <v>8</v>
      </c>
      <c r="B35" s="369">
        <f>IF(A35&gt;D14,0,E139*$D$12)</f>
        <v>15623.884800620921</v>
      </c>
      <c r="C35" s="365">
        <f t="shared" si="0"/>
        <v>199175.74355821541</v>
      </c>
      <c r="D35" s="325">
        <v>28</v>
      </c>
      <c r="E35" s="369">
        <f>IF(D35&gt;$D$14,0,E379*$D$12)</f>
        <v>8488.3138924695195</v>
      </c>
      <c r="F35" s="365">
        <f t="shared" si="1"/>
        <v>192040.17265006399</v>
      </c>
      <c r="J35" s="321"/>
    </row>
    <row r="36" spans="1:10">
      <c r="A36" s="328">
        <v>9</v>
      </c>
      <c r="B36" s="369">
        <f>IF(A36&gt;D14,0,E151*$D$12)</f>
        <v>15379.627320959842</v>
      </c>
      <c r="C36" s="365">
        <f t="shared" si="0"/>
        <v>198931.48607855433</v>
      </c>
      <c r="D36" s="325">
        <v>29</v>
      </c>
      <c r="E36" s="369">
        <f>IF(D36&gt;$D$14,0,E391*$D$12)</f>
        <v>7971.8251595020593</v>
      </c>
      <c r="F36" s="365">
        <f t="shared" si="1"/>
        <v>191523.68391709655</v>
      </c>
      <c r="J36" s="321"/>
    </row>
    <row r="37" spans="1:10">
      <c r="A37" s="329">
        <v>10</v>
      </c>
      <c r="B37" s="367">
        <f>IF(A37&gt;D14,0,E163*$D$12)</f>
        <v>15126.05110273201</v>
      </c>
      <c r="C37" s="367">
        <f t="shared" si="0"/>
        <v>198677.9098603265</v>
      </c>
      <c r="D37" s="330">
        <v>30</v>
      </c>
      <c r="E37" s="367">
        <f>IF(D37&gt;$D$14,0,E403*$D$12)</f>
        <v>7435.6317137787164</v>
      </c>
      <c r="F37" s="367">
        <f t="shared" si="1"/>
        <v>190987.4904713732</v>
      </c>
      <c r="J37" s="321"/>
    </row>
    <row r="38" spans="1:10">
      <c r="A38" s="331">
        <v>11</v>
      </c>
      <c r="B38" s="365">
        <f>IF(A38&gt;D14,0,E175*$D$12)</f>
        <v>14862.800624016068</v>
      </c>
      <c r="C38" s="365">
        <f t="shared" si="0"/>
        <v>198414.65938161055</v>
      </c>
      <c r="D38" s="325">
        <v>31</v>
      </c>
      <c r="E38" s="365">
        <f>IF(D38&gt;$D$14,0,E415*$D$12)</f>
        <v>6878.9817950383103</v>
      </c>
      <c r="F38" s="365">
        <f t="shared" si="1"/>
        <v>190430.84055263278</v>
      </c>
      <c r="J38" s="321"/>
    </row>
    <row r="39" spans="1:10">
      <c r="A39" s="331">
        <v>12</v>
      </c>
      <c r="B39" s="365">
        <f>IF(A39&gt;D14,0,E187*$D$12)</f>
        <v>14589.506799269822</v>
      </c>
      <c r="C39" s="365">
        <f t="shared" si="0"/>
        <v>198141.3655568643</v>
      </c>
      <c r="D39" s="325">
        <v>32</v>
      </c>
      <c r="E39" s="365">
        <f>IF(D39&gt;$D$14,0,E427*$D$12)</f>
        <v>6301.0949623940032</v>
      </c>
      <c r="F39" s="365">
        <f t="shared" si="1"/>
        <v>189852.95371998849</v>
      </c>
      <c r="J39" s="321"/>
    </row>
    <row r="40" spans="1:10">
      <c r="A40" s="331">
        <v>13</v>
      </c>
      <c r="B40" s="365">
        <f>IF(A40&gt;D14,0,E199*$D$12)</f>
        <v>14305.786461860574</v>
      </c>
      <c r="C40" s="365">
        <f t="shared" si="0"/>
        <v>197857.64521945507</v>
      </c>
      <c r="D40" s="325">
        <v>33</v>
      </c>
      <c r="E40" s="365">
        <f>IF(D40&gt;$D$14,0,E439*$D$12)</f>
        <v>5701.1610001303543</v>
      </c>
      <c r="F40" s="365">
        <f t="shared" si="1"/>
        <v>189253.01975772483</v>
      </c>
      <c r="J40" s="321"/>
    </row>
    <row r="41" spans="1:10">
      <c r="A41" s="331">
        <v>14</v>
      </c>
      <c r="B41" s="365">
        <f>IF(A41&gt;D14,0,E211*$D$12)</f>
        <v>14011.241826853335</v>
      </c>
      <c r="C41" s="365">
        <f t="shared" si="0"/>
        <v>197563.10058444782</v>
      </c>
      <c r="D41" s="325">
        <v>34</v>
      </c>
      <c r="E41" s="365">
        <f>IF(D41&gt;$D$14,0,E451*$D$12)</f>
        <v>5078.3387817551284</v>
      </c>
      <c r="F41" s="365">
        <f t="shared" si="1"/>
        <v>188630.19753934961</v>
      </c>
      <c r="J41" s="321"/>
    </row>
    <row r="42" spans="1:10">
      <c r="A42" s="331">
        <v>15</v>
      </c>
      <c r="B42" s="365">
        <f>IF(A42&gt;D14,0,E223*$D$12)</f>
        <v>13705.459933303671</v>
      </c>
      <c r="C42" s="367">
        <f t="shared" si="0"/>
        <v>197257.31869089816</v>
      </c>
      <c r="D42" s="325">
        <v>35</v>
      </c>
      <c r="E42" s="365">
        <f>IF(D42&gt;$D$14,0,E463*$D$12)</f>
        <v>4431.755090713199</v>
      </c>
      <c r="F42" s="367">
        <f t="shared" si="1"/>
        <v>187983.61384830769</v>
      </c>
      <c r="J42" s="321"/>
    </row>
    <row r="43" spans="1:10">
      <c r="A43" s="332">
        <v>16</v>
      </c>
      <c r="B43" s="368">
        <f>IF(A43&gt;D14,0,E235*$D$12)</f>
        <v>13388.012065273348</v>
      </c>
      <c r="C43" s="365">
        <f t="shared" si="0"/>
        <v>196939.87082286784</v>
      </c>
      <c r="D43" s="327">
        <v>36</v>
      </c>
      <c r="E43" s="368">
        <f>IF(D43&gt;$D$14,0,E475*$D$12)</f>
        <v>3760.5033961091835</v>
      </c>
      <c r="F43" s="365">
        <f t="shared" si="1"/>
        <v>187312.36215370367</v>
      </c>
      <c r="J43" s="321"/>
    </row>
    <row r="44" spans="1:10">
      <c r="A44" s="328">
        <v>17</v>
      </c>
      <c r="B44" s="369">
        <f>IF(A44&gt;D14,0,E247*$D$12)</f>
        <v>13058.453150756945</v>
      </c>
      <c r="C44" s="365">
        <f t="shared" si="0"/>
        <v>196610.31190835143</v>
      </c>
      <c r="D44" s="325">
        <v>37</v>
      </c>
      <c r="E44" s="369">
        <f>IF(D44&gt;$D$14,0,E487*$D$12)</f>
        <v>3063.6425817222871</v>
      </c>
      <c r="F44" s="365">
        <f t="shared" si="1"/>
        <v>186615.50133931678</v>
      </c>
      <c r="J44" s="321"/>
    </row>
    <row r="45" spans="1:10">
      <c r="A45" s="328">
        <v>18</v>
      </c>
      <c r="B45" s="369">
        <f>IF(A45&gt;D14,0,E259*$D$12)</f>
        <v>12716.321137676754</v>
      </c>
      <c r="C45" s="365">
        <f t="shared" si="0"/>
        <v>196268.17989527123</v>
      </c>
      <c r="D45" s="325">
        <v>38</v>
      </c>
      <c r="E45" s="369">
        <f>IF(D45&gt;$D$14,0,E499*$D$12)</f>
        <v>2340.1956265314452</v>
      </c>
      <c r="F45" s="365">
        <f t="shared" si="1"/>
        <v>185892.05438412592</v>
      </c>
      <c r="J45" s="321"/>
    </row>
    <row r="46" spans="1:10">
      <c r="A46" s="328">
        <v>19</v>
      </c>
      <c r="B46" s="369">
        <f>IF(A46&gt;D14,0,E271*$D$12)</f>
        <v>12361.136346071067</v>
      </c>
      <c r="C46" s="365">
        <f t="shared" si="0"/>
        <v>195912.99510366554</v>
      </c>
      <c r="D46" s="325">
        <v>39</v>
      </c>
      <c r="E46" s="369">
        <f>IF(D46&gt;$D$14,0,E511*$D$12)</f>
        <v>1589.148234900779</v>
      </c>
      <c r="F46" s="365">
        <f t="shared" si="1"/>
        <v>185141.00699249527</v>
      </c>
      <c r="J46" s="321"/>
    </row>
    <row r="47" spans="1:10">
      <c r="A47" s="329">
        <v>20</v>
      </c>
      <c r="B47" s="367">
        <f>IF(A47&gt;D14,0,E283*$D$12)</f>
        <v>11992.40079556763</v>
      </c>
      <c r="C47" s="367">
        <f t="shared" si="0"/>
        <v>195544.25955316212</v>
      </c>
      <c r="D47" s="330">
        <v>40</v>
      </c>
      <c r="E47" s="367">
        <f>IF(D47&gt;$D$14,0,E523*$D$12)</f>
        <v>809.44741450486276</v>
      </c>
      <c r="F47" s="367">
        <f t="shared" si="1"/>
        <v>184361.30617209934</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2012-028 Veranda at Groveway, Roswell, Fulton County</v>
      </c>
      <c r="B50" s="996"/>
      <c r="C50" s="996"/>
      <c r="D50" s="996"/>
      <c r="E50" s="996"/>
      <c r="F50" s="996"/>
      <c r="G50" s="297"/>
      <c r="H50" s="297"/>
    </row>
    <row r="51" spans="1:10" ht="15">
      <c r="A51" s="993" t="s">
        <v>3474</v>
      </c>
      <c r="B51" s="993"/>
      <c r="C51" s="993"/>
      <c r="D51" s="993"/>
      <c r="E51" s="993"/>
      <c r="F51" s="993"/>
      <c r="G51" s="333"/>
      <c r="H51" s="333"/>
      <c r="I51" s="333"/>
      <c r="J51" s="333"/>
    </row>
    <row r="52" spans="1:10" ht="5.45" customHeight="1">
      <c r="C52" s="270"/>
      <c r="D52" s="270"/>
      <c r="G52" s="275"/>
      <c r="H52" s="269"/>
      <c r="I52" s="275"/>
    </row>
    <row r="53" spans="1:10">
      <c r="A53" s="273" t="s">
        <v>3475</v>
      </c>
      <c r="B53" s="273" t="s">
        <v>3476</v>
      </c>
      <c r="C53" s="273" t="s">
        <v>1861</v>
      </c>
      <c r="D53" s="273" t="s">
        <v>3477</v>
      </c>
      <c r="E53" s="273" t="s">
        <v>3478</v>
      </c>
      <c r="F53" s="307" t="s">
        <v>3483</v>
      </c>
      <c r="G53" s="334"/>
      <c r="H53" s="334"/>
      <c r="I53" s="334"/>
    </row>
    <row r="54" spans="1:10" ht="3.6" customHeight="1">
      <c r="F54" s="108"/>
      <c r="G54" s="275"/>
      <c r="H54" s="269"/>
      <c r="I54" s="275"/>
    </row>
    <row r="55" spans="1:10">
      <c r="A55" s="31" t="s">
        <v>3479</v>
      </c>
      <c r="E55" s="270">
        <f>D5</f>
        <v>3800000</v>
      </c>
      <c r="F55" s="108"/>
      <c r="G55" s="275"/>
      <c r="H55" s="269"/>
      <c r="I55" s="275"/>
    </row>
    <row r="56" spans="1:10">
      <c r="A56" s="335">
        <v>1</v>
      </c>
      <c r="B56" s="281">
        <f t="shared" ref="B56:B119" si="2">IF(A56&gt;12*$D$14,0,$D$20)</f>
        <v>15295.988229799541</v>
      </c>
      <c r="C56" s="281">
        <f t="shared" ref="C56:C119" si="3">IF(A56&gt;12*$D$14,0,E55*$D$10/12)</f>
        <v>11875.000000000002</v>
      </c>
      <c r="D56" s="281">
        <f t="shared" ref="D56:D119" si="4">IF(A56&gt;12*$D$14,0,B56-C56)</f>
        <v>3420.9882297995391</v>
      </c>
      <c r="E56" s="281">
        <f t="shared" ref="E56:E119" si="5">IF(A56&gt;12*$D$14,0,E55-D56)</f>
        <v>3796579.0117702004</v>
      </c>
      <c r="F56" s="280"/>
      <c r="G56" s="336"/>
      <c r="H56" s="289"/>
      <c r="I56" s="275"/>
    </row>
    <row r="57" spans="1:10">
      <c r="A57" s="335">
        <v>2</v>
      </c>
      <c r="B57" s="281">
        <f t="shared" si="2"/>
        <v>15295.988229799541</v>
      </c>
      <c r="C57" s="281">
        <f t="shared" si="3"/>
        <v>11864.309411781878</v>
      </c>
      <c r="D57" s="281">
        <f t="shared" si="4"/>
        <v>3431.6788180176627</v>
      </c>
      <c r="E57" s="281">
        <f t="shared" si="5"/>
        <v>3793147.3329521827</v>
      </c>
      <c r="F57" s="280"/>
      <c r="G57" s="336"/>
      <c r="H57" s="289"/>
      <c r="I57" s="275"/>
    </row>
    <row r="58" spans="1:10">
      <c r="A58" s="335">
        <v>3</v>
      </c>
      <c r="B58" s="281">
        <f t="shared" si="2"/>
        <v>15295.988229799541</v>
      </c>
      <c r="C58" s="281">
        <f t="shared" si="3"/>
        <v>11853.585415475573</v>
      </c>
      <c r="D58" s="281">
        <f t="shared" si="4"/>
        <v>3442.4028143239684</v>
      </c>
      <c r="E58" s="281">
        <f t="shared" si="5"/>
        <v>3789704.9301378587</v>
      </c>
      <c r="F58" s="280"/>
      <c r="G58" s="336"/>
      <c r="H58" s="289"/>
      <c r="I58" s="275"/>
    </row>
    <row r="59" spans="1:10">
      <c r="A59" s="335">
        <v>4</v>
      </c>
      <c r="B59" s="281">
        <f t="shared" si="2"/>
        <v>15295.988229799541</v>
      </c>
      <c r="C59" s="281">
        <f t="shared" si="3"/>
        <v>11842.82790668081</v>
      </c>
      <c r="D59" s="281">
        <f t="shared" si="4"/>
        <v>3453.160323118731</v>
      </c>
      <c r="E59" s="281">
        <f t="shared" si="5"/>
        <v>3786251.7698147399</v>
      </c>
      <c r="F59" s="280"/>
      <c r="G59" s="336"/>
      <c r="H59" s="289"/>
      <c r="I59" s="275"/>
    </row>
    <row r="60" spans="1:10">
      <c r="A60" s="335">
        <v>5</v>
      </c>
      <c r="B60" s="281">
        <f t="shared" si="2"/>
        <v>15295.988229799541</v>
      </c>
      <c r="C60" s="281">
        <f t="shared" si="3"/>
        <v>11832.036780671064</v>
      </c>
      <c r="D60" s="281">
        <f t="shared" si="4"/>
        <v>3463.9514491284772</v>
      </c>
      <c r="E60" s="281">
        <f t="shared" si="5"/>
        <v>3782787.8183656116</v>
      </c>
      <c r="F60" s="280"/>
      <c r="G60" s="336"/>
      <c r="H60" s="289"/>
      <c r="I60" s="275"/>
    </row>
    <row r="61" spans="1:10">
      <c r="A61" s="335">
        <v>6</v>
      </c>
      <c r="B61" s="281">
        <f t="shared" si="2"/>
        <v>15295.988229799541</v>
      </c>
      <c r="C61" s="281">
        <f t="shared" si="3"/>
        <v>11821.211932392538</v>
      </c>
      <c r="D61" s="281">
        <f t="shared" si="4"/>
        <v>3474.7762974070029</v>
      </c>
      <c r="E61" s="281">
        <f t="shared" si="5"/>
        <v>3779313.0420682044</v>
      </c>
      <c r="F61" s="280"/>
      <c r="G61" s="336"/>
      <c r="H61" s="289"/>
      <c r="I61" s="275"/>
    </row>
    <row r="62" spans="1:10">
      <c r="A62" s="335">
        <v>7</v>
      </c>
      <c r="B62" s="281">
        <f t="shared" si="2"/>
        <v>15295.988229799541</v>
      </c>
      <c r="C62" s="281">
        <f t="shared" si="3"/>
        <v>11810.35325646314</v>
      </c>
      <c r="D62" s="281">
        <f t="shared" si="4"/>
        <v>3485.6349733364004</v>
      </c>
      <c r="E62" s="281">
        <f t="shared" si="5"/>
        <v>3775827.4070948679</v>
      </c>
      <c r="F62" s="280"/>
      <c r="G62" s="336"/>
      <c r="H62" s="289"/>
      <c r="I62" s="275"/>
    </row>
    <row r="63" spans="1:10">
      <c r="A63" s="335">
        <v>8</v>
      </c>
      <c r="B63" s="281">
        <f t="shared" si="2"/>
        <v>15295.988229799541</v>
      </c>
      <c r="C63" s="281">
        <f t="shared" si="3"/>
        <v>11799.460647171465</v>
      </c>
      <c r="D63" s="281">
        <f t="shared" si="4"/>
        <v>3496.5275826280758</v>
      </c>
      <c r="E63" s="281">
        <f t="shared" si="5"/>
        <v>3772330.8795122397</v>
      </c>
      <c r="F63" s="280"/>
      <c r="G63" s="336"/>
      <c r="H63" s="289"/>
      <c r="I63" s="275"/>
    </row>
    <row r="64" spans="1:10">
      <c r="A64" s="335">
        <v>9</v>
      </c>
      <c r="B64" s="281">
        <f t="shared" si="2"/>
        <v>15295.988229799541</v>
      </c>
      <c r="C64" s="281">
        <f t="shared" si="3"/>
        <v>11788.533998475752</v>
      </c>
      <c r="D64" s="281">
        <f t="shared" si="4"/>
        <v>3507.4542313237889</v>
      </c>
      <c r="E64" s="281">
        <f t="shared" si="5"/>
        <v>3768823.425280916</v>
      </c>
      <c r="F64" s="280"/>
      <c r="G64" s="336"/>
      <c r="H64" s="289"/>
      <c r="I64" s="275"/>
    </row>
    <row r="65" spans="1:9">
      <c r="A65" s="335">
        <v>10</v>
      </c>
      <c r="B65" s="281">
        <f t="shared" si="2"/>
        <v>15295.988229799541</v>
      </c>
      <c r="C65" s="281">
        <f t="shared" si="3"/>
        <v>11777.573204002865</v>
      </c>
      <c r="D65" s="281">
        <f t="shared" si="4"/>
        <v>3518.4150257966758</v>
      </c>
      <c r="E65" s="281">
        <f t="shared" si="5"/>
        <v>3765305.0102551193</v>
      </c>
      <c r="F65" s="280"/>
      <c r="G65" s="275"/>
      <c r="H65" s="269"/>
      <c r="I65" s="275"/>
    </row>
    <row r="66" spans="1:9">
      <c r="A66" s="335">
        <v>11</v>
      </c>
      <c r="B66" s="281">
        <f t="shared" si="2"/>
        <v>15295.988229799541</v>
      </c>
      <c r="C66" s="281">
        <f t="shared" si="3"/>
        <v>11766.578157047248</v>
      </c>
      <c r="D66" s="281">
        <f t="shared" si="4"/>
        <v>3529.4100727522928</v>
      </c>
      <c r="E66" s="281">
        <f t="shared" si="5"/>
        <v>3761775.600182367</v>
      </c>
      <c r="F66" s="280"/>
      <c r="G66" s="275"/>
      <c r="H66" s="269"/>
      <c r="I66" s="275"/>
    </row>
    <row r="67" spans="1:9">
      <c r="A67" s="335">
        <v>12</v>
      </c>
      <c r="B67" s="281">
        <f t="shared" si="2"/>
        <v>15295.988229799541</v>
      </c>
      <c r="C67" s="281">
        <f t="shared" si="3"/>
        <v>11755.548750569898</v>
      </c>
      <c r="D67" s="281">
        <f t="shared" si="4"/>
        <v>3540.4394792296425</v>
      </c>
      <c r="E67" s="281">
        <f t="shared" si="5"/>
        <v>3758235.1607031375</v>
      </c>
      <c r="F67" s="280">
        <v>1</v>
      </c>
      <c r="G67" s="336"/>
      <c r="H67" s="289"/>
      <c r="I67" s="336"/>
    </row>
    <row r="68" spans="1:9">
      <c r="A68" s="335">
        <v>13</v>
      </c>
      <c r="B68" s="281">
        <f t="shared" si="2"/>
        <v>15295.988229799541</v>
      </c>
      <c r="C68" s="281">
        <f t="shared" si="3"/>
        <v>11744.484877197307</v>
      </c>
      <c r="D68" s="281">
        <f t="shared" si="4"/>
        <v>3551.5033526022344</v>
      </c>
      <c r="E68" s="281">
        <f t="shared" si="5"/>
        <v>3754683.6573505355</v>
      </c>
      <c r="F68" s="280"/>
      <c r="G68" s="275"/>
      <c r="H68" s="269"/>
      <c r="I68" s="336"/>
    </row>
    <row r="69" spans="1:9">
      <c r="A69" s="335">
        <v>14</v>
      </c>
      <c r="B69" s="281">
        <f t="shared" si="2"/>
        <v>15295.988229799541</v>
      </c>
      <c r="C69" s="281">
        <f t="shared" si="3"/>
        <v>11733.386429220425</v>
      </c>
      <c r="D69" s="281">
        <f t="shared" si="4"/>
        <v>3562.6018005791157</v>
      </c>
      <c r="E69" s="281">
        <f t="shared" si="5"/>
        <v>3751121.0555499564</v>
      </c>
      <c r="F69" s="280"/>
      <c r="G69" s="275"/>
      <c r="H69" s="269"/>
      <c r="I69" s="275"/>
    </row>
    <row r="70" spans="1:9">
      <c r="A70" s="335">
        <v>15</v>
      </c>
      <c r="B70" s="281">
        <f t="shared" si="2"/>
        <v>15295.988229799541</v>
      </c>
      <c r="C70" s="281">
        <f t="shared" si="3"/>
        <v>11722.253298593614</v>
      </c>
      <c r="D70" s="281">
        <f t="shared" si="4"/>
        <v>3573.7349312059268</v>
      </c>
      <c r="E70" s="281">
        <f t="shared" si="5"/>
        <v>3747547.3206187505</v>
      </c>
      <c r="F70" s="280"/>
      <c r="G70" s="275"/>
      <c r="H70" s="269"/>
      <c r="I70" s="275"/>
    </row>
    <row r="71" spans="1:9">
      <c r="A71" s="335">
        <v>16</v>
      </c>
      <c r="B71" s="281">
        <f t="shared" si="2"/>
        <v>15295.988229799541</v>
      </c>
      <c r="C71" s="281">
        <f t="shared" si="3"/>
        <v>11711.085376933597</v>
      </c>
      <c r="D71" s="281">
        <f t="shared" si="4"/>
        <v>3584.9028528659437</v>
      </c>
      <c r="E71" s="281">
        <f t="shared" si="5"/>
        <v>3743962.4177658847</v>
      </c>
      <c r="F71" s="280"/>
      <c r="G71" s="275"/>
      <c r="H71" s="269"/>
      <c r="I71" s="275"/>
    </row>
    <row r="72" spans="1:9">
      <c r="A72" s="335">
        <v>17</v>
      </c>
      <c r="B72" s="281">
        <f t="shared" si="2"/>
        <v>15295.988229799541</v>
      </c>
      <c r="C72" s="281">
        <f t="shared" si="3"/>
        <v>11699.882555518392</v>
      </c>
      <c r="D72" s="281">
        <f t="shared" si="4"/>
        <v>3596.1056742811488</v>
      </c>
      <c r="E72" s="281">
        <f t="shared" si="5"/>
        <v>3740366.3120916034</v>
      </c>
      <c r="F72" s="280"/>
      <c r="G72" s="275"/>
      <c r="H72" s="269"/>
      <c r="I72" s="275"/>
    </row>
    <row r="73" spans="1:9">
      <c r="A73" s="335">
        <v>18</v>
      </c>
      <c r="B73" s="281">
        <f t="shared" si="2"/>
        <v>15295.988229799541</v>
      </c>
      <c r="C73" s="281">
        <f t="shared" si="3"/>
        <v>11688.644725286264</v>
      </c>
      <c r="D73" s="281">
        <f t="shared" si="4"/>
        <v>3607.3435045132774</v>
      </c>
      <c r="E73" s="281">
        <f t="shared" si="5"/>
        <v>3736758.9685870903</v>
      </c>
      <c r="F73" s="280"/>
      <c r="G73" s="336"/>
      <c r="H73" s="289"/>
      <c r="I73" s="275"/>
    </row>
    <row r="74" spans="1:9">
      <c r="A74" s="335">
        <v>19</v>
      </c>
      <c r="B74" s="281">
        <f t="shared" si="2"/>
        <v>15295.988229799541</v>
      </c>
      <c r="C74" s="281">
        <f t="shared" si="3"/>
        <v>11677.37177683466</v>
      </c>
      <c r="D74" s="281">
        <f t="shared" si="4"/>
        <v>3618.6164529648813</v>
      </c>
      <c r="E74" s="281">
        <f t="shared" si="5"/>
        <v>3733140.3521341253</v>
      </c>
      <c r="F74" s="280"/>
      <c r="G74" s="336"/>
      <c r="H74" s="289"/>
      <c r="I74" s="275"/>
    </row>
    <row r="75" spans="1:9">
      <c r="A75" s="335">
        <v>20</v>
      </c>
      <c r="B75" s="281">
        <f t="shared" si="2"/>
        <v>15295.988229799541</v>
      </c>
      <c r="C75" s="281">
        <f t="shared" si="3"/>
        <v>11666.063600419142</v>
      </c>
      <c r="D75" s="281">
        <f t="shared" si="4"/>
        <v>3629.924629380399</v>
      </c>
      <c r="E75" s="281">
        <f t="shared" si="5"/>
        <v>3729510.4275047448</v>
      </c>
      <c r="F75" s="280"/>
      <c r="G75" s="336"/>
      <c r="H75" s="289"/>
      <c r="I75" s="275"/>
    </row>
    <row r="76" spans="1:9">
      <c r="A76" s="335">
        <v>21</v>
      </c>
      <c r="B76" s="281">
        <f t="shared" si="2"/>
        <v>15295.988229799541</v>
      </c>
      <c r="C76" s="281">
        <f t="shared" si="3"/>
        <v>11654.720085952329</v>
      </c>
      <c r="D76" s="281">
        <f t="shared" si="4"/>
        <v>3641.2681438472118</v>
      </c>
      <c r="E76" s="281">
        <f t="shared" si="5"/>
        <v>3725869.1593608977</v>
      </c>
      <c r="F76" s="280"/>
      <c r="G76" s="336"/>
      <c r="H76" s="289"/>
      <c r="I76" s="275"/>
    </row>
    <row r="77" spans="1:9">
      <c r="A77" s="335">
        <v>22</v>
      </c>
      <c r="B77" s="281">
        <f t="shared" si="2"/>
        <v>15295.988229799541</v>
      </c>
      <c r="C77" s="281">
        <f t="shared" si="3"/>
        <v>11643.341123002807</v>
      </c>
      <c r="D77" s="281">
        <f t="shared" si="4"/>
        <v>3652.6471067967341</v>
      </c>
      <c r="E77" s="281">
        <f t="shared" si="5"/>
        <v>3722216.5122541012</v>
      </c>
      <c r="F77" s="280"/>
      <c r="G77" s="275"/>
      <c r="H77" s="269"/>
      <c r="I77" s="275"/>
    </row>
    <row r="78" spans="1:9">
      <c r="A78" s="335">
        <v>23</v>
      </c>
      <c r="B78" s="281">
        <f t="shared" si="2"/>
        <v>15295.988229799541</v>
      </c>
      <c r="C78" s="281">
        <f t="shared" si="3"/>
        <v>11631.926600794068</v>
      </c>
      <c r="D78" s="281">
        <f t="shared" si="4"/>
        <v>3664.0616290054732</v>
      </c>
      <c r="E78" s="281">
        <f t="shared" si="5"/>
        <v>3718552.450625096</v>
      </c>
      <c r="F78" s="280"/>
      <c r="G78" s="275"/>
      <c r="H78" s="269"/>
      <c r="I78" s="275"/>
    </row>
    <row r="79" spans="1:9">
      <c r="A79" s="335">
        <v>24</v>
      </c>
      <c r="B79" s="281">
        <f t="shared" si="2"/>
        <v>15295.988229799541</v>
      </c>
      <c r="C79" s="281">
        <f t="shared" si="3"/>
        <v>11620.476408203425</v>
      </c>
      <c r="D79" s="281">
        <f t="shared" si="4"/>
        <v>3675.5118215961156</v>
      </c>
      <c r="E79" s="281">
        <f t="shared" si="5"/>
        <v>3714876.9388035</v>
      </c>
      <c r="F79" s="280">
        <v>2</v>
      </c>
      <c r="G79" s="336"/>
      <c r="H79" s="289"/>
      <c r="I79" s="336"/>
    </row>
    <row r="80" spans="1:9">
      <c r="A80" s="335">
        <v>25</v>
      </c>
      <c r="B80" s="281">
        <f t="shared" si="2"/>
        <v>15295.988229799541</v>
      </c>
      <c r="C80" s="281">
        <f t="shared" si="3"/>
        <v>11608.990433760941</v>
      </c>
      <c r="D80" s="281">
        <f t="shared" si="4"/>
        <v>3686.9977960386004</v>
      </c>
      <c r="E80" s="281">
        <f t="shared" si="5"/>
        <v>3711189.9410074614</v>
      </c>
      <c r="F80" s="280"/>
      <c r="G80" s="275"/>
      <c r="H80" s="269"/>
      <c r="I80" s="336"/>
    </row>
    <row r="81" spans="1:9">
      <c r="A81" s="335">
        <v>26</v>
      </c>
      <c r="B81" s="281">
        <f t="shared" si="2"/>
        <v>15295.988229799541</v>
      </c>
      <c r="C81" s="281">
        <f t="shared" si="3"/>
        <v>11597.46856564832</v>
      </c>
      <c r="D81" s="281">
        <f t="shared" si="4"/>
        <v>3698.5196641512211</v>
      </c>
      <c r="E81" s="281">
        <f t="shared" si="5"/>
        <v>3707491.4213433103</v>
      </c>
      <c r="F81" s="280"/>
      <c r="G81" s="275"/>
      <c r="H81" s="269"/>
      <c r="I81" s="275"/>
    </row>
    <row r="82" spans="1:9">
      <c r="A82" s="335">
        <v>27</v>
      </c>
      <c r="B82" s="281">
        <f t="shared" si="2"/>
        <v>15295.988229799541</v>
      </c>
      <c r="C82" s="281">
        <f t="shared" si="3"/>
        <v>11585.910691697847</v>
      </c>
      <c r="D82" s="281">
        <f t="shared" si="4"/>
        <v>3710.0775381016938</v>
      </c>
      <c r="E82" s="281">
        <f t="shared" si="5"/>
        <v>3703781.3438052088</v>
      </c>
      <c r="F82" s="280"/>
      <c r="G82" s="275"/>
      <c r="H82" s="269"/>
      <c r="I82" s="275"/>
    </row>
    <row r="83" spans="1:9">
      <c r="A83" s="335">
        <v>28</v>
      </c>
      <c r="B83" s="281">
        <f t="shared" si="2"/>
        <v>15295.988229799541</v>
      </c>
      <c r="C83" s="281">
        <f t="shared" si="3"/>
        <v>11574.31669939128</v>
      </c>
      <c r="D83" s="281">
        <f t="shared" si="4"/>
        <v>3721.6715304082609</v>
      </c>
      <c r="E83" s="281">
        <f t="shared" si="5"/>
        <v>3700059.6722748005</v>
      </c>
      <c r="F83" s="280"/>
      <c r="G83" s="275"/>
      <c r="H83" s="269"/>
      <c r="I83" s="275"/>
    </row>
    <row r="84" spans="1:9">
      <c r="A84" s="335">
        <v>29</v>
      </c>
      <c r="B84" s="281">
        <f t="shared" si="2"/>
        <v>15295.988229799541</v>
      </c>
      <c r="C84" s="281">
        <f t="shared" si="3"/>
        <v>11562.686475858754</v>
      </c>
      <c r="D84" s="281">
        <f t="shared" si="4"/>
        <v>3733.3017539407865</v>
      </c>
      <c r="E84" s="281">
        <f t="shared" si="5"/>
        <v>3696326.3705208595</v>
      </c>
      <c r="F84" s="280"/>
      <c r="G84" s="275"/>
      <c r="H84" s="269"/>
      <c r="I84" s="275"/>
    </row>
    <row r="85" spans="1:9">
      <c r="A85" s="335">
        <v>30</v>
      </c>
      <c r="B85" s="281">
        <f t="shared" si="2"/>
        <v>15295.988229799541</v>
      </c>
      <c r="C85" s="281">
        <f t="shared" si="3"/>
        <v>11551.019907877688</v>
      </c>
      <c r="D85" s="281">
        <f t="shared" si="4"/>
        <v>3744.9683219218532</v>
      </c>
      <c r="E85" s="281">
        <f t="shared" si="5"/>
        <v>3692581.4021989377</v>
      </c>
      <c r="F85" s="280"/>
      <c r="G85" s="336"/>
      <c r="H85" s="289"/>
      <c r="I85" s="275"/>
    </row>
    <row r="86" spans="1:9">
      <c r="A86" s="335">
        <v>31</v>
      </c>
      <c r="B86" s="281">
        <f t="shared" si="2"/>
        <v>15295.988229799541</v>
      </c>
      <c r="C86" s="281">
        <f t="shared" si="3"/>
        <v>11539.316881871682</v>
      </c>
      <c r="D86" s="281">
        <f t="shared" si="4"/>
        <v>3756.6713479278587</v>
      </c>
      <c r="E86" s="281">
        <f t="shared" si="5"/>
        <v>3688824.73085101</v>
      </c>
      <c r="F86" s="280"/>
      <c r="G86" s="275"/>
      <c r="H86" s="269"/>
      <c r="I86" s="275"/>
    </row>
    <row r="87" spans="1:9">
      <c r="A87" s="335">
        <v>32</v>
      </c>
      <c r="B87" s="281">
        <f t="shared" si="2"/>
        <v>15295.988229799541</v>
      </c>
      <c r="C87" s="281">
        <f t="shared" si="3"/>
        <v>11527.577283909408</v>
      </c>
      <c r="D87" s="281">
        <f t="shared" si="4"/>
        <v>3768.410945890133</v>
      </c>
      <c r="E87" s="281">
        <f t="shared" si="5"/>
        <v>3685056.3199051199</v>
      </c>
      <c r="F87" s="280"/>
      <c r="G87" s="275"/>
      <c r="H87" s="269"/>
      <c r="I87" s="275"/>
    </row>
    <row r="88" spans="1:9">
      <c r="A88" s="335">
        <v>33</v>
      </c>
      <c r="B88" s="281">
        <f t="shared" si="2"/>
        <v>15295.988229799541</v>
      </c>
      <c r="C88" s="281">
        <f t="shared" si="3"/>
        <v>11515.800999703502</v>
      </c>
      <c r="D88" s="281">
        <f t="shared" si="4"/>
        <v>3780.1872300960385</v>
      </c>
      <c r="E88" s="281">
        <f t="shared" si="5"/>
        <v>3681276.1326750237</v>
      </c>
      <c r="F88" s="280"/>
      <c r="G88" s="275"/>
      <c r="H88" s="269"/>
      <c r="I88" s="275"/>
    </row>
    <row r="89" spans="1:9">
      <c r="A89" s="335">
        <v>34</v>
      </c>
      <c r="B89" s="281">
        <f t="shared" si="2"/>
        <v>15295.988229799541</v>
      </c>
      <c r="C89" s="281">
        <f t="shared" si="3"/>
        <v>11503.987914609452</v>
      </c>
      <c r="D89" s="281">
        <f t="shared" si="4"/>
        <v>3792.0003151900892</v>
      </c>
      <c r="E89" s="281">
        <f t="shared" si="5"/>
        <v>3677484.1323598335</v>
      </c>
      <c r="F89" s="280"/>
      <c r="G89" s="275"/>
      <c r="H89" s="269"/>
      <c r="I89" s="275"/>
    </row>
    <row r="90" spans="1:9">
      <c r="A90" s="335">
        <v>35</v>
      </c>
      <c r="B90" s="281">
        <f t="shared" si="2"/>
        <v>15295.988229799541</v>
      </c>
      <c r="C90" s="281">
        <f t="shared" si="3"/>
        <v>11492.137913624481</v>
      </c>
      <c r="D90" s="281">
        <f t="shared" si="4"/>
        <v>3803.8503161750596</v>
      </c>
      <c r="E90" s="281">
        <f t="shared" si="5"/>
        <v>3673680.2820436582</v>
      </c>
      <c r="F90" s="280"/>
      <c r="G90" s="275"/>
      <c r="H90" s="269"/>
      <c r="I90" s="275"/>
    </row>
    <row r="91" spans="1:9">
      <c r="A91" s="335">
        <v>36</v>
      </c>
      <c r="B91" s="281">
        <f t="shared" si="2"/>
        <v>15295.988229799541</v>
      </c>
      <c r="C91" s="281">
        <f t="shared" si="3"/>
        <v>11480.250881386433</v>
      </c>
      <c r="D91" s="281">
        <f t="shared" si="4"/>
        <v>3815.7373484131076</v>
      </c>
      <c r="E91" s="281">
        <f t="shared" si="5"/>
        <v>3669864.5446952451</v>
      </c>
      <c r="F91" s="280">
        <v>3</v>
      </c>
      <c r="G91" s="336"/>
      <c r="H91" s="289"/>
      <c r="I91" s="336"/>
    </row>
    <row r="92" spans="1:9">
      <c r="A92" s="335">
        <v>37</v>
      </c>
      <c r="B92" s="281">
        <f t="shared" si="2"/>
        <v>15295.988229799541</v>
      </c>
      <c r="C92" s="281">
        <f t="shared" si="3"/>
        <v>11468.326702172642</v>
      </c>
      <c r="D92" s="281">
        <f t="shared" si="4"/>
        <v>3827.6615276268985</v>
      </c>
      <c r="E92" s="281">
        <f t="shared" si="5"/>
        <v>3666036.8831676184</v>
      </c>
      <c r="F92" s="280"/>
      <c r="G92" s="275"/>
      <c r="H92" s="269"/>
      <c r="I92" s="336"/>
    </row>
    <row r="93" spans="1:9">
      <c r="A93" s="335">
        <v>38</v>
      </c>
      <c r="B93" s="281">
        <f t="shared" si="2"/>
        <v>15295.988229799541</v>
      </c>
      <c r="C93" s="281">
        <f t="shared" si="3"/>
        <v>11456.36525989881</v>
      </c>
      <c r="D93" s="281">
        <f t="shared" si="4"/>
        <v>3839.6229699007308</v>
      </c>
      <c r="E93" s="281">
        <f t="shared" si="5"/>
        <v>3662197.2601977177</v>
      </c>
      <c r="F93" s="280"/>
      <c r="G93" s="275"/>
      <c r="H93" s="269"/>
      <c r="I93" s="275"/>
    </row>
    <row r="94" spans="1:9">
      <c r="A94" s="335">
        <v>39</v>
      </c>
      <c r="B94" s="281">
        <f t="shared" si="2"/>
        <v>15295.988229799541</v>
      </c>
      <c r="C94" s="281">
        <f t="shared" si="3"/>
        <v>11444.36643811787</v>
      </c>
      <c r="D94" s="281">
        <f t="shared" si="4"/>
        <v>3851.6217916816713</v>
      </c>
      <c r="E94" s="281">
        <f t="shared" si="5"/>
        <v>3658345.638406036</v>
      </c>
      <c r="F94" s="280"/>
      <c r="G94" s="275"/>
      <c r="H94" s="269"/>
      <c r="I94" s="275"/>
    </row>
    <row r="95" spans="1:9">
      <c r="A95" s="335">
        <v>40</v>
      </c>
      <c r="B95" s="281">
        <f t="shared" si="2"/>
        <v>15295.988229799541</v>
      </c>
      <c r="C95" s="281">
        <f t="shared" si="3"/>
        <v>11432.330120018863</v>
      </c>
      <c r="D95" s="281">
        <f t="shared" si="4"/>
        <v>3863.6581097806775</v>
      </c>
      <c r="E95" s="281">
        <f t="shared" si="5"/>
        <v>3654481.9802962551</v>
      </c>
      <c r="F95" s="280"/>
      <c r="G95" s="275"/>
      <c r="H95" s="269"/>
      <c r="I95" s="275"/>
    </row>
    <row r="96" spans="1:9">
      <c r="A96" s="335">
        <v>41</v>
      </c>
      <c r="B96" s="281">
        <f t="shared" si="2"/>
        <v>15295.988229799541</v>
      </c>
      <c r="C96" s="281">
        <f t="shared" si="3"/>
        <v>11420.256188425798</v>
      </c>
      <c r="D96" s="281">
        <f t="shared" si="4"/>
        <v>3875.7320413737434</v>
      </c>
      <c r="E96" s="281">
        <f t="shared" si="5"/>
        <v>3650606.2482548812</v>
      </c>
      <c r="F96" s="280"/>
      <c r="G96" s="275"/>
      <c r="H96" s="269"/>
      <c r="I96" s="275"/>
    </row>
    <row r="97" spans="1:9">
      <c r="A97" s="335">
        <v>42</v>
      </c>
      <c r="B97" s="281">
        <f t="shared" si="2"/>
        <v>15295.988229799541</v>
      </c>
      <c r="C97" s="281">
        <f t="shared" si="3"/>
        <v>11408.144525796504</v>
      </c>
      <c r="D97" s="281">
        <f t="shared" si="4"/>
        <v>3887.8437040030367</v>
      </c>
      <c r="E97" s="281">
        <f t="shared" si="5"/>
        <v>3646718.4045508783</v>
      </c>
      <c r="F97" s="280"/>
      <c r="G97" s="336"/>
      <c r="H97" s="289"/>
      <c r="I97" s="275"/>
    </row>
    <row r="98" spans="1:9">
      <c r="A98" s="335">
        <v>43</v>
      </c>
      <c r="B98" s="281">
        <f t="shared" si="2"/>
        <v>15295.988229799541</v>
      </c>
      <c r="C98" s="281">
        <f t="shared" si="3"/>
        <v>11395.995014221497</v>
      </c>
      <c r="D98" s="281">
        <f t="shared" si="4"/>
        <v>3899.9932155780443</v>
      </c>
      <c r="E98" s="281">
        <f t="shared" si="5"/>
        <v>3642818.4113353002</v>
      </c>
      <c r="F98" s="280"/>
      <c r="G98" s="275"/>
      <c r="H98" s="269"/>
      <c r="I98" s="275"/>
    </row>
    <row r="99" spans="1:9">
      <c r="A99" s="335">
        <v>44</v>
      </c>
      <c r="B99" s="281">
        <f t="shared" si="2"/>
        <v>15295.988229799541</v>
      </c>
      <c r="C99" s="281">
        <f t="shared" si="3"/>
        <v>11383.807535422815</v>
      </c>
      <c r="D99" s="281">
        <f t="shared" si="4"/>
        <v>3912.180694376726</v>
      </c>
      <c r="E99" s="281">
        <f t="shared" si="5"/>
        <v>3638906.2306409236</v>
      </c>
      <c r="F99" s="280"/>
      <c r="G99" s="275"/>
      <c r="H99" s="269"/>
      <c r="I99" s="275"/>
    </row>
    <row r="100" spans="1:9">
      <c r="A100" s="335">
        <v>45</v>
      </c>
      <c r="B100" s="281">
        <f t="shared" si="2"/>
        <v>15295.988229799541</v>
      </c>
      <c r="C100" s="281">
        <f t="shared" si="3"/>
        <v>11371.581970752888</v>
      </c>
      <c r="D100" s="281">
        <f t="shared" si="4"/>
        <v>3924.4062590466528</v>
      </c>
      <c r="E100" s="281">
        <f t="shared" si="5"/>
        <v>3634981.8243818767</v>
      </c>
      <c r="F100" s="280"/>
      <c r="G100" s="275"/>
      <c r="H100" s="269"/>
      <c r="I100" s="275"/>
    </row>
    <row r="101" spans="1:9">
      <c r="A101" s="335">
        <v>46</v>
      </c>
      <c r="B101" s="281">
        <f t="shared" si="2"/>
        <v>15295.988229799541</v>
      </c>
      <c r="C101" s="281">
        <f t="shared" si="3"/>
        <v>11359.318201193366</v>
      </c>
      <c r="D101" s="281">
        <f t="shared" si="4"/>
        <v>3936.670028606175</v>
      </c>
      <c r="E101" s="281">
        <f t="shared" si="5"/>
        <v>3631045.1543532708</v>
      </c>
      <c r="F101" s="280"/>
      <c r="G101" s="275"/>
      <c r="H101" s="269"/>
      <c r="I101" s="275"/>
    </row>
    <row r="102" spans="1:9">
      <c r="A102" s="335">
        <v>47</v>
      </c>
      <c r="B102" s="281">
        <f t="shared" si="2"/>
        <v>15295.988229799541</v>
      </c>
      <c r="C102" s="281">
        <f t="shared" si="3"/>
        <v>11347.016107353973</v>
      </c>
      <c r="D102" s="281">
        <f t="shared" si="4"/>
        <v>3948.9721224455679</v>
      </c>
      <c r="E102" s="281">
        <f t="shared" si="5"/>
        <v>3627096.1822308251</v>
      </c>
      <c r="F102" s="280"/>
      <c r="G102" s="275"/>
      <c r="H102" s="269"/>
      <c r="I102" s="275"/>
    </row>
    <row r="103" spans="1:9">
      <c r="A103" s="335">
        <v>48</v>
      </c>
      <c r="B103" s="281">
        <f t="shared" si="2"/>
        <v>15295.988229799541</v>
      </c>
      <c r="C103" s="281">
        <f t="shared" si="3"/>
        <v>11334.67556947133</v>
      </c>
      <c r="D103" s="281">
        <f t="shared" si="4"/>
        <v>3961.3126603282108</v>
      </c>
      <c r="E103" s="281">
        <f t="shared" si="5"/>
        <v>3623134.869570497</v>
      </c>
      <c r="F103" s="280">
        <v>4</v>
      </c>
      <c r="G103" s="336"/>
      <c r="H103" s="289"/>
      <c r="I103" s="336"/>
    </row>
    <row r="104" spans="1:9">
      <c r="A104" s="335">
        <v>49</v>
      </c>
      <c r="B104" s="281">
        <f t="shared" si="2"/>
        <v>15295.988229799541</v>
      </c>
      <c r="C104" s="281">
        <f t="shared" si="3"/>
        <v>11322.296467407805</v>
      </c>
      <c r="D104" s="281">
        <f t="shared" si="4"/>
        <v>3973.6917623917361</v>
      </c>
      <c r="E104" s="281">
        <f t="shared" si="5"/>
        <v>3619161.177808105</v>
      </c>
      <c r="F104" s="280"/>
      <c r="G104" s="275"/>
      <c r="H104" s="269"/>
      <c r="I104" s="336"/>
    </row>
    <row r="105" spans="1:9">
      <c r="A105" s="335">
        <v>50</v>
      </c>
      <c r="B105" s="281">
        <f t="shared" si="2"/>
        <v>15295.988229799541</v>
      </c>
      <c r="C105" s="281">
        <f t="shared" si="3"/>
        <v>11309.878680650329</v>
      </c>
      <c r="D105" s="281">
        <f t="shared" si="4"/>
        <v>3986.1095491492124</v>
      </c>
      <c r="E105" s="281">
        <f t="shared" si="5"/>
        <v>3615175.0682589556</v>
      </c>
      <c r="F105" s="280"/>
      <c r="G105" s="275"/>
      <c r="H105" s="269"/>
      <c r="I105" s="275"/>
    </row>
    <row r="106" spans="1:9">
      <c r="A106" s="335">
        <v>51</v>
      </c>
      <c r="B106" s="281">
        <f t="shared" si="2"/>
        <v>15295.988229799541</v>
      </c>
      <c r="C106" s="281">
        <f t="shared" si="3"/>
        <v>11297.422088309237</v>
      </c>
      <c r="D106" s="281">
        <f t="shared" si="4"/>
        <v>3998.5661414903043</v>
      </c>
      <c r="E106" s="281">
        <f t="shared" si="5"/>
        <v>3611176.5021174653</v>
      </c>
      <c r="F106" s="280"/>
      <c r="G106" s="275"/>
      <c r="H106" s="269"/>
      <c r="I106" s="275"/>
    </row>
    <row r="107" spans="1:9">
      <c r="A107" s="335">
        <v>52</v>
      </c>
      <c r="B107" s="281">
        <f t="shared" si="2"/>
        <v>15295.988229799541</v>
      </c>
      <c r="C107" s="281">
        <f t="shared" si="3"/>
        <v>11284.92656911708</v>
      </c>
      <c r="D107" s="281">
        <f t="shared" si="4"/>
        <v>4011.0616606824606</v>
      </c>
      <c r="E107" s="281">
        <f t="shared" si="5"/>
        <v>3607165.4404567829</v>
      </c>
      <c r="F107" s="280"/>
      <c r="G107" s="275"/>
      <c r="H107" s="269"/>
      <c r="I107" s="275"/>
    </row>
    <row r="108" spans="1:9">
      <c r="A108" s="335">
        <v>53</v>
      </c>
      <c r="B108" s="281">
        <f t="shared" si="2"/>
        <v>15295.988229799541</v>
      </c>
      <c r="C108" s="281">
        <f t="shared" si="3"/>
        <v>11272.392001427448</v>
      </c>
      <c r="D108" s="281">
        <f t="shared" si="4"/>
        <v>4023.5962283720928</v>
      </c>
      <c r="E108" s="281">
        <f t="shared" si="5"/>
        <v>3603141.8442284106</v>
      </c>
      <c r="F108" s="280"/>
      <c r="G108" s="275"/>
      <c r="H108" s="269"/>
      <c r="I108" s="275"/>
    </row>
    <row r="109" spans="1:9">
      <c r="A109" s="335">
        <v>54</v>
      </c>
      <c r="B109" s="281">
        <f t="shared" si="2"/>
        <v>15295.988229799541</v>
      </c>
      <c r="C109" s="281">
        <f t="shared" si="3"/>
        <v>11259.818263213785</v>
      </c>
      <c r="D109" s="281">
        <f t="shared" si="4"/>
        <v>4036.1699665857559</v>
      </c>
      <c r="E109" s="281">
        <f t="shared" si="5"/>
        <v>3599105.6742618247</v>
      </c>
      <c r="F109" s="280"/>
      <c r="G109" s="336"/>
      <c r="H109" s="289"/>
      <c r="I109" s="275"/>
    </row>
    <row r="110" spans="1:9">
      <c r="A110" s="335">
        <v>55</v>
      </c>
      <c r="B110" s="281">
        <f t="shared" si="2"/>
        <v>15295.988229799541</v>
      </c>
      <c r="C110" s="281">
        <f t="shared" si="3"/>
        <v>11247.205232068203</v>
      </c>
      <c r="D110" s="281">
        <f t="shared" si="4"/>
        <v>4048.7829977313377</v>
      </c>
      <c r="E110" s="281">
        <f t="shared" si="5"/>
        <v>3595056.8912640936</v>
      </c>
      <c r="F110" s="280"/>
      <c r="G110" s="275"/>
      <c r="H110" s="269"/>
      <c r="I110" s="275"/>
    </row>
    <row r="111" spans="1:9">
      <c r="A111" s="335">
        <v>56</v>
      </c>
      <c r="B111" s="281">
        <f t="shared" si="2"/>
        <v>15295.988229799541</v>
      </c>
      <c r="C111" s="281">
        <f t="shared" si="3"/>
        <v>11234.552785200294</v>
      </c>
      <c r="D111" s="281">
        <f t="shared" si="4"/>
        <v>4061.4354445992467</v>
      </c>
      <c r="E111" s="281">
        <f t="shared" si="5"/>
        <v>3590995.4558194946</v>
      </c>
      <c r="F111" s="280"/>
      <c r="G111" s="275"/>
      <c r="H111" s="269"/>
      <c r="I111" s="275"/>
    </row>
    <row r="112" spans="1:9">
      <c r="A112" s="335">
        <v>57</v>
      </c>
      <c r="B112" s="281">
        <f t="shared" si="2"/>
        <v>15295.988229799541</v>
      </c>
      <c r="C112" s="281">
        <f t="shared" si="3"/>
        <v>11221.860799435921</v>
      </c>
      <c r="D112" s="281">
        <f t="shared" si="4"/>
        <v>4074.1274303636201</v>
      </c>
      <c r="E112" s="281">
        <f t="shared" si="5"/>
        <v>3586921.328389131</v>
      </c>
      <c r="F112" s="280"/>
      <c r="G112" s="275"/>
      <c r="H112" s="269"/>
      <c r="I112" s="275"/>
    </row>
    <row r="113" spans="1:9">
      <c r="A113" s="335">
        <v>58</v>
      </c>
      <c r="B113" s="281">
        <f t="shared" si="2"/>
        <v>15295.988229799541</v>
      </c>
      <c r="C113" s="281">
        <f t="shared" si="3"/>
        <v>11209.129151216037</v>
      </c>
      <c r="D113" s="281">
        <f t="shared" si="4"/>
        <v>4086.859078583504</v>
      </c>
      <c r="E113" s="281">
        <f t="shared" si="5"/>
        <v>3582834.4693105477</v>
      </c>
      <c r="F113" s="280"/>
      <c r="G113" s="275"/>
      <c r="H113" s="269"/>
      <c r="I113" s="275"/>
    </row>
    <row r="114" spans="1:9">
      <c r="A114" s="335">
        <v>59</v>
      </c>
      <c r="B114" s="281">
        <f t="shared" si="2"/>
        <v>15295.988229799541</v>
      </c>
      <c r="C114" s="281">
        <f t="shared" si="3"/>
        <v>11196.357716595463</v>
      </c>
      <c r="D114" s="281">
        <f t="shared" si="4"/>
        <v>4099.6305132040779</v>
      </c>
      <c r="E114" s="281">
        <f t="shared" si="5"/>
        <v>3578734.8387973434</v>
      </c>
      <c r="F114" s="280"/>
      <c r="G114" s="275"/>
      <c r="H114" s="269"/>
      <c r="I114" s="275"/>
    </row>
    <row r="115" spans="1:9">
      <c r="A115" s="335">
        <v>60</v>
      </c>
      <c r="B115" s="281">
        <f t="shared" si="2"/>
        <v>15295.988229799541</v>
      </c>
      <c r="C115" s="281">
        <f t="shared" si="3"/>
        <v>11183.546371241699</v>
      </c>
      <c r="D115" s="281">
        <f t="shared" si="4"/>
        <v>4112.4418585578424</v>
      </c>
      <c r="E115" s="281">
        <f t="shared" si="5"/>
        <v>3574622.3969387854</v>
      </c>
      <c r="F115" s="280"/>
      <c r="G115" s="336"/>
      <c r="H115" s="289"/>
      <c r="I115" s="336"/>
    </row>
    <row r="116" spans="1:9">
      <c r="A116" s="335">
        <v>61</v>
      </c>
      <c r="B116" s="281">
        <f t="shared" si="2"/>
        <v>15295.988229799541</v>
      </c>
      <c r="C116" s="281">
        <f t="shared" si="3"/>
        <v>11170.694990433707</v>
      </c>
      <c r="D116" s="281">
        <f t="shared" si="4"/>
        <v>4125.2932393658339</v>
      </c>
      <c r="E116" s="281">
        <f t="shared" si="5"/>
        <v>3570497.1036994196</v>
      </c>
      <c r="F116" s="280"/>
      <c r="G116" s="275"/>
      <c r="H116" s="269"/>
      <c r="I116" s="336"/>
    </row>
    <row r="117" spans="1:9">
      <c r="A117" s="335">
        <v>62</v>
      </c>
      <c r="B117" s="281">
        <f t="shared" si="2"/>
        <v>15295.988229799541</v>
      </c>
      <c r="C117" s="281">
        <f t="shared" si="3"/>
        <v>11157.803449060688</v>
      </c>
      <c r="D117" s="281">
        <f t="shared" si="4"/>
        <v>4138.1847807388531</v>
      </c>
      <c r="E117" s="281">
        <f t="shared" si="5"/>
        <v>3566358.9189186809</v>
      </c>
      <c r="F117" s="280">
        <v>5</v>
      </c>
      <c r="G117" s="275"/>
      <c r="H117" s="269"/>
      <c r="I117" s="275"/>
    </row>
    <row r="118" spans="1:9">
      <c r="A118" s="335">
        <v>63</v>
      </c>
      <c r="B118" s="281">
        <f t="shared" si="2"/>
        <v>15295.988229799541</v>
      </c>
      <c r="C118" s="281">
        <f t="shared" si="3"/>
        <v>11144.87162162088</v>
      </c>
      <c r="D118" s="281">
        <f t="shared" si="4"/>
        <v>4151.1166081786614</v>
      </c>
      <c r="E118" s="281">
        <f t="shared" si="5"/>
        <v>3562207.8023105022</v>
      </c>
      <c r="F118" s="280"/>
      <c r="G118" s="275"/>
      <c r="H118" s="269"/>
      <c r="I118" s="275"/>
    </row>
    <row r="119" spans="1:9">
      <c r="A119" s="335">
        <v>64</v>
      </c>
      <c r="B119" s="281">
        <f t="shared" si="2"/>
        <v>15295.988229799541</v>
      </c>
      <c r="C119" s="281">
        <f t="shared" si="3"/>
        <v>11131.899382220321</v>
      </c>
      <c r="D119" s="281">
        <f t="shared" si="4"/>
        <v>4164.0888475792199</v>
      </c>
      <c r="E119" s="281">
        <f t="shared" si="5"/>
        <v>3558043.7134629227</v>
      </c>
      <c r="F119" s="280"/>
      <c r="G119" s="275"/>
      <c r="H119" s="269"/>
      <c r="I119" s="275"/>
    </row>
    <row r="120" spans="1:9">
      <c r="A120" s="335">
        <v>65</v>
      </c>
      <c r="B120" s="281">
        <f t="shared" ref="B120:B183" si="6">IF(A120&gt;12*$D$14,0,$D$20)</f>
        <v>15295.988229799541</v>
      </c>
      <c r="C120" s="281">
        <f t="shared" ref="C120:C183" si="7">IF(A120&gt;12*$D$14,0,E119*$D$10/12)</f>
        <v>11118.886604571635</v>
      </c>
      <c r="D120" s="281">
        <f t="shared" ref="D120:D183" si="8">IF(A120&gt;12*$D$14,0,B120-C120)</f>
        <v>4177.101625227906</v>
      </c>
      <c r="E120" s="281">
        <f t="shared" ref="E120:E183" si="9">IF(A120&gt;12*$D$14,0,E119-D120)</f>
        <v>3553866.6118376949</v>
      </c>
      <c r="F120" s="280"/>
      <c r="G120" s="275"/>
      <c r="H120" s="269"/>
      <c r="I120" s="275"/>
    </row>
    <row r="121" spans="1:9">
      <c r="A121" s="335">
        <v>66</v>
      </c>
      <c r="B121" s="281">
        <f t="shared" si="6"/>
        <v>15295.988229799541</v>
      </c>
      <c r="C121" s="281">
        <f t="shared" si="7"/>
        <v>11105.833161992798</v>
      </c>
      <c r="D121" s="281">
        <f t="shared" si="8"/>
        <v>4190.1550678067433</v>
      </c>
      <c r="E121" s="281">
        <f t="shared" si="9"/>
        <v>3549676.4567698883</v>
      </c>
      <c r="F121" s="280"/>
      <c r="G121" s="336"/>
      <c r="H121" s="289"/>
      <c r="I121" s="275"/>
    </row>
    <row r="122" spans="1:9">
      <c r="A122" s="335">
        <v>67</v>
      </c>
      <c r="B122" s="281">
        <f t="shared" si="6"/>
        <v>15295.988229799541</v>
      </c>
      <c r="C122" s="281">
        <f t="shared" si="7"/>
        <v>11092.738927405902</v>
      </c>
      <c r="D122" s="281">
        <f t="shared" si="8"/>
        <v>4203.2493023936386</v>
      </c>
      <c r="E122" s="281">
        <f t="shared" si="9"/>
        <v>3545473.2074674945</v>
      </c>
      <c r="F122" s="280"/>
      <c r="G122" s="275"/>
      <c r="H122" s="269"/>
      <c r="I122" s="275"/>
    </row>
    <row r="123" spans="1:9">
      <c r="A123" s="335">
        <v>68</v>
      </c>
      <c r="B123" s="281">
        <f t="shared" si="6"/>
        <v>15295.988229799541</v>
      </c>
      <c r="C123" s="281">
        <f t="shared" si="7"/>
        <v>11079.603773335921</v>
      </c>
      <c r="D123" s="281">
        <f t="shared" si="8"/>
        <v>4216.3844564636202</v>
      </c>
      <c r="E123" s="281">
        <f t="shared" si="9"/>
        <v>3541256.8230110309</v>
      </c>
      <c r="F123" s="280"/>
      <c r="G123" s="275"/>
      <c r="H123" s="269"/>
      <c r="I123" s="275"/>
    </row>
    <row r="124" spans="1:9">
      <c r="A124" s="335">
        <v>69</v>
      </c>
      <c r="B124" s="281">
        <f t="shared" si="6"/>
        <v>15295.988229799541</v>
      </c>
      <c r="C124" s="281">
        <f t="shared" si="7"/>
        <v>11066.427571909473</v>
      </c>
      <c r="D124" s="281">
        <f t="shared" si="8"/>
        <v>4229.5606578900679</v>
      </c>
      <c r="E124" s="281">
        <f t="shared" si="9"/>
        <v>3537027.2623531409</v>
      </c>
      <c r="F124" s="280"/>
      <c r="G124" s="275"/>
      <c r="H124" s="269"/>
      <c r="I124" s="275"/>
    </row>
    <row r="125" spans="1:9">
      <c r="A125" s="335">
        <v>70</v>
      </c>
      <c r="B125" s="281">
        <f t="shared" si="6"/>
        <v>15295.988229799541</v>
      </c>
      <c r="C125" s="281">
        <f t="shared" si="7"/>
        <v>11053.210194853566</v>
      </c>
      <c r="D125" s="281">
        <f t="shared" si="8"/>
        <v>4242.7780349459754</v>
      </c>
      <c r="E125" s="281">
        <f t="shared" si="9"/>
        <v>3532784.4843181949</v>
      </c>
      <c r="F125" s="280"/>
      <c r="G125" s="275"/>
      <c r="H125" s="269"/>
      <c r="I125" s="275"/>
    </row>
    <row r="126" spans="1:9">
      <c r="A126" s="335">
        <v>71</v>
      </c>
      <c r="B126" s="281">
        <f t="shared" si="6"/>
        <v>15295.988229799541</v>
      </c>
      <c r="C126" s="281">
        <f t="shared" si="7"/>
        <v>11039.951513494359</v>
      </c>
      <c r="D126" s="281">
        <f t="shared" si="8"/>
        <v>4256.0367163051815</v>
      </c>
      <c r="E126" s="281">
        <f t="shared" si="9"/>
        <v>3528528.4476018897</v>
      </c>
      <c r="F126" s="280"/>
      <c r="G126" s="275"/>
      <c r="H126" s="269"/>
      <c r="I126" s="275"/>
    </row>
    <row r="127" spans="1:9">
      <c r="A127" s="335">
        <v>72</v>
      </c>
      <c r="B127" s="281">
        <f t="shared" si="6"/>
        <v>15295.988229799541</v>
      </c>
      <c r="C127" s="281">
        <f t="shared" si="7"/>
        <v>11026.651398755906</v>
      </c>
      <c r="D127" s="281">
        <f t="shared" si="8"/>
        <v>4269.3368310436344</v>
      </c>
      <c r="E127" s="281">
        <f t="shared" si="9"/>
        <v>3524259.1107708463</v>
      </c>
      <c r="F127" s="280"/>
      <c r="G127" s="336"/>
      <c r="H127" s="289"/>
      <c r="I127" s="336"/>
    </row>
    <row r="128" spans="1:9">
      <c r="A128" s="335">
        <v>73</v>
      </c>
      <c r="B128" s="281">
        <f t="shared" si="6"/>
        <v>15295.988229799541</v>
      </c>
      <c r="C128" s="281">
        <f t="shared" si="7"/>
        <v>11013.309721158896</v>
      </c>
      <c r="D128" s="281">
        <f t="shared" si="8"/>
        <v>4282.6785086406453</v>
      </c>
      <c r="E128" s="281">
        <f t="shared" si="9"/>
        <v>3519976.4322622055</v>
      </c>
      <c r="F128" s="280"/>
      <c r="G128" s="275"/>
      <c r="H128" s="269"/>
      <c r="I128" s="336"/>
    </row>
    <row r="129" spans="1:9">
      <c r="A129" s="335">
        <v>74</v>
      </c>
      <c r="B129" s="281">
        <f t="shared" si="6"/>
        <v>15295.988229799541</v>
      </c>
      <c r="C129" s="281">
        <f t="shared" si="7"/>
        <v>10999.926350819393</v>
      </c>
      <c r="D129" s="281">
        <f t="shared" si="8"/>
        <v>4296.0618789801483</v>
      </c>
      <c r="E129" s="281">
        <f t="shared" si="9"/>
        <v>3515680.3703832254</v>
      </c>
      <c r="F129" s="280">
        <v>6</v>
      </c>
      <c r="G129" s="275"/>
      <c r="H129" s="269"/>
      <c r="I129" s="275"/>
    </row>
    <row r="130" spans="1:9">
      <c r="A130" s="335">
        <v>75</v>
      </c>
      <c r="B130" s="281">
        <f t="shared" si="6"/>
        <v>15295.988229799541</v>
      </c>
      <c r="C130" s="281">
        <f t="shared" si="7"/>
        <v>10986.501157447581</v>
      </c>
      <c r="D130" s="281">
        <f t="shared" si="8"/>
        <v>4309.4870723519598</v>
      </c>
      <c r="E130" s="281">
        <f t="shared" si="9"/>
        <v>3511370.8833108735</v>
      </c>
      <c r="F130" s="280"/>
      <c r="G130" s="275"/>
      <c r="H130" s="269"/>
      <c r="I130" s="275"/>
    </row>
    <row r="131" spans="1:9">
      <c r="A131" s="335">
        <v>76</v>
      </c>
      <c r="B131" s="281">
        <f t="shared" si="6"/>
        <v>15295.988229799541</v>
      </c>
      <c r="C131" s="281">
        <f t="shared" si="7"/>
        <v>10973.034010346482</v>
      </c>
      <c r="D131" s="281">
        <f t="shared" si="8"/>
        <v>4322.9542194530586</v>
      </c>
      <c r="E131" s="281">
        <f t="shared" si="9"/>
        <v>3507047.9290914205</v>
      </c>
      <c r="F131" s="280"/>
      <c r="G131" s="275"/>
      <c r="H131" s="269"/>
      <c r="I131" s="275"/>
    </row>
    <row r="132" spans="1:9">
      <c r="A132" s="335">
        <v>77</v>
      </c>
      <c r="B132" s="281">
        <f t="shared" si="6"/>
        <v>15295.988229799541</v>
      </c>
      <c r="C132" s="281">
        <f t="shared" si="7"/>
        <v>10959.52477841069</v>
      </c>
      <c r="D132" s="281">
        <f t="shared" si="8"/>
        <v>4336.4634513888504</v>
      </c>
      <c r="E132" s="281">
        <f t="shared" si="9"/>
        <v>3502711.4656400317</v>
      </c>
      <c r="F132" s="280"/>
      <c r="G132" s="275"/>
      <c r="H132" s="269"/>
      <c r="I132" s="275"/>
    </row>
    <row r="133" spans="1:9">
      <c r="A133" s="335">
        <v>78</v>
      </c>
      <c r="B133" s="281">
        <f t="shared" si="6"/>
        <v>15295.988229799541</v>
      </c>
      <c r="C133" s="281">
        <f t="shared" si="7"/>
        <v>10945.973330125102</v>
      </c>
      <c r="D133" s="281">
        <f t="shared" si="8"/>
        <v>4350.0148996744392</v>
      </c>
      <c r="E133" s="281">
        <f t="shared" si="9"/>
        <v>3498361.4507403574</v>
      </c>
      <c r="F133" s="280"/>
      <c r="G133" s="336"/>
      <c r="H133" s="289"/>
      <c r="I133" s="275"/>
    </row>
    <row r="134" spans="1:9">
      <c r="A134" s="335">
        <v>79</v>
      </c>
      <c r="B134" s="281">
        <f t="shared" si="6"/>
        <v>15295.988229799541</v>
      </c>
      <c r="C134" s="281">
        <f t="shared" si="7"/>
        <v>10932.379533563619</v>
      </c>
      <c r="D134" s="281">
        <f t="shared" si="8"/>
        <v>4363.6086962359223</v>
      </c>
      <c r="E134" s="281">
        <f t="shared" si="9"/>
        <v>3493997.8420441216</v>
      </c>
      <c r="F134" s="280"/>
      <c r="G134" s="275"/>
      <c r="H134" s="269"/>
      <c r="I134" s="275"/>
    </row>
    <row r="135" spans="1:9">
      <c r="A135" s="335">
        <v>80</v>
      </c>
      <c r="B135" s="281">
        <f t="shared" si="6"/>
        <v>15295.988229799541</v>
      </c>
      <c r="C135" s="281">
        <f t="shared" si="7"/>
        <v>10918.743256387881</v>
      </c>
      <c r="D135" s="281">
        <f t="shared" si="8"/>
        <v>4377.2449734116599</v>
      </c>
      <c r="E135" s="281">
        <f t="shared" si="9"/>
        <v>3489620.5970707098</v>
      </c>
      <c r="F135" s="280"/>
      <c r="G135" s="275"/>
      <c r="H135" s="269"/>
      <c r="I135" s="275"/>
    </row>
    <row r="136" spans="1:9">
      <c r="A136" s="335">
        <v>81</v>
      </c>
      <c r="B136" s="281">
        <f t="shared" si="6"/>
        <v>15295.988229799541</v>
      </c>
      <c r="C136" s="281">
        <f t="shared" si="7"/>
        <v>10905.06436584597</v>
      </c>
      <c r="D136" s="281">
        <f t="shared" si="8"/>
        <v>4390.9238639535706</v>
      </c>
      <c r="E136" s="281">
        <f t="shared" si="9"/>
        <v>3485229.6732067564</v>
      </c>
      <c r="F136" s="280"/>
      <c r="G136" s="275"/>
      <c r="H136" s="269"/>
      <c r="I136" s="275"/>
    </row>
    <row r="137" spans="1:9">
      <c r="A137" s="335">
        <v>82</v>
      </c>
      <c r="B137" s="281">
        <f t="shared" si="6"/>
        <v>15295.988229799541</v>
      </c>
      <c r="C137" s="281">
        <f t="shared" si="7"/>
        <v>10891.342728771115</v>
      </c>
      <c r="D137" s="281">
        <f t="shared" si="8"/>
        <v>4404.6455010284262</v>
      </c>
      <c r="E137" s="281">
        <f t="shared" si="9"/>
        <v>3480825.0277057281</v>
      </c>
      <c r="F137" s="280"/>
      <c r="G137" s="275"/>
      <c r="H137" s="269"/>
      <c r="I137" s="275"/>
    </row>
    <row r="138" spans="1:9">
      <c r="A138" s="335">
        <v>83</v>
      </c>
      <c r="B138" s="281">
        <f t="shared" si="6"/>
        <v>15295.988229799541</v>
      </c>
      <c r="C138" s="281">
        <f t="shared" si="7"/>
        <v>10877.578211580401</v>
      </c>
      <c r="D138" s="281">
        <f t="shared" si="8"/>
        <v>4418.4100182191396</v>
      </c>
      <c r="E138" s="281">
        <f t="shared" si="9"/>
        <v>3476406.6176875089</v>
      </c>
      <c r="F138" s="280"/>
      <c r="G138" s="275"/>
      <c r="H138" s="269"/>
      <c r="I138" s="275"/>
    </row>
    <row r="139" spans="1:9">
      <c r="A139" s="335">
        <v>84</v>
      </c>
      <c r="B139" s="281">
        <f t="shared" si="6"/>
        <v>15295.988229799541</v>
      </c>
      <c r="C139" s="281">
        <f t="shared" si="7"/>
        <v>10863.770680273466</v>
      </c>
      <c r="D139" s="281">
        <f t="shared" si="8"/>
        <v>4432.2175495260744</v>
      </c>
      <c r="E139" s="281">
        <f t="shared" si="9"/>
        <v>3471974.4001379828</v>
      </c>
      <c r="F139" s="280">
        <v>7</v>
      </c>
      <c r="G139" s="336"/>
      <c r="H139" s="289"/>
      <c r="I139" s="336"/>
    </row>
    <row r="140" spans="1:9">
      <c r="A140" s="335">
        <v>85</v>
      </c>
      <c r="B140" s="281">
        <f t="shared" si="6"/>
        <v>15295.988229799541</v>
      </c>
      <c r="C140" s="281">
        <f t="shared" si="7"/>
        <v>10849.920000431199</v>
      </c>
      <c r="D140" s="281">
        <f t="shared" si="8"/>
        <v>4446.0682293683421</v>
      </c>
      <c r="E140" s="281">
        <f t="shared" si="9"/>
        <v>3467528.3319086144</v>
      </c>
      <c r="F140" s="280"/>
      <c r="G140" s="275"/>
      <c r="H140" s="269"/>
      <c r="I140" s="336"/>
    </row>
    <row r="141" spans="1:9">
      <c r="A141" s="335">
        <v>86</v>
      </c>
      <c r="B141" s="281">
        <f t="shared" si="6"/>
        <v>15295.988229799541</v>
      </c>
      <c r="C141" s="281">
        <f t="shared" si="7"/>
        <v>10836.026037214422</v>
      </c>
      <c r="D141" s="281">
        <f t="shared" si="8"/>
        <v>4459.9621925851188</v>
      </c>
      <c r="E141" s="281">
        <f t="shared" si="9"/>
        <v>3463068.3697160291</v>
      </c>
      <c r="F141" s="280"/>
      <c r="G141" s="275"/>
      <c r="H141" s="269"/>
      <c r="I141" s="275"/>
    </row>
    <row r="142" spans="1:9">
      <c r="A142" s="335">
        <v>87</v>
      </c>
      <c r="B142" s="281">
        <f t="shared" si="6"/>
        <v>15295.988229799541</v>
      </c>
      <c r="C142" s="281">
        <f t="shared" si="7"/>
        <v>10822.088655362593</v>
      </c>
      <c r="D142" s="281">
        <f t="shared" si="8"/>
        <v>4473.8995744369477</v>
      </c>
      <c r="E142" s="281">
        <f t="shared" si="9"/>
        <v>3458594.470141592</v>
      </c>
      <c r="F142" s="280"/>
      <c r="G142" s="275"/>
      <c r="H142" s="269"/>
      <c r="I142" s="275"/>
    </row>
    <row r="143" spans="1:9">
      <c r="A143" s="335">
        <v>88</v>
      </c>
      <c r="B143" s="281">
        <f t="shared" si="6"/>
        <v>15295.988229799541</v>
      </c>
      <c r="C143" s="281">
        <f t="shared" si="7"/>
        <v>10808.107719192476</v>
      </c>
      <c r="D143" s="281">
        <f t="shared" si="8"/>
        <v>4487.8805106070649</v>
      </c>
      <c r="E143" s="281">
        <f t="shared" si="9"/>
        <v>3454106.5896309847</v>
      </c>
      <c r="F143" s="280"/>
      <c r="G143" s="275"/>
      <c r="H143" s="269"/>
      <c r="I143" s="275"/>
    </row>
    <row r="144" spans="1:9">
      <c r="A144" s="335">
        <v>89</v>
      </c>
      <c r="B144" s="281">
        <f t="shared" si="6"/>
        <v>15295.988229799541</v>
      </c>
      <c r="C144" s="281">
        <f t="shared" si="7"/>
        <v>10794.083092596829</v>
      </c>
      <c r="D144" s="281">
        <f t="shared" si="8"/>
        <v>4501.9051372027116</v>
      </c>
      <c r="E144" s="281">
        <f t="shared" si="9"/>
        <v>3449604.684493782</v>
      </c>
      <c r="F144" s="280"/>
      <c r="G144" s="275"/>
      <c r="H144" s="269"/>
      <c r="I144" s="275"/>
    </row>
    <row r="145" spans="1:9">
      <c r="A145" s="335">
        <v>90</v>
      </c>
      <c r="B145" s="281">
        <f t="shared" si="6"/>
        <v>15295.988229799541</v>
      </c>
      <c r="C145" s="281">
        <f t="shared" si="7"/>
        <v>10780.014639043071</v>
      </c>
      <c r="D145" s="281">
        <f t="shared" si="8"/>
        <v>4515.97359075647</v>
      </c>
      <c r="E145" s="281">
        <f t="shared" si="9"/>
        <v>3445088.7109030257</v>
      </c>
      <c r="F145" s="280"/>
      <c r="G145" s="336"/>
      <c r="H145" s="289"/>
      <c r="I145" s="275"/>
    </row>
    <row r="146" spans="1:9">
      <c r="A146" s="335">
        <v>91</v>
      </c>
      <c r="B146" s="281">
        <f t="shared" si="6"/>
        <v>15295.988229799541</v>
      </c>
      <c r="C146" s="281">
        <f t="shared" si="7"/>
        <v>10765.902221571958</v>
      </c>
      <c r="D146" s="281">
        <f t="shared" si="8"/>
        <v>4530.0860082275831</v>
      </c>
      <c r="E146" s="281">
        <f t="shared" si="9"/>
        <v>3440558.6248947983</v>
      </c>
      <c r="F146" s="280"/>
      <c r="G146" s="275"/>
      <c r="H146" s="269"/>
      <c r="I146" s="275"/>
    </row>
    <row r="147" spans="1:9">
      <c r="A147" s="335">
        <v>92</v>
      </c>
      <c r="B147" s="281">
        <f t="shared" si="6"/>
        <v>15295.988229799541</v>
      </c>
      <c r="C147" s="281">
        <f t="shared" si="7"/>
        <v>10751.745702796246</v>
      </c>
      <c r="D147" s="281">
        <f t="shared" si="8"/>
        <v>4544.2425270032945</v>
      </c>
      <c r="E147" s="281">
        <f t="shared" si="9"/>
        <v>3436014.3823677949</v>
      </c>
      <c r="F147" s="280"/>
      <c r="G147" s="275"/>
      <c r="H147" s="269"/>
      <c r="I147" s="275"/>
    </row>
    <row r="148" spans="1:9">
      <c r="A148" s="335">
        <v>93</v>
      </c>
      <c r="B148" s="281">
        <f t="shared" si="6"/>
        <v>15295.988229799541</v>
      </c>
      <c r="C148" s="281">
        <f t="shared" si="7"/>
        <v>10737.54494489936</v>
      </c>
      <c r="D148" s="281">
        <f t="shared" si="8"/>
        <v>4558.4432849001805</v>
      </c>
      <c r="E148" s="281">
        <f t="shared" si="9"/>
        <v>3431455.9390828945</v>
      </c>
      <c r="F148" s="280"/>
      <c r="G148" s="275"/>
      <c r="H148" s="269"/>
      <c r="I148" s="275"/>
    </row>
    <row r="149" spans="1:9">
      <c r="A149" s="335">
        <v>94</v>
      </c>
      <c r="B149" s="281">
        <f t="shared" si="6"/>
        <v>15295.988229799541</v>
      </c>
      <c r="C149" s="281">
        <f t="shared" si="7"/>
        <v>10723.299809634047</v>
      </c>
      <c r="D149" s="281">
        <f t="shared" si="8"/>
        <v>4572.6884201654939</v>
      </c>
      <c r="E149" s="281">
        <f t="shared" si="9"/>
        <v>3426883.2506627291</v>
      </c>
      <c r="F149" s="280"/>
      <c r="G149" s="275"/>
      <c r="H149" s="269"/>
      <c r="I149" s="275"/>
    </row>
    <row r="150" spans="1:9">
      <c r="A150" s="335">
        <v>95</v>
      </c>
      <c r="B150" s="281">
        <f t="shared" si="6"/>
        <v>15295.988229799541</v>
      </c>
      <c r="C150" s="281">
        <f t="shared" si="7"/>
        <v>10709.010158321031</v>
      </c>
      <c r="D150" s="281">
        <f t="shared" si="8"/>
        <v>4586.9780714785102</v>
      </c>
      <c r="E150" s="281">
        <f t="shared" si="9"/>
        <v>3422296.2725912505</v>
      </c>
      <c r="F150" s="280"/>
      <c r="G150" s="275"/>
      <c r="H150" s="269"/>
      <c r="I150" s="275"/>
    </row>
    <row r="151" spans="1:9">
      <c r="A151" s="335">
        <v>96</v>
      </c>
      <c r="B151" s="281">
        <f t="shared" si="6"/>
        <v>15295.988229799541</v>
      </c>
      <c r="C151" s="281">
        <f t="shared" si="7"/>
        <v>10694.67585184766</v>
      </c>
      <c r="D151" s="281">
        <f t="shared" si="8"/>
        <v>4601.312377951881</v>
      </c>
      <c r="E151" s="281">
        <f t="shared" si="9"/>
        <v>3417694.9602132984</v>
      </c>
      <c r="F151" s="280">
        <v>8</v>
      </c>
      <c r="G151" s="336"/>
      <c r="H151" s="289"/>
      <c r="I151" s="336"/>
    </row>
    <row r="152" spans="1:9">
      <c r="A152" s="335">
        <v>97</v>
      </c>
      <c r="B152" s="281">
        <f t="shared" si="6"/>
        <v>15295.988229799541</v>
      </c>
      <c r="C152" s="281">
        <f t="shared" si="7"/>
        <v>10680.296750666559</v>
      </c>
      <c r="D152" s="281">
        <f t="shared" si="8"/>
        <v>4615.6914791329818</v>
      </c>
      <c r="E152" s="281">
        <f t="shared" si="9"/>
        <v>3413079.2687341655</v>
      </c>
      <c r="F152" s="280"/>
      <c r="G152" s="275"/>
      <c r="H152" s="269"/>
      <c r="I152" s="336"/>
    </row>
    <row r="153" spans="1:9">
      <c r="A153" s="335">
        <v>98</v>
      </c>
      <c r="B153" s="281">
        <f t="shared" si="6"/>
        <v>15295.988229799541</v>
      </c>
      <c r="C153" s="281">
        <f t="shared" si="7"/>
        <v>10665.872714794268</v>
      </c>
      <c r="D153" s="281">
        <f t="shared" si="8"/>
        <v>4630.1155150052728</v>
      </c>
      <c r="E153" s="281">
        <f t="shared" si="9"/>
        <v>3408449.1532191602</v>
      </c>
      <c r="F153" s="280"/>
      <c r="G153" s="275"/>
      <c r="H153" s="269"/>
      <c r="I153" s="275"/>
    </row>
    <row r="154" spans="1:9">
      <c r="A154" s="335">
        <v>99</v>
      </c>
      <c r="B154" s="281">
        <f t="shared" si="6"/>
        <v>15295.988229799541</v>
      </c>
      <c r="C154" s="281">
        <f t="shared" si="7"/>
        <v>10651.403603809877</v>
      </c>
      <c r="D154" s="281">
        <f t="shared" si="8"/>
        <v>4644.5846259896643</v>
      </c>
      <c r="E154" s="281">
        <f t="shared" si="9"/>
        <v>3403804.5685931705</v>
      </c>
      <c r="F154" s="280"/>
      <c r="G154" s="275"/>
      <c r="H154" s="269"/>
      <c r="I154" s="275"/>
    </row>
    <row r="155" spans="1:9">
      <c r="A155" s="335">
        <v>100</v>
      </c>
      <c r="B155" s="281">
        <f t="shared" si="6"/>
        <v>15295.988229799541</v>
      </c>
      <c r="C155" s="281">
        <f t="shared" si="7"/>
        <v>10636.889276853659</v>
      </c>
      <c r="D155" s="281">
        <f t="shared" si="8"/>
        <v>4659.098952945882</v>
      </c>
      <c r="E155" s="281">
        <f t="shared" si="9"/>
        <v>3399145.4696402247</v>
      </c>
      <c r="F155" s="280"/>
      <c r="G155" s="275"/>
      <c r="H155" s="269"/>
      <c r="I155" s="275"/>
    </row>
    <row r="156" spans="1:9">
      <c r="A156" s="335">
        <v>101</v>
      </c>
      <c r="B156" s="281">
        <f t="shared" si="6"/>
        <v>15295.988229799541</v>
      </c>
      <c r="C156" s="281">
        <f t="shared" si="7"/>
        <v>10622.329592625703</v>
      </c>
      <c r="D156" s="281">
        <f t="shared" si="8"/>
        <v>4673.6586371738376</v>
      </c>
      <c r="E156" s="281">
        <f t="shared" si="9"/>
        <v>3394471.8110030508</v>
      </c>
      <c r="F156" s="280"/>
      <c r="G156" s="275"/>
      <c r="H156" s="269"/>
      <c r="I156" s="275"/>
    </row>
    <row r="157" spans="1:9">
      <c r="A157" s="335">
        <v>102</v>
      </c>
      <c r="B157" s="281">
        <f t="shared" si="6"/>
        <v>15295.988229799541</v>
      </c>
      <c r="C157" s="281">
        <f t="shared" si="7"/>
        <v>10607.724409384535</v>
      </c>
      <c r="D157" s="281">
        <f t="shared" si="8"/>
        <v>4688.2638204150062</v>
      </c>
      <c r="E157" s="281">
        <f t="shared" si="9"/>
        <v>3389783.5471826359</v>
      </c>
      <c r="F157" s="280"/>
      <c r="G157" s="336"/>
      <c r="H157" s="289"/>
      <c r="I157" s="275"/>
    </row>
    <row r="158" spans="1:9">
      <c r="A158" s="335">
        <v>103</v>
      </c>
      <c r="B158" s="281">
        <f t="shared" si="6"/>
        <v>15295.988229799541</v>
      </c>
      <c r="C158" s="281">
        <f t="shared" si="7"/>
        <v>10593.07358494574</v>
      </c>
      <c r="D158" s="281">
        <f t="shared" si="8"/>
        <v>4702.9146448538013</v>
      </c>
      <c r="E158" s="281">
        <f t="shared" si="9"/>
        <v>3385080.6325377822</v>
      </c>
      <c r="F158" s="280"/>
      <c r="G158" s="275"/>
      <c r="H158" s="269"/>
      <c r="I158" s="275"/>
    </row>
    <row r="159" spans="1:9">
      <c r="A159" s="335">
        <v>104</v>
      </c>
      <c r="B159" s="281">
        <f t="shared" si="6"/>
        <v>15295.988229799541</v>
      </c>
      <c r="C159" s="281">
        <f t="shared" si="7"/>
        <v>10578.376976680571</v>
      </c>
      <c r="D159" s="281">
        <f t="shared" si="8"/>
        <v>4717.6112531189701</v>
      </c>
      <c r="E159" s="281">
        <f t="shared" si="9"/>
        <v>3380363.0212846631</v>
      </c>
      <c r="F159" s="280"/>
      <c r="G159" s="275"/>
      <c r="H159" s="269"/>
      <c r="I159" s="275"/>
    </row>
    <row r="160" spans="1:9">
      <c r="A160" s="335">
        <v>105</v>
      </c>
      <c r="B160" s="281">
        <f t="shared" si="6"/>
        <v>15295.988229799541</v>
      </c>
      <c r="C160" s="281">
        <f t="shared" si="7"/>
        <v>10563.634441514574</v>
      </c>
      <c r="D160" s="281">
        <f t="shared" si="8"/>
        <v>4732.3537882849669</v>
      </c>
      <c r="E160" s="281">
        <f t="shared" si="9"/>
        <v>3375630.6674963781</v>
      </c>
      <c r="F160" s="280"/>
      <c r="G160" s="275"/>
      <c r="H160" s="269"/>
      <c r="I160" s="275"/>
    </row>
    <row r="161" spans="1:9">
      <c r="A161" s="335">
        <v>106</v>
      </c>
      <c r="B161" s="281">
        <f t="shared" si="6"/>
        <v>15295.988229799541</v>
      </c>
      <c r="C161" s="281">
        <f t="shared" si="7"/>
        <v>10548.845835926184</v>
      </c>
      <c r="D161" s="281">
        <f t="shared" si="8"/>
        <v>4747.1423938733569</v>
      </c>
      <c r="E161" s="281">
        <f t="shared" si="9"/>
        <v>3370883.5251025045</v>
      </c>
      <c r="F161" s="280"/>
      <c r="G161" s="275"/>
      <c r="H161" s="269"/>
      <c r="I161" s="275"/>
    </row>
    <row r="162" spans="1:9">
      <c r="A162" s="335">
        <v>107</v>
      </c>
      <c r="B162" s="281">
        <f t="shared" si="6"/>
        <v>15295.988229799541</v>
      </c>
      <c r="C162" s="281">
        <f t="shared" si="7"/>
        <v>10534.011015945327</v>
      </c>
      <c r="D162" s="281">
        <f t="shared" si="8"/>
        <v>4761.9772138542139</v>
      </c>
      <c r="E162" s="281">
        <f t="shared" si="9"/>
        <v>3366121.5478886501</v>
      </c>
      <c r="F162" s="280"/>
      <c r="G162" s="275"/>
      <c r="H162" s="269"/>
      <c r="I162" s="275"/>
    </row>
    <row r="163" spans="1:9">
      <c r="A163" s="335">
        <v>108</v>
      </c>
      <c r="B163" s="281">
        <f t="shared" si="6"/>
        <v>15295.988229799541</v>
      </c>
      <c r="C163" s="281">
        <f t="shared" si="7"/>
        <v>10519.129837152033</v>
      </c>
      <c r="D163" s="281">
        <f t="shared" si="8"/>
        <v>4776.8583926475076</v>
      </c>
      <c r="E163" s="281">
        <f t="shared" si="9"/>
        <v>3361344.6894960026</v>
      </c>
      <c r="F163" s="280">
        <v>9</v>
      </c>
      <c r="G163" s="336"/>
      <c r="H163" s="289"/>
      <c r="I163" s="336"/>
    </row>
    <row r="164" spans="1:9">
      <c r="A164" s="335">
        <v>109</v>
      </c>
      <c r="B164" s="281">
        <f t="shared" si="6"/>
        <v>15295.988229799541</v>
      </c>
      <c r="C164" s="281">
        <f t="shared" si="7"/>
        <v>10504.202154675009</v>
      </c>
      <c r="D164" s="281">
        <f t="shared" si="8"/>
        <v>4791.7860751245316</v>
      </c>
      <c r="E164" s="281">
        <f t="shared" si="9"/>
        <v>3356552.9034208781</v>
      </c>
      <c r="F164" s="280"/>
      <c r="G164" s="275"/>
      <c r="H164" s="269"/>
      <c r="I164" s="336"/>
    </row>
    <row r="165" spans="1:9">
      <c r="A165" s="335">
        <v>110</v>
      </c>
      <c r="B165" s="281">
        <f t="shared" si="6"/>
        <v>15295.988229799541</v>
      </c>
      <c r="C165" s="281">
        <f t="shared" si="7"/>
        <v>10489.227823190246</v>
      </c>
      <c r="D165" s="281">
        <f t="shared" si="8"/>
        <v>4806.7604066092954</v>
      </c>
      <c r="E165" s="281">
        <f t="shared" si="9"/>
        <v>3351746.1430142689</v>
      </c>
      <c r="F165" s="280"/>
      <c r="G165" s="275"/>
      <c r="H165" s="269"/>
      <c r="I165" s="275"/>
    </row>
    <row r="166" spans="1:9">
      <c r="A166" s="335">
        <v>111</v>
      </c>
      <c r="B166" s="281">
        <f t="shared" si="6"/>
        <v>15295.988229799541</v>
      </c>
      <c r="C166" s="281">
        <f t="shared" si="7"/>
        <v>10474.206696919593</v>
      </c>
      <c r="D166" s="281">
        <f t="shared" si="8"/>
        <v>4821.7815328799479</v>
      </c>
      <c r="E166" s="281">
        <f t="shared" si="9"/>
        <v>3346924.361481389</v>
      </c>
      <c r="F166" s="280"/>
      <c r="G166" s="275"/>
      <c r="H166" s="269"/>
      <c r="I166" s="275"/>
    </row>
    <row r="167" spans="1:9">
      <c r="A167" s="335">
        <v>112</v>
      </c>
      <c r="B167" s="281">
        <f t="shared" si="6"/>
        <v>15295.988229799541</v>
      </c>
      <c r="C167" s="281">
        <f t="shared" si="7"/>
        <v>10459.138629629342</v>
      </c>
      <c r="D167" s="281">
        <f t="shared" si="8"/>
        <v>4836.8496001701988</v>
      </c>
      <c r="E167" s="281">
        <f t="shared" si="9"/>
        <v>3342087.5118812188</v>
      </c>
      <c r="F167" s="280"/>
      <c r="G167" s="275"/>
      <c r="H167" s="269"/>
      <c r="I167" s="275"/>
    </row>
    <row r="168" spans="1:9">
      <c r="A168" s="335">
        <v>113</v>
      </c>
      <c r="B168" s="281">
        <f t="shared" si="6"/>
        <v>15295.988229799541</v>
      </c>
      <c r="C168" s="281">
        <f t="shared" si="7"/>
        <v>10444.02347462881</v>
      </c>
      <c r="D168" s="281">
        <f t="shared" si="8"/>
        <v>4851.9647551707312</v>
      </c>
      <c r="E168" s="281">
        <f t="shared" si="9"/>
        <v>3337235.5471260482</v>
      </c>
      <c r="F168" s="280"/>
      <c r="G168" s="275"/>
      <c r="H168" s="269"/>
      <c r="I168" s="275"/>
    </row>
    <row r="169" spans="1:9">
      <c r="A169" s="335">
        <v>114</v>
      </c>
      <c r="B169" s="281">
        <f t="shared" si="6"/>
        <v>15295.988229799541</v>
      </c>
      <c r="C169" s="281">
        <f t="shared" si="7"/>
        <v>10428.861084768903</v>
      </c>
      <c r="D169" s="281">
        <f t="shared" si="8"/>
        <v>4867.1271450306376</v>
      </c>
      <c r="E169" s="281">
        <f t="shared" si="9"/>
        <v>3332368.4199810177</v>
      </c>
      <c r="F169" s="280"/>
      <c r="G169" s="336"/>
      <c r="H169" s="289"/>
      <c r="I169" s="275"/>
    </row>
    <row r="170" spans="1:9">
      <c r="A170" s="335">
        <v>115</v>
      </c>
      <c r="B170" s="281">
        <f t="shared" si="6"/>
        <v>15295.988229799541</v>
      </c>
      <c r="C170" s="281">
        <f t="shared" si="7"/>
        <v>10413.651312440683</v>
      </c>
      <c r="D170" s="281">
        <f t="shared" si="8"/>
        <v>4882.336917358858</v>
      </c>
      <c r="E170" s="281">
        <f t="shared" si="9"/>
        <v>3327486.0830636588</v>
      </c>
      <c r="F170" s="280"/>
      <c r="G170" s="275"/>
      <c r="H170" s="269"/>
      <c r="I170" s="275"/>
    </row>
    <row r="171" spans="1:9">
      <c r="A171" s="335">
        <v>116</v>
      </c>
      <c r="B171" s="281">
        <f t="shared" si="6"/>
        <v>15295.988229799541</v>
      </c>
      <c r="C171" s="281">
        <f t="shared" si="7"/>
        <v>10398.394009573936</v>
      </c>
      <c r="D171" s="281">
        <f t="shared" si="8"/>
        <v>4897.5942202256047</v>
      </c>
      <c r="E171" s="281">
        <f t="shared" si="9"/>
        <v>3322588.4888434331</v>
      </c>
      <c r="F171" s="280"/>
      <c r="G171" s="275"/>
      <c r="H171" s="269"/>
      <c r="I171" s="275"/>
    </row>
    <row r="172" spans="1:9">
      <c r="A172" s="335">
        <v>117</v>
      </c>
      <c r="B172" s="281">
        <f t="shared" si="6"/>
        <v>15295.988229799541</v>
      </c>
      <c r="C172" s="281">
        <f t="shared" si="7"/>
        <v>10383.08902763573</v>
      </c>
      <c r="D172" s="281">
        <f t="shared" si="8"/>
        <v>4912.8992021638114</v>
      </c>
      <c r="E172" s="281">
        <f t="shared" si="9"/>
        <v>3317675.5896412693</v>
      </c>
      <c r="F172" s="280"/>
      <c r="G172" s="275"/>
      <c r="H172" s="269"/>
      <c r="I172" s="275"/>
    </row>
    <row r="173" spans="1:9">
      <c r="A173" s="335">
        <v>118</v>
      </c>
      <c r="B173" s="281">
        <f t="shared" si="6"/>
        <v>15295.988229799541</v>
      </c>
      <c r="C173" s="281">
        <f t="shared" si="7"/>
        <v>10367.736217628968</v>
      </c>
      <c r="D173" s="281">
        <f t="shared" si="8"/>
        <v>4928.2520121705729</v>
      </c>
      <c r="E173" s="281">
        <f t="shared" si="9"/>
        <v>3312747.3376290989</v>
      </c>
      <c r="F173" s="280"/>
      <c r="G173" s="275"/>
      <c r="H173" s="269"/>
      <c r="I173" s="275"/>
    </row>
    <row r="174" spans="1:9">
      <c r="A174" s="335">
        <v>119</v>
      </c>
      <c r="B174" s="281">
        <f t="shared" si="6"/>
        <v>15295.988229799541</v>
      </c>
      <c r="C174" s="281">
        <f t="shared" si="7"/>
        <v>10352.335430090936</v>
      </c>
      <c r="D174" s="281">
        <f t="shared" si="8"/>
        <v>4943.652799708605</v>
      </c>
      <c r="E174" s="281">
        <f t="shared" si="9"/>
        <v>3307803.6848293901</v>
      </c>
      <c r="F174" s="280"/>
      <c r="G174" s="275"/>
      <c r="H174" s="269"/>
      <c r="I174" s="275"/>
    </row>
    <row r="175" spans="1:9">
      <c r="A175" s="335">
        <v>120</v>
      </c>
      <c r="B175" s="281">
        <f t="shared" si="6"/>
        <v>15295.988229799541</v>
      </c>
      <c r="C175" s="281">
        <f t="shared" si="7"/>
        <v>10336.886515091845</v>
      </c>
      <c r="D175" s="281">
        <f t="shared" si="8"/>
        <v>4959.1017147076964</v>
      </c>
      <c r="E175" s="281">
        <f t="shared" si="9"/>
        <v>3302844.5831146822</v>
      </c>
      <c r="F175" s="280">
        <v>10</v>
      </c>
      <c r="G175" s="336"/>
      <c r="H175" s="289"/>
      <c r="I175" s="336"/>
    </row>
    <row r="176" spans="1:9">
      <c r="A176" s="335">
        <v>121</v>
      </c>
      <c r="B176" s="281">
        <f t="shared" si="6"/>
        <v>15295.988229799541</v>
      </c>
      <c r="C176" s="281">
        <f t="shared" si="7"/>
        <v>10321.389322233385</v>
      </c>
      <c r="D176" s="281">
        <f t="shared" si="8"/>
        <v>4974.5989075661564</v>
      </c>
      <c r="E176" s="281">
        <f t="shared" si="9"/>
        <v>3297869.9842071161</v>
      </c>
      <c r="F176" s="280"/>
      <c r="G176" s="275"/>
      <c r="H176" s="269"/>
      <c r="I176" s="336"/>
    </row>
    <row r="177" spans="1:9">
      <c r="A177" s="335">
        <v>122</v>
      </c>
      <c r="B177" s="281">
        <f t="shared" si="6"/>
        <v>15295.988229799541</v>
      </c>
      <c r="C177" s="281">
        <f t="shared" si="7"/>
        <v>10305.84370064724</v>
      </c>
      <c r="D177" s="281">
        <f t="shared" si="8"/>
        <v>4990.1445291523014</v>
      </c>
      <c r="E177" s="281">
        <f t="shared" si="9"/>
        <v>3292879.8396779639</v>
      </c>
      <c r="F177" s="280"/>
      <c r="G177" s="275"/>
      <c r="H177" s="269"/>
      <c r="I177" s="275"/>
    </row>
    <row r="178" spans="1:9">
      <c r="A178" s="335">
        <v>123</v>
      </c>
      <c r="B178" s="281">
        <f t="shared" si="6"/>
        <v>15295.988229799541</v>
      </c>
      <c r="C178" s="281">
        <f t="shared" si="7"/>
        <v>10290.249498993639</v>
      </c>
      <c r="D178" s="281">
        <f t="shared" si="8"/>
        <v>5005.7387308059024</v>
      </c>
      <c r="E178" s="281">
        <f t="shared" si="9"/>
        <v>3287874.1009471579</v>
      </c>
      <c r="F178" s="280"/>
      <c r="G178" s="275"/>
      <c r="H178" s="269"/>
      <c r="I178" s="275"/>
    </row>
    <row r="179" spans="1:9">
      <c r="A179" s="335">
        <v>124</v>
      </c>
      <c r="B179" s="281">
        <f t="shared" si="6"/>
        <v>15295.988229799541</v>
      </c>
      <c r="C179" s="281">
        <f t="shared" si="7"/>
        <v>10274.60656545987</v>
      </c>
      <c r="D179" s="281">
        <f t="shared" si="8"/>
        <v>5021.3816643396713</v>
      </c>
      <c r="E179" s="281">
        <f t="shared" si="9"/>
        <v>3282852.7192828185</v>
      </c>
      <c r="F179" s="280"/>
      <c r="G179" s="275"/>
      <c r="H179" s="269"/>
      <c r="I179" s="275"/>
    </row>
    <row r="180" spans="1:9">
      <c r="A180" s="335">
        <v>125</v>
      </c>
      <c r="B180" s="281">
        <f t="shared" si="6"/>
        <v>15295.988229799541</v>
      </c>
      <c r="C180" s="281">
        <f t="shared" si="7"/>
        <v>10258.91474775881</v>
      </c>
      <c r="D180" s="281">
        <f t="shared" si="8"/>
        <v>5037.0734820407306</v>
      </c>
      <c r="E180" s="281">
        <f t="shared" si="9"/>
        <v>3277815.6458007777</v>
      </c>
      <c r="F180" s="280"/>
      <c r="G180" s="275"/>
      <c r="H180" s="269"/>
      <c r="I180" s="275"/>
    </row>
    <row r="181" spans="1:9">
      <c r="A181" s="335">
        <v>126</v>
      </c>
      <c r="B181" s="281">
        <f t="shared" si="6"/>
        <v>15295.988229799541</v>
      </c>
      <c r="C181" s="281">
        <f t="shared" si="7"/>
        <v>10243.173893127432</v>
      </c>
      <c r="D181" s="281">
        <f t="shared" si="8"/>
        <v>5052.8143366721088</v>
      </c>
      <c r="E181" s="281">
        <f t="shared" si="9"/>
        <v>3272762.8314641058</v>
      </c>
      <c r="F181" s="280"/>
      <c r="G181" s="336"/>
      <c r="H181" s="289"/>
      <c r="I181" s="275"/>
    </row>
    <row r="182" spans="1:9">
      <c r="A182" s="335">
        <v>127</v>
      </c>
      <c r="B182" s="281">
        <f t="shared" si="6"/>
        <v>15295.988229799541</v>
      </c>
      <c r="C182" s="281">
        <f t="shared" si="7"/>
        <v>10227.383848325333</v>
      </c>
      <c r="D182" s="281">
        <f t="shared" si="8"/>
        <v>5068.6043814742079</v>
      </c>
      <c r="E182" s="281">
        <f t="shared" si="9"/>
        <v>3267694.2270826316</v>
      </c>
      <c r="F182" s="280"/>
      <c r="G182" s="275"/>
      <c r="H182" s="269"/>
      <c r="I182" s="275"/>
    </row>
    <row r="183" spans="1:9">
      <c r="A183" s="335">
        <v>128</v>
      </c>
      <c r="B183" s="281">
        <f t="shared" si="6"/>
        <v>15295.988229799541</v>
      </c>
      <c r="C183" s="281">
        <f t="shared" si="7"/>
        <v>10211.544459633225</v>
      </c>
      <c r="D183" s="281">
        <f t="shared" si="8"/>
        <v>5084.4437701663155</v>
      </c>
      <c r="E183" s="281">
        <f t="shared" si="9"/>
        <v>3262609.7833124651</v>
      </c>
      <c r="F183" s="280"/>
      <c r="G183" s="275"/>
      <c r="H183" s="269"/>
      <c r="I183" s="275"/>
    </row>
    <row r="184" spans="1:9">
      <c r="A184" s="335">
        <v>129</v>
      </c>
      <c r="B184" s="281">
        <f t="shared" ref="B184:B247" si="10">IF(A184&gt;12*$D$14,0,$D$20)</f>
        <v>15295.988229799541</v>
      </c>
      <c r="C184" s="281">
        <f t="shared" ref="C184:C247" si="11">IF(A184&gt;12*$D$14,0,E183*$D$10/12)</f>
        <v>10195.655572851456</v>
      </c>
      <c r="D184" s="281">
        <f t="shared" ref="D184:D247" si="12">IF(A184&gt;12*$D$14,0,B184-C184)</f>
        <v>5100.3326569480851</v>
      </c>
      <c r="E184" s="281">
        <f t="shared" ref="E184:E247" si="13">IF(A184&gt;12*$D$14,0,E183-D184)</f>
        <v>3257509.4506555172</v>
      </c>
      <c r="F184" s="280"/>
      <c r="G184" s="275"/>
      <c r="H184" s="269"/>
      <c r="I184" s="275"/>
    </row>
    <row r="185" spans="1:9">
      <c r="A185" s="335">
        <v>130</v>
      </c>
      <c r="B185" s="281">
        <f t="shared" si="10"/>
        <v>15295.988229799541</v>
      </c>
      <c r="C185" s="281">
        <f t="shared" si="11"/>
        <v>10179.717033298492</v>
      </c>
      <c r="D185" s="281">
        <f t="shared" si="12"/>
        <v>5116.2711965010494</v>
      </c>
      <c r="E185" s="281">
        <f t="shared" si="13"/>
        <v>3252393.1794590163</v>
      </c>
      <c r="F185" s="280"/>
      <c r="G185" s="275"/>
      <c r="H185" s="269"/>
      <c r="I185" s="275"/>
    </row>
    <row r="186" spans="1:9">
      <c r="A186" s="335">
        <v>131</v>
      </c>
      <c r="B186" s="281">
        <f t="shared" si="10"/>
        <v>15295.988229799541</v>
      </c>
      <c r="C186" s="281">
        <f t="shared" si="11"/>
        <v>10163.728685809428</v>
      </c>
      <c r="D186" s="281">
        <f t="shared" si="12"/>
        <v>5132.2595439901124</v>
      </c>
      <c r="E186" s="281">
        <f t="shared" si="13"/>
        <v>3247260.9199150261</v>
      </c>
      <c r="F186" s="280"/>
      <c r="G186" s="275"/>
      <c r="H186" s="269"/>
      <c r="I186" s="275"/>
    </row>
    <row r="187" spans="1:9">
      <c r="A187" s="335">
        <v>132</v>
      </c>
      <c r="B187" s="281">
        <f t="shared" si="10"/>
        <v>15295.988229799541</v>
      </c>
      <c r="C187" s="281">
        <f t="shared" si="11"/>
        <v>10147.690374734457</v>
      </c>
      <c r="D187" s="281">
        <f t="shared" si="12"/>
        <v>5148.2978550650841</v>
      </c>
      <c r="E187" s="281">
        <f t="shared" si="13"/>
        <v>3242112.6220599608</v>
      </c>
      <c r="F187" s="280">
        <v>11</v>
      </c>
      <c r="G187" s="336"/>
      <c r="H187" s="289"/>
      <c r="I187" s="336"/>
    </row>
    <row r="188" spans="1:9">
      <c r="A188" s="335">
        <v>133</v>
      </c>
      <c r="B188" s="281">
        <f t="shared" si="10"/>
        <v>15295.988229799541</v>
      </c>
      <c r="C188" s="281">
        <f t="shared" si="11"/>
        <v>10131.601943937379</v>
      </c>
      <c r="D188" s="281">
        <f t="shared" si="12"/>
        <v>5164.3862858621615</v>
      </c>
      <c r="E188" s="281">
        <f t="shared" si="13"/>
        <v>3236948.2357740989</v>
      </c>
      <c r="F188" s="280"/>
      <c r="G188" s="275"/>
      <c r="H188" s="269"/>
      <c r="I188" s="336"/>
    </row>
    <row r="189" spans="1:9">
      <c r="A189" s="335">
        <v>134</v>
      </c>
      <c r="B189" s="281">
        <f t="shared" si="10"/>
        <v>15295.988229799541</v>
      </c>
      <c r="C189" s="281">
        <f t="shared" si="11"/>
        <v>10115.463236794059</v>
      </c>
      <c r="D189" s="281">
        <f t="shared" si="12"/>
        <v>5180.5249930054815</v>
      </c>
      <c r="E189" s="281">
        <f t="shared" si="13"/>
        <v>3231767.7107810932</v>
      </c>
      <c r="F189" s="280"/>
      <c r="G189" s="275"/>
      <c r="H189" s="269"/>
      <c r="I189" s="275"/>
    </row>
    <row r="190" spans="1:9">
      <c r="A190" s="335">
        <v>135</v>
      </c>
      <c r="B190" s="281">
        <f t="shared" si="10"/>
        <v>15295.988229799541</v>
      </c>
      <c r="C190" s="281">
        <f t="shared" si="11"/>
        <v>10099.274096190917</v>
      </c>
      <c r="D190" s="281">
        <f t="shared" si="12"/>
        <v>5196.7141336086243</v>
      </c>
      <c r="E190" s="281">
        <f t="shared" si="13"/>
        <v>3226570.9966474846</v>
      </c>
      <c r="F190" s="280"/>
      <c r="G190" s="275"/>
      <c r="H190" s="269"/>
      <c r="I190" s="275"/>
    </row>
    <row r="191" spans="1:9">
      <c r="A191" s="335">
        <v>136</v>
      </c>
      <c r="B191" s="281">
        <f t="shared" si="10"/>
        <v>15295.988229799541</v>
      </c>
      <c r="C191" s="281">
        <f t="shared" si="11"/>
        <v>10083.03436452339</v>
      </c>
      <c r="D191" s="281">
        <f t="shared" si="12"/>
        <v>5212.9538652761512</v>
      </c>
      <c r="E191" s="281">
        <f t="shared" si="13"/>
        <v>3221358.0427822084</v>
      </c>
      <c r="F191" s="280"/>
      <c r="G191" s="275"/>
      <c r="H191" s="269"/>
      <c r="I191" s="275"/>
    </row>
    <row r="192" spans="1:9">
      <c r="A192" s="335">
        <v>137</v>
      </c>
      <c r="B192" s="281">
        <f t="shared" si="10"/>
        <v>15295.988229799541</v>
      </c>
      <c r="C192" s="281">
        <f t="shared" si="11"/>
        <v>10066.743883694404</v>
      </c>
      <c r="D192" s="281">
        <f t="shared" si="12"/>
        <v>5229.2443461051371</v>
      </c>
      <c r="E192" s="281">
        <f t="shared" si="13"/>
        <v>3216128.7984361034</v>
      </c>
      <c r="F192" s="280"/>
      <c r="G192" s="275"/>
      <c r="H192" s="269"/>
      <c r="I192" s="275"/>
    </row>
    <row r="193" spans="1:9">
      <c r="A193" s="335">
        <v>138</v>
      </c>
      <c r="B193" s="281">
        <f t="shared" si="10"/>
        <v>15295.988229799541</v>
      </c>
      <c r="C193" s="281">
        <f t="shared" si="11"/>
        <v>10050.402495112825</v>
      </c>
      <c r="D193" s="281">
        <f t="shared" si="12"/>
        <v>5245.585734686716</v>
      </c>
      <c r="E193" s="281">
        <f t="shared" si="13"/>
        <v>3210883.2127014166</v>
      </c>
      <c r="F193" s="280"/>
      <c r="G193" s="336"/>
      <c r="H193" s="289"/>
      <c r="I193" s="275"/>
    </row>
    <row r="194" spans="1:9">
      <c r="A194" s="335">
        <v>139</v>
      </c>
      <c r="B194" s="281">
        <f t="shared" si="10"/>
        <v>15295.988229799541</v>
      </c>
      <c r="C194" s="281">
        <f t="shared" si="11"/>
        <v>10034.010039691928</v>
      </c>
      <c r="D194" s="281">
        <f t="shared" si="12"/>
        <v>5261.978190107613</v>
      </c>
      <c r="E194" s="281">
        <f t="shared" si="13"/>
        <v>3205621.2345113088</v>
      </c>
      <c r="F194" s="280"/>
      <c r="G194" s="275"/>
      <c r="H194" s="269"/>
      <c r="I194" s="275"/>
    </row>
    <row r="195" spans="1:9">
      <c r="A195" s="335">
        <v>140</v>
      </c>
      <c r="B195" s="281">
        <f t="shared" si="10"/>
        <v>15295.988229799541</v>
      </c>
      <c r="C195" s="281">
        <f t="shared" si="11"/>
        <v>10017.566357847842</v>
      </c>
      <c r="D195" s="281">
        <f t="shared" si="12"/>
        <v>5278.4218719516994</v>
      </c>
      <c r="E195" s="281">
        <f t="shared" si="13"/>
        <v>3200342.8126393571</v>
      </c>
      <c r="F195" s="280"/>
      <c r="G195" s="275"/>
      <c r="H195" s="269"/>
      <c r="I195" s="275"/>
    </row>
    <row r="196" spans="1:9">
      <c r="A196" s="335">
        <v>141</v>
      </c>
      <c r="B196" s="281">
        <f t="shared" si="10"/>
        <v>15295.988229799541</v>
      </c>
      <c r="C196" s="281">
        <f t="shared" si="11"/>
        <v>10001.071289497993</v>
      </c>
      <c r="D196" s="281">
        <f t="shared" si="12"/>
        <v>5294.9169403015476</v>
      </c>
      <c r="E196" s="281">
        <f t="shared" si="13"/>
        <v>3195047.8956990554</v>
      </c>
      <c r="F196" s="280"/>
      <c r="G196" s="275"/>
      <c r="H196" s="269"/>
      <c r="I196" s="275"/>
    </row>
    <row r="197" spans="1:9">
      <c r="A197" s="335">
        <v>142</v>
      </c>
      <c r="B197" s="281">
        <f t="shared" si="10"/>
        <v>15295.988229799541</v>
      </c>
      <c r="C197" s="281">
        <f t="shared" si="11"/>
        <v>9984.5246740595485</v>
      </c>
      <c r="D197" s="281">
        <f t="shared" si="12"/>
        <v>5311.4635557399924</v>
      </c>
      <c r="E197" s="281">
        <f t="shared" si="13"/>
        <v>3189736.4321433152</v>
      </c>
      <c r="F197" s="280"/>
      <c r="G197" s="275"/>
      <c r="H197" s="269"/>
      <c r="I197" s="275"/>
    </row>
    <row r="198" spans="1:9">
      <c r="A198" s="335">
        <v>143</v>
      </c>
      <c r="B198" s="281">
        <f t="shared" si="10"/>
        <v>15295.988229799541</v>
      </c>
      <c r="C198" s="281">
        <f t="shared" si="11"/>
        <v>9967.9263504478604</v>
      </c>
      <c r="D198" s="281">
        <f t="shared" si="12"/>
        <v>5328.0618793516805</v>
      </c>
      <c r="E198" s="281">
        <f t="shared" si="13"/>
        <v>3184408.3702639635</v>
      </c>
      <c r="F198" s="280"/>
      <c r="G198" s="275"/>
      <c r="H198" s="269"/>
      <c r="I198" s="275"/>
    </row>
    <row r="199" spans="1:9">
      <c r="A199" s="337">
        <v>144</v>
      </c>
      <c r="B199" s="281">
        <f t="shared" si="10"/>
        <v>15295.988229799541</v>
      </c>
      <c r="C199" s="281">
        <f t="shared" si="11"/>
        <v>9951.2761570748862</v>
      </c>
      <c r="D199" s="281">
        <f t="shared" si="12"/>
        <v>5344.7120727246547</v>
      </c>
      <c r="E199" s="281">
        <f t="shared" si="13"/>
        <v>3179063.658191239</v>
      </c>
      <c r="F199" s="282">
        <v>12</v>
      </c>
      <c r="G199" s="336"/>
      <c r="H199" s="289"/>
      <c r="I199" s="336"/>
    </row>
    <row r="200" spans="1:9">
      <c r="A200" s="335">
        <v>145</v>
      </c>
      <c r="B200" s="281">
        <f t="shared" si="10"/>
        <v>15295.988229799541</v>
      </c>
      <c r="C200" s="281">
        <f t="shared" si="11"/>
        <v>9934.5739318476244</v>
      </c>
      <c r="D200" s="281">
        <f t="shared" si="12"/>
        <v>5361.4142979519165</v>
      </c>
      <c r="E200" s="281">
        <f t="shared" si="13"/>
        <v>3173702.2438932871</v>
      </c>
      <c r="F200" s="280"/>
      <c r="G200" s="275"/>
      <c r="H200" s="269"/>
      <c r="I200" s="336"/>
    </row>
    <row r="201" spans="1:9">
      <c r="A201" s="335">
        <v>146</v>
      </c>
      <c r="B201" s="281">
        <f t="shared" si="10"/>
        <v>15295.988229799541</v>
      </c>
      <c r="C201" s="281">
        <f t="shared" si="11"/>
        <v>9917.8195121665249</v>
      </c>
      <c r="D201" s="281">
        <f t="shared" si="12"/>
        <v>5378.1687176330161</v>
      </c>
      <c r="E201" s="281">
        <f t="shared" si="13"/>
        <v>3168324.0751756541</v>
      </c>
      <c r="F201" s="280"/>
      <c r="G201" s="275"/>
      <c r="H201" s="269"/>
      <c r="I201" s="275"/>
    </row>
    <row r="202" spans="1:9">
      <c r="A202" s="335">
        <v>147</v>
      </c>
      <c r="B202" s="281">
        <f t="shared" si="10"/>
        <v>15295.988229799541</v>
      </c>
      <c r="C202" s="281">
        <f t="shared" si="11"/>
        <v>9901.012734923921</v>
      </c>
      <c r="D202" s="281">
        <f t="shared" si="12"/>
        <v>5394.9754948756199</v>
      </c>
      <c r="E202" s="281">
        <f t="shared" si="13"/>
        <v>3162929.0996807786</v>
      </c>
      <c r="F202" s="280"/>
      <c r="G202" s="275"/>
      <c r="H202" s="269"/>
      <c r="I202" s="275"/>
    </row>
    <row r="203" spans="1:9">
      <c r="A203" s="335">
        <v>148</v>
      </c>
      <c r="B203" s="281">
        <f t="shared" si="10"/>
        <v>15295.988229799541</v>
      </c>
      <c r="C203" s="281">
        <f t="shared" si="11"/>
        <v>9884.1534365024345</v>
      </c>
      <c r="D203" s="281">
        <f t="shared" si="12"/>
        <v>5411.8347932971064</v>
      </c>
      <c r="E203" s="281">
        <f t="shared" si="13"/>
        <v>3157517.2648874815</v>
      </c>
      <c r="F203" s="280"/>
      <c r="G203" s="275"/>
      <c r="H203" s="269"/>
      <c r="I203" s="275"/>
    </row>
    <row r="204" spans="1:9">
      <c r="A204" s="335">
        <v>149</v>
      </c>
      <c r="B204" s="281">
        <f t="shared" si="10"/>
        <v>15295.988229799541</v>
      </c>
      <c r="C204" s="281">
        <f t="shared" si="11"/>
        <v>9867.2414527733799</v>
      </c>
      <c r="D204" s="281">
        <f t="shared" si="12"/>
        <v>5428.746777026161</v>
      </c>
      <c r="E204" s="281">
        <f t="shared" si="13"/>
        <v>3152088.5181104555</v>
      </c>
      <c r="F204" s="280"/>
      <c r="G204" s="275"/>
      <c r="H204" s="269"/>
      <c r="I204" s="275"/>
    </row>
    <row r="205" spans="1:9">
      <c r="A205" s="335">
        <v>150</v>
      </c>
      <c r="B205" s="281">
        <f t="shared" si="10"/>
        <v>15295.988229799541</v>
      </c>
      <c r="C205" s="281">
        <f t="shared" si="11"/>
        <v>9850.2766190951752</v>
      </c>
      <c r="D205" s="281">
        <f t="shared" si="12"/>
        <v>5445.7116107043657</v>
      </c>
      <c r="E205" s="281">
        <f t="shared" si="13"/>
        <v>3146642.8064997513</v>
      </c>
      <c r="F205" s="280"/>
      <c r="G205" s="336"/>
      <c r="H205" s="289"/>
      <c r="I205" s="275"/>
    </row>
    <row r="206" spans="1:9">
      <c r="A206" s="335">
        <v>151</v>
      </c>
      <c r="B206" s="281">
        <f t="shared" si="10"/>
        <v>15295.988229799541</v>
      </c>
      <c r="C206" s="281">
        <f t="shared" si="11"/>
        <v>9833.2587703117242</v>
      </c>
      <c r="D206" s="281">
        <f t="shared" si="12"/>
        <v>5462.7294594878167</v>
      </c>
      <c r="E206" s="281">
        <f t="shared" si="13"/>
        <v>3141180.0770402635</v>
      </c>
      <c r="F206" s="280"/>
      <c r="G206" s="275"/>
      <c r="H206" s="269"/>
      <c r="I206" s="275"/>
    </row>
    <row r="207" spans="1:9">
      <c r="A207" s="335">
        <v>152</v>
      </c>
      <c r="B207" s="281">
        <f t="shared" si="10"/>
        <v>15295.988229799541</v>
      </c>
      <c r="C207" s="281">
        <f t="shared" si="11"/>
        <v>9816.1877407508237</v>
      </c>
      <c r="D207" s="281">
        <f t="shared" si="12"/>
        <v>5479.8004890487173</v>
      </c>
      <c r="E207" s="281">
        <f t="shared" si="13"/>
        <v>3135700.2765512145</v>
      </c>
      <c r="F207" s="280"/>
      <c r="G207" s="275"/>
      <c r="H207" s="269"/>
      <c r="I207" s="275"/>
    </row>
    <row r="208" spans="1:9">
      <c r="A208" s="335">
        <v>153</v>
      </c>
      <c r="B208" s="281">
        <f t="shared" si="10"/>
        <v>15295.988229799541</v>
      </c>
      <c r="C208" s="281">
        <f t="shared" si="11"/>
        <v>9799.0633642225457</v>
      </c>
      <c r="D208" s="281">
        <f t="shared" si="12"/>
        <v>5496.9248655769952</v>
      </c>
      <c r="E208" s="281">
        <f t="shared" si="13"/>
        <v>3130203.3516856376</v>
      </c>
      <c r="F208" s="280"/>
      <c r="G208" s="275"/>
      <c r="H208" s="269"/>
      <c r="I208" s="275"/>
    </row>
    <row r="209" spans="1:9">
      <c r="A209" s="335">
        <v>154</v>
      </c>
      <c r="B209" s="281">
        <f t="shared" si="10"/>
        <v>15295.988229799541</v>
      </c>
      <c r="C209" s="281">
        <f t="shared" si="11"/>
        <v>9781.8854740176193</v>
      </c>
      <c r="D209" s="281">
        <f t="shared" si="12"/>
        <v>5514.1027557819216</v>
      </c>
      <c r="E209" s="281">
        <f t="shared" si="13"/>
        <v>3124689.2489298559</v>
      </c>
      <c r="F209" s="280"/>
      <c r="G209" s="275"/>
      <c r="H209" s="269"/>
      <c r="I209" s="275"/>
    </row>
    <row r="210" spans="1:9">
      <c r="A210" s="335">
        <v>155</v>
      </c>
      <c r="B210" s="281">
        <f t="shared" si="10"/>
        <v>15295.988229799541</v>
      </c>
      <c r="C210" s="281">
        <f t="shared" si="11"/>
        <v>9764.6539029058022</v>
      </c>
      <c r="D210" s="281">
        <f t="shared" si="12"/>
        <v>5531.3343268937388</v>
      </c>
      <c r="E210" s="281">
        <f t="shared" si="13"/>
        <v>3119157.9146029623</v>
      </c>
      <c r="F210" s="280"/>
      <c r="G210" s="275"/>
      <c r="H210" s="269"/>
      <c r="I210" s="275"/>
    </row>
    <row r="211" spans="1:9">
      <c r="A211" s="337">
        <v>156</v>
      </c>
      <c r="B211" s="281">
        <f t="shared" si="10"/>
        <v>15295.988229799541</v>
      </c>
      <c r="C211" s="281">
        <f t="shared" si="11"/>
        <v>9747.3684831342598</v>
      </c>
      <c r="D211" s="281">
        <f t="shared" si="12"/>
        <v>5548.6197466652811</v>
      </c>
      <c r="E211" s="281">
        <f t="shared" si="13"/>
        <v>3113609.2948562969</v>
      </c>
      <c r="F211" s="282">
        <v>13</v>
      </c>
      <c r="G211" s="336"/>
      <c r="H211" s="289"/>
      <c r="I211" s="336"/>
    </row>
    <row r="212" spans="1:9">
      <c r="A212" s="335">
        <v>157</v>
      </c>
      <c r="B212" s="281">
        <f t="shared" si="10"/>
        <v>15295.988229799541</v>
      </c>
      <c r="C212" s="281">
        <f t="shared" si="11"/>
        <v>9730.0290464259288</v>
      </c>
      <c r="D212" s="281">
        <f t="shared" si="12"/>
        <v>5565.9591833736122</v>
      </c>
      <c r="E212" s="281">
        <f t="shared" si="13"/>
        <v>3108043.3356729234</v>
      </c>
      <c r="F212" s="280"/>
      <c r="G212" s="275"/>
      <c r="H212" s="269"/>
      <c r="I212" s="336"/>
    </row>
    <row r="213" spans="1:9">
      <c r="A213" s="335">
        <v>158</v>
      </c>
      <c r="B213" s="281">
        <f t="shared" si="10"/>
        <v>15295.988229799541</v>
      </c>
      <c r="C213" s="281">
        <f t="shared" si="11"/>
        <v>9712.6354239778866</v>
      </c>
      <c r="D213" s="281">
        <f t="shared" si="12"/>
        <v>5583.3528058216543</v>
      </c>
      <c r="E213" s="281">
        <f t="shared" si="13"/>
        <v>3102459.9828671017</v>
      </c>
      <c r="F213" s="280"/>
      <c r="G213" s="275"/>
      <c r="H213" s="269"/>
      <c r="I213" s="275"/>
    </row>
    <row r="214" spans="1:9">
      <c r="A214" s="335">
        <v>159</v>
      </c>
      <c r="B214" s="281">
        <f t="shared" si="10"/>
        <v>15295.988229799541</v>
      </c>
      <c r="C214" s="281">
        <f t="shared" si="11"/>
        <v>9695.1874464596931</v>
      </c>
      <c r="D214" s="281">
        <f t="shared" si="12"/>
        <v>5600.8007833398478</v>
      </c>
      <c r="E214" s="281">
        <f t="shared" si="13"/>
        <v>3096859.1820837618</v>
      </c>
      <c r="F214" s="280"/>
      <c r="G214" s="275"/>
      <c r="H214" s="269"/>
      <c r="I214" s="275"/>
    </row>
    <row r="215" spans="1:9">
      <c r="A215" s="335">
        <v>160</v>
      </c>
      <c r="B215" s="281">
        <f t="shared" si="10"/>
        <v>15295.988229799541</v>
      </c>
      <c r="C215" s="281">
        <f t="shared" si="11"/>
        <v>9677.6849440117567</v>
      </c>
      <c r="D215" s="281">
        <f t="shared" si="12"/>
        <v>5618.3032857877843</v>
      </c>
      <c r="E215" s="281">
        <f t="shared" si="13"/>
        <v>3091240.878797974</v>
      </c>
      <c r="F215" s="280"/>
      <c r="G215" s="275"/>
      <c r="H215" s="269"/>
      <c r="I215" s="275"/>
    </row>
    <row r="216" spans="1:9">
      <c r="A216" s="335">
        <v>161</v>
      </c>
      <c r="B216" s="281">
        <f t="shared" si="10"/>
        <v>15295.988229799541</v>
      </c>
      <c r="C216" s="281">
        <f t="shared" si="11"/>
        <v>9660.1277462436701</v>
      </c>
      <c r="D216" s="281">
        <f t="shared" si="12"/>
        <v>5635.8604835558708</v>
      </c>
      <c r="E216" s="281">
        <f t="shared" si="13"/>
        <v>3085605.0183144179</v>
      </c>
      <c r="F216" s="280"/>
      <c r="G216" s="275"/>
      <c r="H216" s="269"/>
      <c r="I216" s="275"/>
    </row>
    <row r="217" spans="1:9">
      <c r="A217" s="335">
        <v>162</v>
      </c>
      <c r="B217" s="281">
        <f t="shared" si="10"/>
        <v>15295.988229799541</v>
      </c>
      <c r="C217" s="281">
        <f t="shared" si="11"/>
        <v>9642.5156822325571</v>
      </c>
      <c r="D217" s="281">
        <f t="shared" si="12"/>
        <v>5653.4725475669838</v>
      </c>
      <c r="E217" s="281">
        <f t="shared" si="13"/>
        <v>3079951.5457668509</v>
      </c>
      <c r="F217" s="280"/>
      <c r="G217" s="336"/>
      <c r="H217" s="289"/>
      <c r="I217" s="275"/>
    </row>
    <row r="218" spans="1:9">
      <c r="A218" s="335">
        <v>163</v>
      </c>
      <c r="B218" s="281">
        <f t="shared" si="10"/>
        <v>15295.988229799541</v>
      </c>
      <c r="C218" s="281">
        <f t="shared" si="11"/>
        <v>9624.8485805214095</v>
      </c>
      <c r="D218" s="281">
        <f t="shared" si="12"/>
        <v>5671.1396492781314</v>
      </c>
      <c r="E218" s="281">
        <f t="shared" si="13"/>
        <v>3074280.4061175729</v>
      </c>
      <c r="F218" s="280"/>
      <c r="G218" s="275"/>
      <c r="H218" s="269"/>
      <c r="I218" s="275"/>
    </row>
    <row r="219" spans="1:9">
      <c r="A219" s="335">
        <v>164</v>
      </c>
      <c r="B219" s="281">
        <f t="shared" si="10"/>
        <v>15295.988229799541</v>
      </c>
      <c r="C219" s="281">
        <f t="shared" si="11"/>
        <v>9607.1262691174179</v>
      </c>
      <c r="D219" s="281">
        <f t="shared" si="12"/>
        <v>5688.861960682123</v>
      </c>
      <c r="E219" s="281">
        <f t="shared" si="13"/>
        <v>3068591.5441568908</v>
      </c>
      <c r="F219" s="280"/>
      <c r="G219" s="275"/>
      <c r="H219" s="269"/>
      <c r="I219" s="275"/>
    </row>
    <row r="220" spans="1:9">
      <c r="A220" s="335">
        <v>165</v>
      </c>
      <c r="B220" s="281">
        <f t="shared" si="10"/>
        <v>15295.988229799541</v>
      </c>
      <c r="C220" s="281">
        <f t="shared" si="11"/>
        <v>9589.3485754902849</v>
      </c>
      <c r="D220" s="281">
        <f t="shared" si="12"/>
        <v>5706.639654309256</v>
      </c>
      <c r="E220" s="281">
        <f t="shared" si="13"/>
        <v>3062884.9045025818</v>
      </c>
      <c r="F220" s="280"/>
      <c r="G220" s="275"/>
      <c r="H220" s="269"/>
      <c r="I220" s="275"/>
    </row>
    <row r="221" spans="1:9">
      <c r="A221" s="335">
        <v>166</v>
      </c>
      <c r="B221" s="281">
        <f t="shared" si="10"/>
        <v>15295.988229799541</v>
      </c>
      <c r="C221" s="281">
        <f t="shared" si="11"/>
        <v>9571.5153265705685</v>
      </c>
      <c r="D221" s="281">
        <f t="shared" si="12"/>
        <v>5724.4729032289724</v>
      </c>
      <c r="E221" s="281">
        <f t="shared" si="13"/>
        <v>3057160.431599353</v>
      </c>
      <c r="F221" s="280"/>
      <c r="G221" s="275"/>
      <c r="H221" s="269"/>
      <c r="I221" s="275"/>
    </row>
    <row r="222" spans="1:9">
      <c r="A222" s="335">
        <v>167</v>
      </c>
      <c r="B222" s="281">
        <f t="shared" si="10"/>
        <v>15295.988229799541</v>
      </c>
      <c r="C222" s="281">
        <f t="shared" si="11"/>
        <v>9553.6263487479791</v>
      </c>
      <c r="D222" s="281">
        <f t="shared" si="12"/>
        <v>5742.3618810515618</v>
      </c>
      <c r="E222" s="281">
        <f t="shared" si="13"/>
        <v>3051418.0697183013</v>
      </c>
      <c r="F222" s="280"/>
      <c r="G222" s="275"/>
      <c r="H222" s="269"/>
      <c r="I222" s="275"/>
    </row>
    <row r="223" spans="1:9">
      <c r="A223" s="337">
        <v>168</v>
      </c>
      <c r="B223" s="281">
        <f t="shared" si="10"/>
        <v>15295.988229799541</v>
      </c>
      <c r="C223" s="281">
        <f t="shared" si="11"/>
        <v>9535.6814678696919</v>
      </c>
      <c r="D223" s="281">
        <f t="shared" si="12"/>
        <v>5760.306761929849</v>
      </c>
      <c r="E223" s="281">
        <f t="shared" si="13"/>
        <v>3045657.7629563715</v>
      </c>
      <c r="F223" s="282">
        <v>14</v>
      </c>
      <c r="G223" s="336"/>
      <c r="H223" s="289"/>
      <c r="I223" s="336"/>
    </row>
    <row r="224" spans="1:9">
      <c r="A224" s="335">
        <v>169</v>
      </c>
      <c r="B224" s="281">
        <f t="shared" si="10"/>
        <v>15295.988229799541</v>
      </c>
      <c r="C224" s="281">
        <f t="shared" si="11"/>
        <v>9517.6805092386621</v>
      </c>
      <c r="D224" s="281">
        <f t="shared" si="12"/>
        <v>5778.3077205608788</v>
      </c>
      <c r="E224" s="281">
        <f t="shared" si="13"/>
        <v>3039879.4552358105</v>
      </c>
      <c r="F224" s="280"/>
      <c r="G224" s="275"/>
      <c r="H224" s="269"/>
      <c r="I224" s="336"/>
    </row>
    <row r="225" spans="1:9">
      <c r="A225" s="335">
        <v>170</v>
      </c>
      <c r="B225" s="281">
        <f t="shared" si="10"/>
        <v>15295.988229799541</v>
      </c>
      <c r="C225" s="281">
        <f t="shared" si="11"/>
        <v>9499.6232976119081</v>
      </c>
      <c r="D225" s="281">
        <f t="shared" si="12"/>
        <v>5796.3649321876328</v>
      </c>
      <c r="E225" s="281">
        <f t="shared" si="13"/>
        <v>3034083.0903036227</v>
      </c>
      <c r="F225" s="280"/>
      <c r="G225" s="275"/>
      <c r="H225" s="269"/>
      <c r="I225" s="275"/>
    </row>
    <row r="226" spans="1:9">
      <c r="A226" s="335">
        <v>171</v>
      </c>
      <c r="B226" s="281">
        <f t="shared" si="10"/>
        <v>15295.988229799541</v>
      </c>
      <c r="C226" s="281">
        <f t="shared" si="11"/>
        <v>9481.5096571988233</v>
      </c>
      <c r="D226" s="281">
        <f t="shared" si="12"/>
        <v>5814.4785726007176</v>
      </c>
      <c r="E226" s="281">
        <f t="shared" si="13"/>
        <v>3028268.6117310221</v>
      </c>
      <c r="F226" s="280"/>
      <c r="G226" s="275"/>
      <c r="H226" s="269"/>
      <c r="I226" s="275"/>
    </row>
    <row r="227" spans="1:9">
      <c r="A227" s="335">
        <v>172</v>
      </c>
      <c r="B227" s="281">
        <f t="shared" si="10"/>
        <v>15295.988229799541</v>
      </c>
      <c r="C227" s="281">
        <f t="shared" si="11"/>
        <v>9463.3394116594445</v>
      </c>
      <c r="D227" s="281">
        <f t="shared" si="12"/>
        <v>5832.6488181400964</v>
      </c>
      <c r="E227" s="281">
        <f t="shared" si="13"/>
        <v>3022435.9629128822</v>
      </c>
      <c r="F227" s="280"/>
      <c r="G227" s="275"/>
      <c r="H227" s="269"/>
      <c r="I227" s="275"/>
    </row>
    <row r="228" spans="1:9">
      <c r="A228" s="335">
        <v>173</v>
      </c>
      <c r="B228" s="281">
        <f t="shared" si="10"/>
        <v>15295.988229799541</v>
      </c>
      <c r="C228" s="281">
        <f t="shared" si="11"/>
        <v>9445.1123841027584</v>
      </c>
      <c r="D228" s="281">
        <f t="shared" si="12"/>
        <v>5850.8758456967826</v>
      </c>
      <c r="E228" s="281">
        <f t="shared" si="13"/>
        <v>3016585.0870671854</v>
      </c>
      <c r="F228" s="280"/>
      <c r="G228" s="275"/>
      <c r="H228" s="269"/>
      <c r="I228" s="275"/>
    </row>
    <row r="229" spans="1:9">
      <c r="A229" s="335">
        <v>174</v>
      </c>
      <c r="B229" s="281">
        <f t="shared" si="10"/>
        <v>15295.988229799541</v>
      </c>
      <c r="C229" s="281">
        <f t="shared" si="11"/>
        <v>9426.828397084957</v>
      </c>
      <c r="D229" s="281">
        <f t="shared" si="12"/>
        <v>5869.1598327145839</v>
      </c>
      <c r="E229" s="281">
        <f t="shared" si="13"/>
        <v>3010715.9272344708</v>
      </c>
      <c r="F229" s="280"/>
      <c r="G229" s="336"/>
      <c r="H229" s="289"/>
      <c r="I229" s="275"/>
    </row>
    <row r="230" spans="1:9">
      <c r="A230" s="335">
        <v>175</v>
      </c>
      <c r="B230" s="281">
        <f t="shared" si="10"/>
        <v>15295.988229799541</v>
      </c>
      <c r="C230" s="281">
        <f t="shared" si="11"/>
        <v>9408.4872726077228</v>
      </c>
      <c r="D230" s="281">
        <f t="shared" si="12"/>
        <v>5887.5009571918181</v>
      </c>
      <c r="E230" s="281">
        <f t="shared" si="13"/>
        <v>3004828.4262772789</v>
      </c>
      <c r="F230" s="280"/>
      <c r="G230" s="275"/>
      <c r="H230" s="269"/>
      <c r="I230" s="275"/>
    </row>
    <row r="231" spans="1:9">
      <c r="A231" s="335">
        <v>176</v>
      </c>
      <c r="B231" s="281">
        <f t="shared" si="10"/>
        <v>15295.988229799541</v>
      </c>
      <c r="C231" s="281">
        <f t="shared" si="11"/>
        <v>9390.0888321164985</v>
      </c>
      <c r="D231" s="281">
        <f t="shared" si="12"/>
        <v>5905.8993976830425</v>
      </c>
      <c r="E231" s="281">
        <f t="shared" si="13"/>
        <v>2998922.5268795961</v>
      </c>
      <c r="F231" s="280"/>
      <c r="G231" s="275"/>
      <c r="H231" s="269"/>
      <c r="I231" s="275"/>
    </row>
    <row r="232" spans="1:9">
      <c r="A232" s="335">
        <v>177</v>
      </c>
      <c r="B232" s="281">
        <f t="shared" si="10"/>
        <v>15295.988229799541</v>
      </c>
      <c r="C232" s="281">
        <f t="shared" si="11"/>
        <v>9371.6328964987388</v>
      </c>
      <c r="D232" s="281">
        <f t="shared" si="12"/>
        <v>5924.3553333008022</v>
      </c>
      <c r="E232" s="281">
        <f t="shared" si="13"/>
        <v>2992998.1715462953</v>
      </c>
      <c r="F232" s="280"/>
      <c r="G232" s="275"/>
      <c r="H232" s="269"/>
      <c r="I232" s="275"/>
    </row>
    <row r="233" spans="1:9">
      <c r="A233" s="335">
        <v>178</v>
      </c>
      <c r="B233" s="281">
        <f t="shared" si="10"/>
        <v>15295.988229799541</v>
      </c>
      <c r="C233" s="281">
        <f t="shared" si="11"/>
        <v>9353.1192860821739</v>
      </c>
      <c r="D233" s="281">
        <f t="shared" si="12"/>
        <v>5942.8689437173671</v>
      </c>
      <c r="E233" s="281">
        <f t="shared" si="13"/>
        <v>2987055.302602578</v>
      </c>
      <c r="F233" s="280"/>
      <c r="G233" s="275"/>
      <c r="H233" s="269"/>
      <c r="I233" s="275"/>
    </row>
    <row r="234" spans="1:9">
      <c r="A234" s="335">
        <v>179</v>
      </c>
      <c r="B234" s="281">
        <f t="shared" si="10"/>
        <v>15295.988229799541</v>
      </c>
      <c r="C234" s="281">
        <f t="shared" si="11"/>
        <v>9334.5478206330572</v>
      </c>
      <c r="D234" s="281">
        <f t="shared" si="12"/>
        <v>5961.4404091664837</v>
      </c>
      <c r="E234" s="281">
        <f t="shared" si="13"/>
        <v>2981093.8621934117</v>
      </c>
      <c r="F234" s="280"/>
      <c r="G234" s="275"/>
      <c r="H234" s="269"/>
      <c r="I234" s="275"/>
    </row>
    <row r="235" spans="1:9">
      <c r="A235" s="337">
        <v>180</v>
      </c>
      <c r="B235" s="281">
        <f t="shared" si="10"/>
        <v>15295.988229799541</v>
      </c>
      <c r="C235" s="281">
        <f t="shared" si="11"/>
        <v>9315.9183193544141</v>
      </c>
      <c r="D235" s="281">
        <f t="shared" si="12"/>
        <v>5980.0699104451269</v>
      </c>
      <c r="E235" s="281">
        <f t="shared" si="13"/>
        <v>2975113.7922829664</v>
      </c>
      <c r="F235" s="282">
        <v>15</v>
      </c>
      <c r="G235" s="336"/>
      <c r="H235" s="289"/>
      <c r="I235" s="336"/>
    </row>
    <row r="236" spans="1:9">
      <c r="A236" s="335">
        <v>181</v>
      </c>
      <c r="B236" s="281">
        <f t="shared" si="10"/>
        <v>15295.988229799541</v>
      </c>
      <c r="C236" s="281">
        <f t="shared" si="11"/>
        <v>9297.2306008842716</v>
      </c>
      <c r="D236" s="281">
        <f t="shared" si="12"/>
        <v>5998.7576289152694</v>
      </c>
      <c r="E236" s="281">
        <f t="shared" si="13"/>
        <v>2969115.0346540511</v>
      </c>
      <c r="F236" s="280"/>
      <c r="G236" s="275"/>
      <c r="H236" s="269"/>
      <c r="I236" s="336"/>
    </row>
    <row r="237" spans="1:9">
      <c r="A237" s="337">
        <v>182</v>
      </c>
      <c r="B237" s="281">
        <f t="shared" si="10"/>
        <v>15295.988229799541</v>
      </c>
      <c r="C237" s="281">
        <f t="shared" si="11"/>
        <v>9278.4844832939107</v>
      </c>
      <c r="D237" s="281">
        <f t="shared" si="12"/>
        <v>6017.5037465056303</v>
      </c>
      <c r="E237" s="281">
        <f t="shared" si="13"/>
        <v>2963097.5309075452</v>
      </c>
      <c r="F237" s="280"/>
      <c r="G237" s="275"/>
      <c r="H237" s="269"/>
      <c r="I237" s="275"/>
    </row>
    <row r="238" spans="1:9">
      <c r="A238" s="337">
        <v>183</v>
      </c>
      <c r="B238" s="281">
        <f t="shared" si="10"/>
        <v>15295.988229799541</v>
      </c>
      <c r="C238" s="281">
        <f t="shared" si="11"/>
        <v>9259.67978408608</v>
      </c>
      <c r="D238" s="281">
        <f t="shared" si="12"/>
        <v>6036.308445713461</v>
      </c>
      <c r="E238" s="281">
        <f t="shared" si="13"/>
        <v>2957061.2224618318</v>
      </c>
      <c r="F238" s="280"/>
      <c r="G238" s="275"/>
      <c r="H238" s="269"/>
      <c r="I238" s="275"/>
    </row>
    <row r="239" spans="1:9">
      <c r="A239" s="337">
        <v>184</v>
      </c>
      <c r="B239" s="281">
        <f t="shared" si="10"/>
        <v>15295.988229799541</v>
      </c>
      <c r="C239" s="281">
        <f t="shared" si="11"/>
        <v>9240.8163201932257</v>
      </c>
      <c r="D239" s="281">
        <f t="shared" si="12"/>
        <v>6055.1719096063152</v>
      </c>
      <c r="E239" s="281">
        <f t="shared" si="13"/>
        <v>2951006.0505522257</v>
      </c>
      <c r="F239" s="280"/>
      <c r="G239" s="275"/>
      <c r="H239" s="269"/>
      <c r="I239" s="275"/>
    </row>
    <row r="240" spans="1:9">
      <c r="A240" s="337">
        <v>185</v>
      </c>
      <c r="B240" s="281">
        <f t="shared" si="10"/>
        <v>15295.988229799541</v>
      </c>
      <c r="C240" s="281">
        <f t="shared" si="11"/>
        <v>9221.8939079757056</v>
      </c>
      <c r="D240" s="281">
        <f t="shared" si="12"/>
        <v>6074.0943218238353</v>
      </c>
      <c r="E240" s="281">
        <f t="shared" si="13"/>
        <v>2944931.956230402</v>
      </c>
      <c r="F240" s="280"/>
      <c r="G240" s="275"/>
      <c r="H240" s="269"/>
      <c r="I240" s="275"/>
    </row>
    <row r="241" spans="1:9">
      <c r="A241" s="337">
        <v>186</v>
      </c>
      <c r="B241" s="281">
        <f t="shared" si="10"/>
        <v>15295.988229799541</v>
      </c>
      <c r="C241" s="281">
        <f t="shared" si="11"/>
        <v>9202.912363220008</v>
      </c>
      <c r="D241" s="281">
        <f t="shared" si="12"/>
        <v>6093.0758665795329</v>
      </c>
      <c r="E241" s="281">
        <f t="shared" si="13"/>
        <v>2938838.8803638224</v>
      </c>
      <c r="F241" s="280"/>
      <c r="G241" s="336"/>
      <c r="H241" s="289"/>
      <c r="I241" s="275"/>
    </row>
    <row r="242" spans="1:9">
      <c r="A242" s="337">
        <v>187</v>
      </c>
      <c r="B242" s="281">
        <f t="shared" si="10"/>
        <v>15295.988229799541</v>
      </c>
      <c r="C242" s="281">
        <f t="shared" si="11"/>
        <v>9183.8715011369477</v>
      </c>
      <c r="D242" s="281">
        <f t="shared" si="12"/>
        <v>6112.1167286625932</v>
      </c>
      <c r="E242" s="281">
        <f t="shared" si="13"/>
        <v>2932726.7636351599</v>
      </c>
      <c r="F242" s="280"/>
      <c r="G242" s="275"/>
      <c r="H242" s="269"/>
      <c r="I242" s="275"/>
    </row>
    <row r="243" spans="1:9">
      <c r="A243" s="337">
        <v>188</v>
      </c>
      <c r="B243" s="281">
        <f t="shared" si="10"/>
        <v>15295.988229799541</v>
      </c>
      <c r="C243" s="281">
        <f t="shared" si="11"/>
        <v>9164.7711363598773</v>
      </c>
      <c r="D243" s="281">
        <f t="shared" si="12"/>
        <v>6131.2170934396636</v>
      </c>
      <c r="E243" s="281">
        <f t="shared" si="13"/>
        <v>2926595.5465417202</v>
      </c>
      <c r="F243" s="280"/>
      <c r="G243" s="275"/>
      <c r="H243" s="269"/>
      <c r="I243" s="275"/>
    </row>
    <row r="244" spans="1:9">
      <c r="A244" s="337">
        <v>189</v>
      </c>
      <c r="B244" s="281">
        <f t="shared" si="10"/>
        <v>15295.988229799541</v>
      </c>
      <c r="C244" s="281">
        <f t="shared" si="11"/>
        <v>9145.6110829428781</v>
      </c>
      <c r="D244" s="281">
        <f t="shared" si="12"/>
        <v>6150.3771468566629</v>
      </c>
      <c r="E244" s="281">
        <f t="shared" si="13"/>
        <v>2920445.1693948633</v>
      </c>
      <c r="F244" s="280"/>
      <c r="G244" s="275"/>
      <c r="H244" s="269"/>
      <c r="I244" s="275"/>
    </row>
    <row r="245" spans="1:9">
      <c r="A245" s="337">
        <v>190</v>
      </c>
      <c r="B245" s="281">
        <f t="shared" si="10"/>
        <v>15295.988229799541</v>
      </c>
      <c r="C245" s="281">
        <f t="shared" si="11"/>
        <v>9126.3911543589493</v>
      </c>
      <c r="D245" s="281">
        <f t="shared" si="12"/>
        <v>6169.5970754405917</v>
      </c>
      <c r="E245" s="281">
        <f t="shared" si="13"/>
        <v>2914275.5723194228</v>
      </c>
      <c r="F245" s="280"/>
      <c r="G245" s="275"/>
      <c r="H245" s="269"/>
      <c r="I245" s="275"/>
    </row>
    <row r="246" spans="1:9">
      <c r="A246" s="337">
        <v>191</v>
      </c>
      <c r="B246" s="281">
        <f t="shared" si="10"/>
        <v>15295.988229799541</v>
      </c>
      <c r="C246" s="281">
        <f t="shared" si="11"/>
        <v>9107.1111634981989</v>
      </c>
      <c r="D246" s="281">
        <f t="shared" si="12"/>
        <v>6188.877066301342</v>
      </c>
      <c r="E246" s="281">
        <f t="shared" si="13"/>
        <v>2908086.6952531217</v>
      </c>
      <c r="F246" s="280"/>
      <c r="G246" s="275"/>
      <c r="H246" s="269"/>
      <c r="I246" s="275"/>
    </row>
    <row r="247" spans="1:9">
      <c r="A247" s="337">
        <v>192</v>
      </c>
      <c r="B247" s="281">
        <f t="shared" si="10"/>
        <v>15295.988229799541</v>
      </c>
      <c r="C247" s="281">
        <f t="shared" si="11"/>
        <v>9087.7709226660063</v>
      </c>
      <c r="D247" s="281">
        <f t="shared" si="12"/>
        <v>6208.2173071335346</v>
      </c>
      <c r="E247" s="281">
        <f t="shared" si="13"/>
        <v>2901878.4779459881</v>
      </c>
      <c r="F247" s="280">
        <v>16</v>
      </c>
      <c r="G247" s="336"/>
      <c r="H247" s="289"/>
      <c r="I247" s="336"/>
    </row>
    <row r="248" spans="1:9">
      <c r="A248" s="337">
        <v>193</v>
      </c>
      <c r="B248" s="281">
        <f t="shared" ref="B248:B311" si="14">IF(A248&gt;12*$D$14,0,$D$20)</f>
        <v>15295.988229799541</v>
      </c>
      <c r="C248" s="281">
        <f t="shared" ref="C248:C311" si="15">IF(A248&gt;12*$D$14,0,E247*$D$10/12)</f>
        <v>9068.3702435812138</v>
      </c>
      <c r="D248" s="281">
        <f t="shared" ref="D248:D311" si="16">IF(A248&gt;12*$D$14,0,B248-C248)</f>
        <v>6227.6179862183271</v>
      </c>
      <c r="E248" s="281">
        <f t="shared" ref="E248:E311" si="17">IF(A248&gt;12*$D$14,0,E247-D248)</f>
        <v>2895650.8599597695</v>
      </c>
      <c r="F248" s="280"/>
      <c r="G248" s="275"/>
      <c r="H248" s="269"/>
      <c r="I248" s="336"/>
    </row>
    <row r="249" spans="1:9">
      <c r="A249" s="337">
        <v>194</v>
      </c>
      <c r="B249" s="281">
        <f t="shared" si="14"/>
        <v>15295.988229799541</v>
      </c>
      <c r="C249" s="281">
        <f t="shared" si="15"/>
        <v>9048.9089373742809</v>
      </c>
      <c r="D249" s="281">
        <f t="shared" si="16"/>
        <v>6247.0792924252601</v>
      </c>
      <c r="E249" s="281">
        <f t="shared" si="17"/>
        <v>2889403.7806673441</v>
      </c>
      <c r="F249" s="280"/>
      <c r="G249" s="275"/>
      <c r="H249" s="269"/>
      <c r="I249" s="275"/>
    </row>
    <row r="250" spans="1:9">
      <c r="A250" s="337">
        <v>195</v>
      </c>
      <c r="B250" s="281">
        <f t="shared" si="14"/>
        <v>15295.988229799541</v>
      </c>
      <c r="C250" s="281">
        <f t="shared" si="15"/>
        <v>9029.3868145854522</v>
      </c>
      <c r="D250" s="281">
        <f t="shared" si="16"/>
        <v>6266.6014152140888</v>
      </c>
      <c r="E250" s="281">
        <f t="shared" si="17"/>
        <v>2883137.17925213</v>
      </c>
      <c r="F250" s="280"/>
      <c r="G250" s="275"/>
      <c r="H250" s="269"/>
      <c r="I250" s="275"/>
    </row>
    <row r="251" spans="1:9">
      <c r="A251" s="337">
        <v>196</v>
      </c>
      <c r="B251" s="281">
        <f t="shared" si="14"/>
        <v>15295.988229799541</v>
      </c>
      <c r="C251" s="281">
        <f t="shared" si="15"/>
        <v>9009.8036851629076</v>
      </c>
      <c r="D251" s="281">
        <f t="shared" si="16"/>
        <v>6286.1845446366333</v>
      </c>
      <c r="E251" s="281">
        <f t="shared" si="17"/>
        <v>2876850.9947074936</v>
      </c>
      <c r="F251" s="280"/>
      <c r="G251" s="275"/>
      <c r="H251" s="269"/>
      <c r="I251" s="275"/>
    </row>
    <row r="252" spans="1:9">
      <c r="A252" s="337">
        <v>197</v>
      </c>
      <c r="B252" s="281">
        <f t="shared" si="14"/>
        <v>15295.988229799541</v>
      </c>
      <c r="C252" s="281">
        <f t="shared" si="15"/>
        <v>8990.1593584609182</v>
      </c>
      <c r="D252" s="281">
        <f t="shared" si="16"/>
        <v>6305.8288713386228</v>
      </c>
      <c r="E252" s="281">
        <f t="shared" si="17"/>
        <v>2870545.1658361549</v>
      </c>
      <c r="F252" s="280"/>
      <c r="G252" s="275"/>
      <c r="H252" s="269"/>
      <c r="I252" s="275"/>
    </row>
    <row r="253" spans="1:9">
      <c r="A253" s="337">
        <v>198</v>
      </c>
      <c r="B253" s="281">
        <f t="shared" si="14"/>
        <v>15295.988229799541</v>
      </c>
      <c r="C253" s="281">
        <f t="shared" si="15"/>
        <v>8970.4536432379846</v>
      </c>
      <c r="D253" s="281">
        <f t="shared" si="16"/>
        <v>6325.5345865615564</v>
      </c>
      <c r="E253" s="281">
        <f t="shared" si="17"/>
        <v>2864219.6312495936</v>
      </c>
      <c r="F253" s="280"/>
      <c r="G253" s="336"/>
      <c r="H253" s="289"/>
      <c r="I253" s="275"/>
    </row>
    <row r="254" spans="1:9">
      <c r="A254" s="337">
        <v>199</v>
      </c>
      <c r="B254" s="281">
        <f t="shared" si="14"/>
        <v>15295.988229799541</v>
      </c>
      <c r="C254" s="281">
        <f t="shared" si="15"/>
        <v>8950.6863476549806</v>
      </c>
      <c r="D254" s="281">
        <f t="shared" si="16"/>
        <v>6345.3018821445603</v>
      </c>
      <c r="E254" s="281">
        <f t="shared" si="17"/>
        <v>2857874.329367449</v>
      </c>
      <c r="F254" s="280"/>
      <c r="G254" s="275"/>
      <c r="H254" s="269"/>
      <c r="I254" s="275"/>
    </row>
    <row r="255" spans="1:9">
      <c r="A255" s="337">
        <v>200</v>
      </c>
      <c r="B255" s="281">
        <f t="shared" si="14"/>
        <v>15295.988229799541</v>
      </c>
      <c r="C255" s="281">
        <f t="shared" si="15"/>
        <v>8930.8572792732793</v>
      </c>
      <c r="D255" s="281">
        <f t="shared" si="16"/>
        <v>6365.1309505262616</v>
      </c>
      <c r="E255" s="281">
        <f t="shared" si="17"/>
        <v>2851509.1984169227</v>
      </c>
      <c r="F255" s="280"/>
      <c r="G255" s="275"/>
      <c r="H255" s="269"/>
      <c r="I255" s="275"/>
    </row>
    <row r="256" spans="1:9">
      <c r="A256" s="337">
        <v>201</v>
      </c>
      <c r="B256" s="281">
        <f t="shared" si="14"/>
        <v>15295.988229799541</v>
      </c>
      <c r="C256" s="281">
        <f t="shared" si="15"/>
        <v>8910.9662450528849</v>
      </c>
      <c r="D256" s="281">
        <f t="shared" si="16"/>
        <v>6385.021984746656</v>
      </c>
      <c r="E256" s="281">
        <f t="shared" si="17"/>
        <v>2845124.176432176</v>
      </c>
      <c r="F256" s="280"/>
      <c r="G256" s="275"/>
      <c r="H256" s="269"/>
      <c r="I256" s="275"/>
    </row>
    <row r="257" spans="1:9">
      <c r="A257" s="337">
        <v>202</v>
      </c>
      <c r="B257" s="281">
        <f t="shared" si="14"/>
        <v>15295.988229799541</v>
      </c>
      <c r="C257" s="281">
        <f t="shared" si="15"/>
        <v>8891.0130513505519</v>
      </c>
      <c r="D257" s="281">
        <f t="shared" si="16"/>
        <v>6404.975178448989</v>
      </c>
      <c r="E257" s="281">
        <f t="shared" si="17"/>
        <v>2838719.2012537271</v>
      </c>
      <c r="F257" s="280"/>
      <c r="G257" s="275"/>
      <c r="H257" s="269"/>
      <c r="I257" s="275"/>
    </row>
    <row r="258" spans="1:9">
      <c r="A258" s="337">
        <v>203</v>
      </c>
      <c r="B258" s="281">
        <f t="shared" si="14"/>
        <v>15295.988229799541</v>
      </c>
      <c r="C258" s="281">
        <f t="shared" si="15"/>
        <v>8870.9975039178989</v>
      </c>
      <c r="D258" s="281">
        <f t="shared" si="16"/>
        <v>6424.990725881642</v>
      </c>
      <c r="E258" s="281">
        <f t="shared" si="17"/>
        <v>2832294.2105278457</v>
      </c>
      <c r="F258" s="280"/>
      <c r="G258" s="275"/>
      <c r="H258" s="269"/>
      <c r="I258" s="275"/>
    </row>
    <row r="259" spans="1:9">
      <c r="A259" s="337">
        <v>204</v>
      </c>
      <c r="B259" s="281">
        <f t="shared" si="14"/>
        <v>15295.988229799541</v>
      </c>
      <c r="C259" s="281">
        <f t="shared" si="15"/>
        <v>8850.9194078995188</v>
      </c>
      <c r="D259" s="281">
        <f t="shared" si="16"/>
        <v>6445.0688219000222</v>
      </c>
      <c r="E259" s="281">
        <f t="shared" si="17"/>
        <v>2825849.1417059456</v>
      </c>
      <c r="F259" s="280">
        <v>17</v>
      </c>
      <c r="G259" s="336"/>
      <c r="H259" s="289"/>
      <c r="I259" s="336"/>
    </row>
    <row r="260" spans="1:9">
      <c r="A260" s="337">
        <v>205</v>
      </c>
      <c r="B260" s="281">
        <f t="shared" si="14"/>
        <v>15295.988229799541</v>
      </c>
      <c r="C260" s="281">
        <f t="shared" si="15"/>
        <v>8830.7785678310811</v>
      </c>
      <c r="D260" s="281">
        <f t="shared" si="16"/>
        <v>6465.2096619684598</v>
      </c>
      <c r="E260" s="281">
        <f t="shared" si="17"/>
        <v>2819383.9320439771</v>
      </c>
      <c r="F260" s="280"/>
      <c r="G260" s="275"/>
      <c r="H260" s="269"/>
      <c r="I260" s="336"/>
    </row>
    <row r="261" spans="1:9">
      <c r="A261" s="337">
        <v>206</v>
      </c>
      <c r="B261" s="281">
        <f t="shared" si="14"/>
        <v>15295.988229799541</v>
      </c>
      <c r="C261" s="281">
        <f t="shared" si="15"/>
        <v>8810.5747876374298</v>
      </c>
      <c r="D261" s="281">
        <f t="shared" si="16"/>
        <v>6485.4134421621111</v>
      </c>
      <c r="E261" s="281">
        <f t="shared" si="17"/>
        <v>2812898.5186018148</v>
      </c>
      <c r="F261" s="280"/>
      <c r="G261" s="275"/>
      <c r="H261" s="269"/>
      <c r="I261" s="275"/>
    </row>
    <row r="262" spans="1:9">
      <c r="A262" s="337">
        <v>207</v>
      </c>
      <c r="B262" s="281">
        <f t="shared" si="14"/>
        <v>15295.988229799541</v>
      </c>
      <c r="C262" s="281">
        <f t="shared" si="15"/>
        <v>8790.3078706306715</v>
      </c>
      <c r="D262" s="281">
        <f t="shared" si="16"/>
        <v>6505.6803591688695</v>
      </c>
      <c r="E262" s="281">
        <f t="shared" si="17"/>
        <v>2806392.8382426458</v>
      </c>
      <c r="F262" s="280"/>
      <c r="G262" s="275"/>
      <c r="H262" s="269"/>
      <c r="I262" s="275"/>
    </row>
    <row r="263" spans="1:9">
      <c r="A263" s="337">
        <v>208</v>
      </c>
      <c r="B263" s="281">
        <f t="shared" si="14"/>
        <v>15295.988229799541</v>
      </c>
      <c r="C263" s="281">
        <f t="shared" si="15"/>
        <v>8769.9776195082686</v>
      </c>
      <c r="D263" s="281">
        <f t="shared" si="16"/>
        <v>6526.0106102912723</v>
      </c>
      <c r="E263" s="281">
        <f t="shared" si="17"/>
        <v>2799866.8276323546</v>
      </c>
      <c r="F263" s="280"/>
      <c r="G263" s="275"/>
      <c r="H263" s="269"/>
      <c r="I263" s="275"/>
    </row>
    <row r="264" spans="1:9">
      <c r="A264" s="337">
        <v>209</v>
      </c>
      <c r="B264" s="281">
        <f t="shared" si="14"/>
        <v>15295.988229799541</v>
      </c>
      <c r="C264" s="281">
        <f t="shared" si="15"/>
        <v>8749.5838363511084</v>
      </c>
      <c r="D264" s="281">
        <f t="shared" si="16"/>
        <v>6546.4043934484325</v>
      </c>
      <c r="E264" s="281">
        <f t="shared" si="17"/>
        <v>2793320.4232389061</v>
      </c>
      <c r="F264" s="280"/>
      <c r="G264" s="275"/>
      <c r="H264" s="269"/>
      <c r="I264" s="275"/>
    </row>
    <row r="265" spans="1:9">
      <c r="A265" s="337">
        <v>210</v>
      </c>
      <c r="B265" s="281">
        <f t="shared" si="14"/>
        <v>15295.988229799541</v>
      </c>
      <c r="C265" s="281">
        <f t="shared" si="15"/>
        <v>8729.1263226215833</v>
      </c>
      <c r="D265" s="281">
        <f t="shared" si="16"/>
        <v>6566.8619071779576</v>
      </c>
      <c r="E265" s="281">
        <f t="shared" si="17"/>
        <v>2786753.561331728</v>
      </c>
      <c r="F265" s="280"/>
      <c r="G265" s="336"/>
      <c r="H265" s="289"/>
      <c r="I265" s="275"/>
    </row>
    <row r="266" spans="1:9">
      <c r="A266" s="337">
        <v>211</v>
      </c>
      <c r="B266" s="281">
        <f t="shared" si="14"/>
        <v>15295.988229799541</v>
      </c>
      <c r="C266" s="281">
        <f t="shared" si="15"/>
        <v>8708.6048791616504</v>
      </c>
      <c r="D266" s="281">
        <f t="shared" si="16"/>
        <v>6587.3833506378905</v>
      </c>
      <c r="E266" s="281">
        <f t="shared" si="17"/>
        <v>2780166.1779810903</v>
      </c>
      <c r="F266" s="280"/>
      <c r="G266" s="275"/>
      <c r="H266" s="269"/>
      <c r="I266" s="275"/>
    </row>
    <row r="267" spans="1:9">
      <c r="A267" s="337">
        <v>212</v>
      </c>
      <c r="B267" s="281">
        <f t="shared" si="14"/>
        <v>15295.988229799541</v>
      </c>
      <c r="C267" s="281">
        <f t="shared" si="15"/>
        <v>8688.0193061909085</v>
      </c>
      <c r="D267" s="281">
        <f t="shared" si="16"/>
        <v>6607.9689236086324</v>
      </c>
      <c r="E267" s="281">
        <f t="shared" si="17"/>
        <v>2773558.2090574815</v>
      </c>
      <c r="F267" s="280"/>
      <c r="G267" s="275"/>
      <c r="H267" s="269"/>
      <c r="I267" s="275"/>
    </row>
    <row r="268" spans="1:9">
      <c r="A268" s="337">
        <v>213</v>
      </c>
      <c r="B268" s="281">
        <f t="shared" si="14"/>
        <v>15295.988229799541</v>
      </c>
      <c r="C268" s="281">
        <f t="shared" si="15"/>
        <v>8667.3694033046304</v>
      </c>
      <c r="D268" s="281">
        <f t="shared" si="16"/>
        <v>6628.6188264949105</v>
      </c>
      <c r="E268" s="281">
        <f t="shared" si="17"/>
        <v>2766929.5902309865</v>
      </c>
      <c r="F268" s="280"/>
      <c r="G268" s="275"/>
      <c r="H268" s="269"/>
      <c r="I268" s="275"/>
    </row>
    <row r="269" spans="1:9">
      <c r="A269" s="337">
        <v>214</v>
      </c>
      <c r="B269" s="281">
        <f t="shared" si="14"/>
        <v>15295.988229799541</v>
      </c>
      <c r="C269" s="281">
        <f t="shared" si="15"/>
        <v>8646.6549694718342</v>
      </c>
      <c r="D269" s="281">
        <f t="shared" si="16"/>
        <v>6649.3332603277067</v>
      </c>
      <c r="E269" s="281">
        <f t="shared" si="17"/>
        <v>2760280.2569706589</v>
      </c>
      <c r="F269" s="280"/>
      <c r="G269" s="275"/>
      <c r="H269" s="269"/>
      <c r="I269" s="275"/>
    </row>
    <row r="270" spans="1:9">
      <c r="A270" s="337">
        <v>215</v>
      </c>
      <c r="B270" s="281">
        <f t="shared" si="14"/>
        <v>15295.988229799541</v>
      </c>
      <c r="C270" s="281">
        <f t="shared" si="15"/>
        <v>8625.8758030333101</v>
      </c>
      <c r="D270" s="281">
        <f t="shared" si="16"/>
        <v>6670.1124267662308</v>
      </c>
      <c r="E270" s="281">
        <f t="shared" si="17"/>
        <v>2753610.1445438927</v>
      </c>
      <c r="F270" s="280"/>
      <c r="G270" s="275"/>
      <c r="H270" s="269"/>
      <c r="I270" s="275"/>
    </row>
    <row r="271" spans="1:9">
      <c r="A271" s="337">
        <v>216</v>
      </c>
      <c r="B271" s="281">
        <f t="shared" si="14"/>
        <v>15295.988229799541</v>
      </c>
      <c r="C271" s="281">
        <f t="shared" si="15"/>
        <v>8605.0317016996651</v>
      </c>
      <c r="D271" s="281">
        <f t="shared" si="16"/>
        <v>6690.9565280998759</v>
      </c>
      <c r="E271" s="281">
        <f t="shared" si="17"/>
        <v>2746919.188015793</v>
      </c>
      <c r="F271" s="280">
        <v>18</v>
      </c>
      <c r="G271" s="336"/>
      <c r="H271" s="289"/>
      <c r="I271" s="336"/>
    </row>
    <row r="272" spans="1:9">
      <c r="A272" s="337">
        <v>217</v>
      </c>
      <c r="B272" s="281">
        <f t="shared" si="14"/>
        <v>15295.988229799541</v>
      </c>
      <c r="C272" s="281">
        <f t="shared" si="15"/>
        <v>8584.1224625493542</v>
      </c>
      <c r="D272" s="281">
        <f t="shared" si="16"/>
        <v>6711.8657672501868</v>
      </c>
      <c r="E272" s="281">
        <f t="shared" si="17"/>
        <v>2740207.3222485427</v>
      </c>
      <c r="F272" s="280"/>
      <c r="G272" s="275"/>
      <c r="H272" s="269"/>
      <c r="I272" s="336"/>
    </row>
    <row r="273" spans="1:9">
      <c r="A273" s="337">
        <v>218</v>
      </c>
      <c r="B273" s="281">
        <f t="shared" si="14"/>
        <v>15295.988229799541</v>
      </c>
      <c r="C273" s="281">
        <f t="shared" si="15"/>
        <v>8563.1478820266966</v>
      </c>
      <c r="D273" s="281">
        <f t="shared" si="16"/>
        <v>6732.8403477728443</v>
      </c>
      <c r="E273" s="281">
        <f t="shared" si="17"/>
        <v>2733474.4819007698</v>
      </c>
      <c r="F273" s="280"/>
      <c r="G273" s="275"/>
      <c r="H273" s="269"/>
      <c r="I273" s="275"/>
    </row>
    <row r="274" spans="1:9">
      <c r="A274" s="337">
        <v>219</v>
      </c>
      <c r="B274" s="281">
        <f t="shared" si="14"/>
        <v>15295.988229799541</v>
      </c>
      <c r="C274" s="281">
        <f t="shared" si="15"/>
        <v>8542.1077559399073</v>
      </c>
      <c r="D274" s="281">
        <f t="shared" si="16"/>
        <v>6753.8804738596336</v>
      </c>
      <c r="E274" s="281">
        <f t="shared" si="17"/>
        <v>2726720.6014269101</v>
      </c>
      <c r="F274" s="280"/>
      <c r="G274" s="275"/>
      <c r="H274" s="269"/>
      <c r="I274" s="275"/>
    </row>
    <row r="275" spans="1:9">
      <c r="A275" s="337">
        <v>220</v>
      </c>
      <c r="B275" s="281">
        <f t="shared" si="14"/>
        <v>15295.988229799541</v>
      </c>
      <c r="C275" s="281">
        <f t="shared" si="15"/>
        <v>8521.001879459096</v>
      </c>
      <c r="D275" s="281">
        <f t="shared" si="16"/>
        <v>6774.9863503404449</v>
      </c>
      <c r="E275" s="281">
        <f t="shared" si="17"/>
        <v>2719945.6150765698</v>
      </c>
      <c r="F275" s="280"/>
      <c r="G275" s="275"/>
      <c r="H275" s="269"/>
      <c r="I275" s="275"/>
    </row>
    <row r="276" spans="1:9">
      <c r="A276" s="337">
        <v>221</v>
      </c>
      <c r="B276" s="281">
        <f t="shared" si="14"/>
        <v>15295.988229799541</v>
      </c>
      <c r="C276" s="281">
        <f t="shared" si="15"/>
        <v>8499.8300471142811</v>
      </c>
      <c r="D276" s="281">
        <f t="shared" si="16"/>
        <v>6796.1581826852598</v>
      </c>
      <c r="E276" s="281">
        <f t="shared" si="17"/>
        <v>2713149.4568938846</v>
      </c>
      <c r="F276" s="280"/>
      <c r="G276" s="275"/>
      <c r="H276" s="269"/>
      <c r="I276" s="275"/>
    </row>
    <row r="277" spans="1:9">
      <c r="A277" s="337">
        <v>222</v>
      </c>
      <c r="B277" s="281">
        <f t="shared" si="14"/>
        <v>15295.988229799541</v>
      </c>
      <c r="C277" s="281">
        <f t="shared" si="15"/>
        <v>8478.5920527933904</v>
      </c>
      <c r="D277" s="281">
        <f t="shared" si="16"/>
        <v>6817.3961770061505</v>
      </c>
      <c r="E277" s="281">
        <f t="shared" si="17"/>
        <v>2706332.0607168786</v>
      </c>
      <c r="F277" s="280"/>
      <c r="G277" s="336"/>
      <c r="H277" s="289"/>
      <c r="I277" s="275"/>
    </row>
    <row r="278" spans="1:9">
      <c r="A278" s="337">
        <v>223</v>
      </c>
      <c r="B278" s="281">
        <f t="shared" si="14"/>
        <v>15295.988229799541</v>
      </c>
      <c r="C278" s="281">
        <f t="shared" si="15"/>
        <v>8457.2876897402475</v>
      </c>
      <c r="D278" s="281">
        <f t="shared" si="16"/>
        <v>6838.7005400592934</v>
      </c>
      <c r="E278" s="281">
        <f t="shared" si="17"/>
        <v>2699493.3601768194</v>
      </c>
      <c r="F278" s="280"/>
      <c r="G278" s="275"/>
      <c r="H278" s="269"/>
      <c r="I278" s="275"/>
    </row>
    <row r="279" spans="1:9">
      <c r="A279" s="337">
        <v>224</v>
      </c>
      <c r="B279" s="281">
        <f t="shared" si="14"/>
        <v>15295.988229799541</v>
      </c>
      <c r="C279" s="281">
        <f t="shared" si="15"/>
        <v>8435.916750552562</v>
      </c>
      <c r="D279" s="281">
        <f t="shared" si="16"/>
        <v>6860.0714792469789</v>
      </c>
      <c r="E279" s="281">
        <f t="shared" si="17"/>
        <v>2692633.2886975724</v>
      </c>
      <c r="F279" s="280"/>
      <c r="G279" s="275"/>
      <c r="H279" s="269"/>
      <c r="I279" s="275"/>
    </row>
    <row r="280" spans="1:9">
      <c r="A280" s="337">
        <v>225</v>
      </c>
      <c r="B280" s="281">
        <f t="shared" si="14"/>
        <v>15295.988229799541</v>
      </c>
      <c r="C280" s="281">
        <f t="shared" si="15"/>
        <v>8414.4790271799156</v>
      </c>
      <c r="D280" s="281">
        <f t="shared" si="16"/>
        <v>6881.5092026196253</v>
      </c>
      <c r="E280" s="281">
        <f t="shared" si="17"/>
        <v>2685751.7794949529</v>
      </c>
      <c r="F280" s="280"/>
      <c r="G280" s="275"/>
      <c r="H280" s="269"/>
      <c r="I280" s="275"/>
    </row>
    <row r="281" spans="1:9">
      <c r="A281" s="337">
        <v>226</v>
      </c>
      <c r="B281" s="281">
        <f t="shared" si="14"/>
        <v>15295.988229799541</v>
      </c>
      <c r="C281" s="281">
        <f t="shared" si="15"/>
        <v>8392.9743109217288</v>
      </c>
      <c r="D281" s="281">
        <f t="shared" si="16"/>
        <v>6903.0139188778121</v>
      </c>
      <c r="E281" s="281">
        <f t="shared" si="17"/>
        <v>2678848.7655760748</v>
      </c>
      <c r="F281" s="280"/>
      <c r="G281" s="275"/>
      <c r="H281" s="269"/>
      <c r="I281" s="275"/>
    </row>
    <row r="282" spans="1:9">
      <c r="A282" s="337">
        <v>227</v>
      </c>
      <c r="B282" s="281">
        <f t="shared" si="14"/>
        <v>15295.988229799541</v>
      </c>
      <c r="C282" s="281">
        <f t="shared" si="15"/>
        <v>8371.4023924252342</v>
      </c>
      <c r="D282" s="281">
        <f t="shared" si="16"/>
        <v>6924.5858373743067</v>
      </c>
      <c r="E282" s="281">
        <f t="shared" si="17"/>
        <v>2671924.1797387004</v>
      </c>
      <c r="F282" s="280"/>
      <c r="G282" s="275"/>
      <c r="H282" s="269"/>
      <c r="I282" s="275"/>
    </row>
    <row r="283" spans="1:9">
      <c r="A283" s="337">
        <v>228</v>
      </c>
      <c r="B283" s="281">
        <f t="shared" si="14"/>
        <v>15295.988229799541</v>
      </c>
      <c r="C283" s="281">
        <f t="shared" si="15"/>
        <v>8349.7630616834394</v>
      </c>
      <c r="D283" s="281">
        <f t="shared" si="16"/>
        <v>6946.2251681161015</v>
      </c>
      <c r="E283" s="281">
        <f t="shared" si="17"/>
        <v>2664977.9545705845</v>
      </c>
      <c r="F283" s="280">
        <v>19</v>
      </c>
      <c r="G283" s="336"/>
      <c r="H283" s="289"/>
      <c r="I283" s="336"/>
    </row>
    <row r="284" spans="1:9">
      <c r="A284" s="337">
        <v>229</v>
      </c>
      <c r="B284" s="281">
        <f t="shared" si="14"/>
        <v>15295.988229799541</v>
      </c>
      <c r="C284" s="281">
        <f t="shared" si="15"/>
        <v>8328.0561080330772</v>
      </c>
      <c r="D284" s="281">
        <f t="shared" si="16"/>
        <v>6967.9321217664638</v>
      </c>
      <c r="E284" s="281">
        <f t="shared" si="17"/>
        <v>2658010.0224488182</v>
      </c>
      <c r="F284" s="280"/>
      <c r="G284" s="275"/>
      <c r="H284" s="269"/>
      <c r="I284" s="336"/>
    </row>
    <row r="285" spans="1:9">
      <c r="A285" s="337">
        <v>230</v>
      </c>
      <c r="B285" s="281">
        <f t="shared" si="14"/>
        <v>15295.988229799541</v>
      </c>
      <c r="C285" s="281">
        <f t="shared" si="15"/>
        <v>8306.2813201525587</v>
      </c>
      <c r="D285" s="281">
        <f t="shared" si="16"/>
        <v>6989.7069096469822</v>
      </c>
      <c r="E285" s="281">
        <f t="shared" si="17"/>
        <v>2651020.315539171</v>
      </c>
      <c r="F285" s="280"/>
      <c r="G285" s="275"/>
      <c r="H285" s="269"/>
      <c r="I285" s="275"/>
    </row>
    <row r="286" spans="1:9">
      <c r="A286" s="337">
        <v>231</v>
      </c>
      <c r="B286" s="281">
        <f t="shared" si="14"/>
        <v>15295.988229799541</v>
      </c>
      <c r="C286" s="281">
        <f t="shared" si="15"/>
        <v>8284.4384860599112</v>
      </c>
      <c r="D286" s="281">
        <f t="shared" si="16"/>
        <v>7011.5497437396298</v>
      </c>
      <c r="E286" s="281">
        <f t="shared" si="17"/>
        <v>2644008.7657954316</v>
      </c>
      <c r="F286" s="280"/>
      <c r="G286" s="275"/>
      <c r="H286" s="269"/>
      <c r="I286" s="275"/>
    </row>
    <row r="287" spans="1:9">
      <c r="A287" s="337">
        <v>232</v>
      </c>
      <c r="B287" s="281">
        <f t="shared" si="14"/>
        <v>15295.988229799541</v>
      </c>
      <c r="C287" s="281">
        <f t="shared" si="15"/>
        <v>8262.527393110724</v>
      </c>
      <c r="D287" s="281">
        <f t="shared" si="16"/>
        <v>7033.4608366888169</v>
      </c>
      <c r="E287" s="281">
        <f t="shared" si="17"/>
        <v>2636975.3049587426</v>
      </c>
      <c r="F287" s="280"/>
      <c r="G287" s="275"/>
      <c r="H287" s="269"/>
      <c r="I287" s="275"/>
    </row>
    <row r="288" spans="1:9">
      <c r="A288" s="337">
        <v>233</v>
      </c>
      <c r="B288" s="281">
        <f t="shared" si="14"/>
        <v>15295.988229799541</v>
      </c>
      <c r="C288" s="281">
        <f t="shared" si="15"/>
        <v>8240.5478279960716</v>
      </c>
      <c r="D288" s="281">
        <f t="shared" si="16"/>
        <v>7055.4404018034693</v>
      </c>
      <c r="E288" s="281">
        <f t="shared" si="17"/>
        <v>2629919.8645569393</v>
      </c>
      <c r="F288" s="280"/>
      <c r="G288" s="275"/>
      <c r="H288" s="269"/>
      <c r="I288" s="275"/>
    </row>
    <row r="289" spans="1:9">
      <c r="A289" s="337">
        <v>234</v>
      </c>
      <c r="B289" s="281">
        <f t="shared" si="14"/>
        <v>15295.988229799541</v>
      </c>
      <c r="C289" s="281">
        <f t="shared" si="15"/>
        <v>8218.4995767404362</v>
      </c>
      <c r="D289" s="281">
        <f t="shared" si="16"/>
        <v>7077.4886530591048</v>
      </c>
      <c r="E289" s="281">
        <f t="shared" si="17"/>
        <v>2622842.3759038802</v>
      </c>
      <c r="F289" s="280"/>
      <c r="G289" s="336"/>
      <c r="H289" s="289"/>
      <c r="I289" s="275"/>
    </row>
    <row r="290" spans="1:9">
      <c r="A290" s="337">
        <v>235</v>
      </c>
      <c r="B290" s="281">
        <f t="shared" si="14"/>
        <v>15295.988229799541</v>
      </c>
      <c r="C290" s="281">
        <f t="shared" si="15"/>
        <v>8196.3824246996264</v>
      </c>
      <c r="D290" s="281">
        <f t="shared" si="16"/>
        <v>7099.6058050999145</v>
      </c>
      <c r="E290" s="281">
        <f t="shared" si="17"/>
        <v>2615742.7700987803</v>
      </c>
      <c r="F290" s="280"/>
      <c r="G290" s="275"/>
      <c r="H290" s="269"/>
      <c r="I290" s="275"/>
    </row>
    <row r="291" spans="1:9">
      <c r="A291" s="337">
        <v>236</v>
      </c>
      <c r="B291" s="281">
        <f t="shared" si="14"/>
        <v>15295.988229799541</v>
      </c>
      <c r="C291" s="281">
        <f t="shared" si="15"/>
        <v>8174.1961565586898</v>
      </c>
      <c r="D291" s="281">
        <f t="shared" si="16"/>
        <v>7121.7920732408511</v>
      </c>
      <c r="E291" s="281">
        <f t="shared" si="17"/>
        <v>2608620.9780255393</v>
      </c>
      <c r="F291" s="280"/>
      <c r="G291" s="275"/>
      <c r="H291" s="269"/>
      <c r="I291" s="275"/>
    </row>
    <row r="292" spans="1:9">
      <c r="A292" s="337">
        <v>237</v>
      </c>
      <c r="B292" s="281">
        <f t="shared" si="14"/>
        <v>15295.988229799541</v>
      </c>
      <c r="C292" s="281">
        <f t="shared" si="15"/>
        <v>8151.9405563298124</v>
      </c>
      <c r="D292" s="281">
        <f t="shared" si="16"/>
        <v>7144.0476734697286</v>
      </c>
      <c r="E292" s="281">
        <f t="shared" si="17"/>
        <v>2601476.9303520694</v>
      </c>
      <c r="F292" s="280"/>
      <c r="G292" s="275"/>
      <c r="H292" s="269"/>
      <c r="I292" s="275"/>
    </row>
    <row r="293" spans="1:9">
      <c r="A293" s="337">
        <v>238</v>
      </c>
      <c r="B293" s="281">
        <f t="shared" si="14"/>
        <v>15295.988229799541</v>
      </c>
      <c r="C293" s="281">
        <f t="shared" si="15"/>
        <v>8129.6154073502184</v>
      </c>
      <c r="D293" s="281">
        <f t="shared" si="16"/>
        <v>7166.3728224493225</v>
      </c>
      <c r="E293" s="281">
        <f t="shared" si="17"/>
        <v>2594310.5575296199</v>
      </c>
      <c r="F293" s="280"/>
      <c r="G293" s="275"/>
      <c r="H293" s="269"/>
      <c r="I293" s="275"/>
    </row>
    <row r="294" spans="1:9">
      <c r="A294" s="337">
        <v>239</v>
      </c>
      <c r="B294" s="281">
        <f t="shared" si="14"/>
        <v>15295.988229799541</v>
      </c>
      <c r="C294" s="281">
        <f t="shared" si="15"/>
        <v>8107.2204922800629</v>
      </c>
      <c r="D294" s="281">
        <f t="shared" si="16"/>
        <v>7188.767737519478</v>
      </c>
      <c r="E294" s="281">
        <f t="shared" si="17"/>
        <v>2587121.7897921004</v>
      </c>
      <c r="F294" s="280"/>
      <c r="G294" s="275"/>
      <c r="H294" s="269"/>
      <c r="I294" s="275"/>
    </row>
    <row r="295" spans="1:9">
      <c r="A295" s="337">
        <v>240</v>
      </c>
      <c r="B295" s="281">
        <f t="shared" si="14"/>
        <v>15295.988229799541</v>
      </c>
      <c r="C295" s="281">
        <f t="shared" si="15"/>
        <v>8084.7555931003153</v>
      </c>
      <c r="D295" s="281">
        <f t="shared" si="16"/>
        <v>7211.2326366992256</v>
      </c>
      <c r="E295" s="281">
        <f t="shared" si="17"/>
        <v>2579910.557155401</v>
      </c>
      <c r="F295" s="280">
        <v>20</v>
      </c>
      <c r="G295" s="336"/>
      <c r="H295" s="289"/>
      <c r="I295" s="336"/>
    </row>
    <row r="296" spans="1:9">
      <c r="A296" s="337">
        <v>241</v>
      </c>
      <c r="B296" s="281">
        <f t="shared" si="14"/>
        <v>15295.988229799541</v>
      </c>
      <c r="C296" s="281">
        <f t="shared" si="15"/>
        <v>8062.2204911106301</v>
      </c>
      <c r="D296" s="281">
        <f t="shared" si="16"/>
        <v>7233.7677386889109</v>
      </c>
      <c r="E296" s="281">
        <f t="shared" si="17"/>
        <v>2572676.7894167122</v>
      </c>
      <c r="F296" s="280"/>
      <c r="G296" s="275"/>
      <c r="H296" s="269"/>
      <c r="I296" s="336"/>
    </row>
    <row r="297" spans="1:9">
      <c r="A297" s="337">
        <v>242</v>
      </c>
      <c r="B297" s="281">
        <f t="shared" si="14"/>
        <v>15295.988229799541</v>
      </c>
      <c r="C297" s="281">
        <f t="shared" si="15"/>
        <v>8039.6149669272272</v>
      </c>
      <c r="D297" s="281">
        <f t="shared" si="16"/>
        <v>7256.3732628723137</v>
      </c>
      <c r="E297" s="281">
        <f t="shared" si="17"/>
        <v>2565420.4161538398</v>
      </c>
      <c r="F297" s="280"/>
      <c r="G297" s="275"/>
      <c r="H297" s="269"/>
      <c r="I297" s="275"/>
    </row>
    <row r="298" spans="1:9">
      <c r="A298" s="337">
        <v>243</v>
      </c>
      <c r="B298" s="281">
        <f t="shared" si="14"/>
        <v>15295.988229799541</v>
      </c>
      <c r="C298" s="281">
        <f t="shared" si="15"/>
        <v>8016.9388004807506</v>
      </c>
      <c r="D298" s="281">
        <f t="shared" si="16"/>
        <v>7279.0494293187903</v>
      </c>
      <c r="E298" s="281">
        <f t="shared" si="17"/>
        <v>2558141.3667245209</v>
      </c>
      <c r="F298" s="280"/>
      <c r="G298" s="275"/>
      <c r="H298" s="269"/>
      <c r="I298" s="275"/>
    </row>
    <row r="299" spans="1:9">
      <c r="A299" s="337">
        <v>244</v>
      </c>
      <c r="B299" s="281">
        <f t="shared" si="14"/>
        <v>15295.988229799541</v>
      </c>
      <c r="C299" s="281">
        <f t="shared" si="15"/>
        <v>7994.1917710141288</v>
      </c>
      <c r="D299" s="281">
        <f t="shared" si="16"/>
        <v>7301.7964587854121</v>
      </c>
      <c r="E299" s="281">
        <f t="shared" si="17"/>
        <v>2550839.5702657355</v>
      </c>
      <c r="F299" s="280"/>
      <c r="G299" s="275"/>
      <c r="H299" s="269"/>
      <c r="I299" s="275"/>
    </row>
    <row r="300" spans="1:9">
      <c r="A300" s="337">
        <v>245</v>
      </c>
      <c r="B300" s="281">
        <f t="shared" si="14"/>
        <v>15295.988229799541</v>
      </c>
      <c r="C300" s="281">
        <f t="shared" si="15"/>
        <v>7971.3736570804249</v>
      </c>
      <c r="D300" s="281">
        <f t="shared" si="16"/>
        <v>7324.614572719116</v>
      </c>
      <c r="E300" s="281">
        <f t="shared" si="17"/>
        <v>2543514.9556930163</v>
      </c>
      <c r="F300" s="280"/>
      <c r="G300" s="275"/>
      <c r="H300" s="269"/>
      <c r="I300" s="275"/>
    </row>
    <row r="301" spans="1:9">
      <c r="A301" s="337">
        <v>246</v>
      </c>
      <c r="B301" s="281">
        <f t="shared" si="14"/>
        <v>15295.988229799541</v>
      </c>
      <c r="C301" s="281">
        <f t="shared" si="15"/>
        <v>7948.4842365406766</v>
      </c>
      <c r="D301" s="281">
        <f t="shared" si="16"/>
        <v>7347.5039932588643</v>
      </c>
      <c r="E301" s="281">
        <f t="shared" si="17"/>
        <v>2536167.4516997575</v>
      </c>
      <c r="F301" s="280"/>
      <c r="G301" s="336"/>
      <c r="H301" s="289"/>
      <c r="I301" s="275"/>
    </row>
    <row r="302" spans="1:9">
      <c r="A302" s="337">
        <v>247</v>
      </c>
      <c r="B302" s="281">
        <f t="shared" si="14"/>
        <v>15295.988229799541</v>
      </c>
      <c r="C302" s="281">
        <f t="shared" si="15"/>
        <v>7925.5232865617436</v>
      </c>
      <c r="D302" s="281">
        <f t="shared" si="16"/>
        <v>7370.4649432377973</v>
      </c>
      <c r="E302" s="281">
        <f t="shared" si="17"/>
        <v>2528796.9867565199</v>
      </c>
      <c r="F302" s="280"/>
      <c r="G302" s="275"/>
      <c r="H302" s="269"/>
      <c r="I302" s="275"/>
    </row>
    <row r="303" spans="1:9">
      <c r="A303" s="337">
        <v>248</v>
      </c>
      <c r="B303" s="281">
        <f t="shared" si="14"/>
        <v>15295.988229799541</v>
      </c>
      <c r="C303" s="281">
        <f t="shared" si="15"/>
        <v>7902.4905836141261</v>
      </c>
      <c r="D303" s="281">
        <f t="shared" si="16"/>
        <v>7393.4976461854149</v>
      </c>
      <c r="E303" s="281">
        <f t="shared" si="17"/>
        <v>2521403.4891103343</v>
      </c>
      <c r="F303" s="280"/>
      <c r="G303" s="275"/>
      <c r="H303" s="269"/>
      <c r="I303" s="275"/>
    </row>
    <row r="304" spans="1:9">
      <c r="A304" s="337">
        <v>249</v>
      </c>
      <c r="B304" s="281">
        <f t="shared" si="14"/>
        <v>15295.988229799541</v>
      </c>
      <c r="C304" s="281">
        <f t="shared" si="15"/>
        <v>7879.3859034697962</v>
      </c>
      <c r="D304" s="281">
        <f t="shared" si="16"/>
        <v>7416.6023263297448</v>
      </c>
      <c r="E304" s="281">
        <f t="shared" si="17"/>
        <v>2513986.8867840045</v>
      </c>
      <c r="F304" s="280"/>
      <c r="G304" s="275"/>
      <c r="H304" s="269"/>
      <c r="I304" s="275"/>
    </row>
    <row r="305" spans="1:9">
      <c r="A305" s="337">
        <v>250</v>
      </c>
      <c r="B305" s="281">
        <f t="shared" si="14"/>
        <v>15295.988229799541</v>
      </c>
      <c r="C305" s="281">
        <f t="shared" si="15"/>
        <v>7856.2090212000148</v>
      </c>
      <c r="D305" s="281">
        <f t="shared" si="16"/>
        <v>7439.7792085995261</v>
      </c>
      <c r="E305" s="281">
        <f t="shared" si="17"/>
        <v>2506547.1075754049</v>
      </c>
      <c r="F305" s="280"/>
      <c r="G305" s="275"/>
      <c r="H305" s="269"/>
      <c r="I305" s="275"/>
    </row>
    <row r="306" spans="1:9">
      <c r="A306" s="337">
        <v>251</v>
      </c>
      <c r="B306" s="281">
        <f t="shared" si="14"/>
        <v>15295.988229799541</v>
      </c>
      <c r="C306" s="281">
        <f t="shared" si="15"/>
        <v>7832.9597111731418</v>
      </c>
      <c r="D306" s="281">
        <f t="shared" si="16"/>
        <v>7463.0285186263991</v>
      </c>
      <c r="E306" s="281">
        <f t="shared" si="17"/>
        <v>2499084.0790567785</v>
      </c>
      <c r="F306" s="280"/>
      <c r="G306" s="275"/>
      <c r="H306" s="269"/>
      <c r="I306" s="275"/>
    </row>
    <row r="307" spans="1:9">
      <c r="A307" s="337">
        <v>252</v>
      </c>
      <c r="B307" s="281">
        <f t="shared" si="14"/>
        <v>15295.988229799541</v>
      </c>
      <c r="C307" s="281">
        <f t="shared" si="15"/>
        <v>7809.637747052434</v>
      </c>
      <c r="D307" s="281">
        <f t="shared" si="16"/>
        <v>7486.350482747107</v>
      </c>
      <c r="E307" s="281">
        <f t="shared" si="17"/>
        <v>2491597.7285740315</v>
      </c>
      <c r="F307" s="280">
        <v>21</v>
      </c>
      <c r="G307" s="336"/>
      <c r="H307" s="289"/>
      <c r="I307" s="336"/>
    </row>
    <row r="308" spans="1:9">
      <c r="A308" s="337">
        <v>253</v>
      </c>
      <c r="B308" s="281">
        <f t="shared" si="14"/>
        <v>15295.988229799541</v>
      </c>
      <c r="C308" s="281">
        <f t="shared" si="15"/>
        <v>7786.2429017938493</v>
      </c>
      <c r="D308" s="281">
        <f t="shared" si="16"/>
        <v>7509.7453280056916</v>
      </c>
      <c r="E308" s="281">
        <f t="shared" si="17"/>
        <v>2484087.9832460256</v>
      </c>
      <c r="F308" s="280"/>
      <c r="G308" s="275"/>
      <c r="H308" s="269"/>
      <c r="I308" s="336"/>
    </row>
    <row r="309" spans="1:9">
      <c r="A309" s="337">
        <v>254</v>
      </c>
      <c r="B309" s="281">
        <f t="shared" si="14"/>
        <v>15295.988229799541</v>
      </c>
      <c r="C309" s="281">
        <f t="shared" si="15"/>
        <v>7762.7749476438321</v>
      </c>
      <c r="D309" s="281">
        <f t="shared" si="16"/>
        <v>7533.2132821557088</v>
      </c>
      <c r="E309" s="281">
        <f t="shared" si="17"/>
        <v>2476554.7699638698</v>
      </c>
      <c r="F309" s="280"/>
      <c r="G309" s="275"/>
      <c r="H309" s="269"/>
      <c r="I309" s="275"/>
    </row>
    <row r="310" spans="1:9">
      <c r="A310" s="337">
        <v>255</v>
      </c>
      <c r="B310" s="281">
        <f t="shared" si="14"/>
        <v>15295.988229799541</v>
      </c>
      <c r="C310" s="281">
        <f t="shared" si="15"/>
        <v>7739.2336561370939</v>
      </c>
      <c r="D310" s="281">
        <f t="shared" si="16"/>
        <v>7556.754573662447</v>
      </c>
      <c r="E310" s="281">
        <f t="shared" si="17"/>
        <v>2468998.0153902075</v>
      </c>
      <c r="F310" s="280"/>
      <c r="G310" s="275"/>
      <c r="H310" s="269"/>
      <c r="I310" s="275"/>
    </row>
    <row r="311" spans="1:9">
      <c r="A311" s="337">
        <v>256</v>
      </c>
      <c r="B311" s="281">
        <f t="shared" si="14"/>
        <v>15295.988229799541</v>
      </c>
      <c r="C311" s="281">
        <f t="shared" si="15"/>
        <v>7715.6187980944005</v>
      </c>
      <c r="D311" s="281">
        <f t="shared" si="16"/>
        <v>7580.3694317051404</v>
      </c>
      <c r="E311" s="281">
        <f t="shared" si="17"/>
        <v>2461417.6459585023</v>
      </c>
      <c r="F311" s="280"/>
      <c r="G311" s="275"/>
      <c r="H311" s="269"/>
      <c r="I311" s="275"/>
    </row>
    <row r="312" spans="1:9">
      <c r="A312" s="337">
        <v>257</v>
      </c>
      <c r="B312" s="281">
        <f t="shared" ref="B312:B375" si="18">IF(A312&gt;12*$D$14,0,$D$20)</f>
        <v>15295.988229799541</v>
      </c>
      <c r="C312" s="281">
        <f t="shared" ref="C312:C375" si="19">IF(A312&gt;12*$D$14,0,E311*$D$10/12)</f>
        <v>7691.9301436203205</v>
      </c>
      <c r="D312" s="281">
        <f t="shared" ref="D312:D375" si="20">IF(A312&gt;12*$D$14,0,B312-C312)</f>
        <v>7604.0580861792205</v>
      </c>
      <c r="E312" s="281">
        <f t="shared" ref="E312:E375" si="21">IF(A312&gt;12*$D$14,0,E311-D312)</f>
        <v>2453813.5878723231</v>
      </c>
      <c r="F312" s="280"/>
      <c r="G312" s="275"/>
      <c r="H312" s="269"/>
      <c r="I312" s="275"/>
    </row>
    <row r="313" spans="1:9">
      <c r="A313" s="337">
        <v>258</v>
      </c>
      <c r="B313" s="281">
        <f t="shared" si="18"/>
        <v>15295.988229799541</v>
      </c>
      <c r="C313" s="281">
        <f t="shared" si="19"/>
        <v>7668.1674621010106</v>
      </c>
      <c r="D313" s="281">
        <f t="shared" si="20"/>
        <v>7627.8207676985303</v>
      </c>
      <c r="E313" s="281">
        <f t="shared" si="21"/>
        <v>2446185.7671046248</v>
      </c>
      <c r="F313" s="280"/>
      <c r="G313" s="336"/>
      <c r="H313" s="289"/>
      <c r="I313" s="275"/>
    </row>
    <row r="314" spans="1:9">
      <c r="A314" s="337">
        <v>259</v>
      </c>
      <c r="B314" s="281">
        <f t="shared" si="18"/>
        <v>15295.988229799541</v>
      </c>
      <c r="C314" s="281">
        <f t="shared" si="19"/>
        <v>7644.3305222019544</v>
      </c>
      <c r="D314" s="281">
        <f t="shared" si="20"/>
        <v>7651.6577075975865</v>
      </c>
      <c r="E314" s="281">
        <f t="shared" si="21"/>
        <v>2438534.1093970272</v>
      </c>
      <c r="F314" s="280"/>
      <c r="G314" s="275"/>
      <c r="H314" s="269"/>
      <c r="I314" s="275"/>
    </row>
    <row r="315" spans="1:9">
      <c r="A315" s="337">
        <v>260</v>
      </c>
      <c r="B315" s="281">
        <f t="shared" si="18"/>
        <v>15295.988229799541</v>
      </c>
      <c r="C315" s="281">
        <f t="shared" si="19"/>
        <v>7620.4190918657114</v>
      </c>
      <c r="D315" s="281">
        <f t="shared" si="20"/>
        <v>7675.5691379338296</v>
      </c>
      <c r="E315" s="281">
        <f t="shared" si="21"/>
        <v>2430858.5402590935</v>
      </c>
      <c r="F315" s="280"/>
      <c r="G315" s="275"/>
      <c r="H315" s="269"/>
      <c r="I315" s="275"/>
    </row>
    <row r="316" spans="1:9">
      <c r="A316" s="337">
        <v>261</v>
      </c>
      <c r="B316" s="281">
        <f t="shared" si="18"/>
        <v>15295.988229799541</v>
      </c>
      <c r="C316" s="281">
        <f t="shared" si="19"/>
        <v>7596.4329383096692</v>
      </c>
      <c r="D316" s="281">
        <f t="shared" si="20"/>
        <v>7699.5552914898717</v>
      </c>
      <c r="E316" s="281">
        <f t="shared" si="21"/>
        <v>2423158.9849676038</v>
      </c>
      <c r="F316" s="280"/>
      <c r="G316" s="275"/>
      <c r="H316" s="269"/>
      <c r="I316" s="275"/>
    </row>
    <row r="317" spans="1:9">
      <c r="A317" s="337">
        <v>262</v>
      </c>
      <c r="B317" s="281">
        <f t="shared" si="18"/>
        <v>15295.988229799541</v>
      </c>
      <c r="C317" s="281">
        <f t="shared" si="19"/>
        <v>7572.3718280237626</v>
      </c>
      <c r="D317" s="281">
        <f t="shared" si="20"/>
        <v>7723.6164017757783</v>
      </c>
      <c r="E317" s="281">
        <f t="shared" si="21"/>
        <v>2415435.3685658281</v>
      </c>
      <c r="F317" s="280"/>
      <c r="G317" s="275"/>
      <c r="H317" s="269"/>
      <c r="I317" s="275"/>
    </row>
    <row r="318" spans="1:9">
      <c r="A318" s="337">
        <v>263</v>
      </c>
      <c r="B318" s="281">
        <f t="shared" si="18"/>
        <v>15295.988229799541</v>
      </c>
      <c r="C318" s="281">
        <f t="shared" si="19"/>
        <v>7548.2355267682142</v>
      </c>
      <c r="D318" s="281">
        <f t="shared" si="20"/>
        <v>7747.7527030313267</v>
      </c>
      <c r="E318" s="281">
        <f t="shared" si="21"/>
        <v>2407687.6158627965</v>
      </c>
      <c r="F318" s="280"/>
      <c r="G318" s="275"/>
      <c r="H318" s="269"/>
      <c r="I318" s="275"/>
    </row>
    <row r="319" spans="1:9">
      <c r="A319" s="337">
        <v>264</v>
      </c>
      <c r="B319" s="281">
        <f t="shared" si="18"/>
        <v>15295.988229799541</v>
      </c>
      <c r="C319" s="281">
        <f t="shared" si="19"/>
        <v>7524.0237995712405</v>
      </c>
      <c r="D319" s="281">
        <f t="shared" si="20"/>
        <v>7771.9644302283004</v>
      </c>
      <c r="E319" s="281">
        <f t="shared" si="21"/>
        <v>2399915.6514325682</v>
      </c>
      <c r="F319" s="280">
        <v>22</v>
      </c>
      <c r="G319" s="336"/>
      <c r="H319" s="289"/>
      <c r="I319" s="336"/>
    </row>
    <row r="320" spans="1:9">
      <c r="A320" s="337">
        <v>265</v>
      </c>
      <c r="B320" s="281">
        <f t="shared" si="18"/>
        <v>15295.988229799541</v>
      </c>
      <c r="C320" s="281">
        <f t="shared" si="19"/>
        <v>7499.7364107267776</v>
      </c>
      <c r="D320" s="281">
        <f t="shared" si="20"/>
        <v>7796.2518190727633</v>
      </c>
      <c r="E320" s="281">
        <f t="shared" si="21"/>
        <v>2392119.3996134955</v>
      </c>
      <c r="F320" s="280"/>
      <c r="G320" s="275"/>
      <c r="H320" s="269"/>
      <c r="I320" s="336"/>
    </row>
    <row r="321" spans="1:9">
      <c r="A321" s="337">
        <v>266</v>
      </c>
      <c r="B321" s="281">
        <f t="shared" si="18"/>
        <v>15295.988229799541</v>
      </c>
      <c r="C321" s="281">
        <f t="shared" si="19"/>
        <v>7475.3731237921747</v>
      </c>
      <c r="D321" s="281">
        <f t="shared" si="20"/>
        <v>7820.6151060073662</v>
      </c>
      <c r="E321" s="281">
        <f t="shared" si="21"/>
        <v>2384298.7845074879</v>
      </c>
      <c r="F321" s="280"/>
      <c r="G321" s="275"/>
      <c r="H321" s="269"/>
      <c r="I321" s="275"/>
    </row>
    <row r="322" spans="1:9">
      <c r="A322" s="337">
        <v>267</v>
      </c>
      <c r="B322" s="281">
        <f t="shared" si="18"/>
        <v>15295.988229799541</v>
      </c>
      <c r="C322" s="281">
        <f t="shared" si="19"/>
        <v>7450.933701585901</v>
      </c>
      <c r="D322" s="281">
        <f t="shared" si="20"/>
        <v>7845.05452821364</v>
      </c>
      <c r="E322" s="281">
        <f t="shared" si="21"/>
        <v>2376453.7299792743</v>
      </c>
      <c r="F322" s="280"/>
      <c r="G322" s="275"/>
      <c r="H322" s="269"/>
      <c r="I322" s="275"/>
    </row>
    <row r="323" spans="1:9">
      <c r="A323" s="337">
        <v>268</v>
      </c>
      <c r="B323" s="281">
        <f t="shared" si="18"/>
        <v>15295.988229799541</v>
      </c>
      <c r="C323" s="281">
        <f t="shared" si="19"/>
        <v>7426.4179061852337</v>
      </c>
      <c r="D323" s="281">
        <f t="shared" si="20"/>
        <v>7869.5703236143072</v>
      </c>
      <c r="E323" s="281">
        <f t="shared" si="21"/>
        <v>2368584.1596556599</v>
      </c>
      <c r="F323" s="280"/>
      <c r="G323" s="275"/>
      <c r="H323" s="269"/>
      <c r="I323" s="275"/>
    </row>
    <row r="324" spans="1:9">
      <c r="A324" s="337">
        <v>269</v>
      </c>
      <c r="B324" s="281">
        <f t="shared" si="18"/>
        <v>15295.988229799541</v>
      </c>
      <c r="C324" s="281">
        <f t="shared" si="19"/>
        <v>7401.8254989239385</v>
      </c>
      <c r="D324" s="281">
        <f t="shared" si="20"/>
        <v>7894.1627308756024</v>
      </c>
      <c r="E324" s="281">
        <f t="shared" si="21"/>
        <v>2360689.9969247845</v>
      </c>
      <c r="F324" s="280"/>
      <c r="G324" s="275"/>
      <c r="H324" s="269"/>
      <c r="I324" s="275"/>
    </row>
    <row r="325" spans="1:9">
      <c r="A325" s="337">
        <v>270</v>
      </c>
      <c r="B325" s="281">
        <f t="shared" si="18"/>
        <v>15295.988229799541</v>
      </c>
      <c r="C325" s="281">
        <f t="shared" si="19"/>
        <v>7377.1562403899525</v>
      </c>
      <c r="D325" s="281">
        <f t="shared" si="20"/>
        <v>7918.8319894095885</v>
      </c>
      <c r="E325" s="281">
        <f t="shared" si="21"/>
        <v>2352771.1649353751</v>
      </c>
      <c r="F325" s="280"/>
      <c r="G325" s="336"/>
      <c r="H325" s="289"/>
      <c r="I325" s="275"/>
    </row>
    <row r="326" spans="1:9">
      <c r="A326" s="337">
        <v>271</v>
      </c>
      <c r="B326" s="281">
        <f t="shared" si="18"/>
        <v>15295.988229799541</v>
      </c>
      <c r="C326" s="281">
        <f t="shared" si="19"/>
        <v>7352.4098904230486</v>
      </c>
      <c r="D326" s="281">
        <f t="shared" si="20"/>
        <v>7943.5783393764923</v>
      </c>
      <c r="E326" s="281">
        <f t="shared" si="21"/>
        <v>2344827.5865959986</v>
      </c>
      <c r="F326" s="280"/>
      <c r="G326" s="275"/>
      <c r="H326" s="269"/>
      <c r="I326" s="275"/>
    </row>
    <row r="327" spans="1:9">
      <c r="A327" s="337">
        <v>272</v>
      </c>
      <c r="B327" s="281">
        <f t="shared" si="18"/>
        <v>15295.988229799541</v>
      </c>
      <c r="C327" s="281">
        <f t="shared" si="19"/>
        <v>7327.5862081124969</v>
      </c>
      <c r="D327" s="281">
        <f t="shared" si="20"/>
        <v>7968.402021687044</v>
      </c>
      <c r="E327" s="281">
        <f t="shared" si="21"/>
        <v>2336859.1845743116</v>
      </c>
      <c r="F327" s="280"/>
      <c r="G327" s="275"/>
      <c r="H327" s="269"/>
      <c r="I327" s="275"/>
    </row>
    <row r="328" spans="1:9">
      <c r="A328" s="337">
        <v>273</v>
      </c>
      <c r="B328" s="281">
        <f t="shared" si="18"/>
        <v>15295.988229799541</v>
      </c>
      <c r="C328" s="281">
        <f t="shared" si="19"/>
        <v>7302.6849517947239</v>
      </c>
      <c r="D328" s="281">
        <f t="shared" si="20"/>
        <v>7993.303278004817</v>
      </c>
      <c r="E328" s="281">
        <f t="shared" si="21"/>
        <v>2328865.8812963068</v>
      </c>
      <c r="F328" s="280"/>
      <c r="G328" s="275"/>
      <c r="H328" s="269"/>
      <c r="I328" s="275"/>
    </row>
    <row r="329" spans="1:9">
      <c r="A329" s="337">
        <v>274</v>
      </c>
      <c r="B329" s="281">
        <f t="shared" si="18"/>
        <v>15295.988229799541</v>
      </c>
      <c r="C329" s="281">
        <f t="shared" si="19"/>
        <v>7277.7058790509591</v>
      </c>
      <c r="D329" s="281">
        <f t="shared" si="20"/>
        <v>8018.2823507485818</v>
      </c>
      <c r="E329" s="281">
        <f t="shared" si="21"/>
        <v>2320847.5989455581</v>
      </c>
      <c r="F329" s="280"/>
      <c r="G329" s="275"/>
      <c r="H329" s="269"/>
      <c r="I329" s="275"/>
    </row>
    <row r="330" spans="1:9">
      <c r="A330" s="337">
        <v>275</v>
      </c>
      <c r="B330" s="281">
        <f t="shared" si="18"/>
        <v>15295.988229799541</v>
      </c>
      <c r="C330" s="281">
        <f t="shared" si="19"/>
        <v>7252.6487467048692</v>
      </c>
      <c r="D330" s="281">
        <f t="shared" si="20"/>
        <v>8043.3394830946718</v>
      </c>
      <c r="E330" s="281">
        <f t="shared" si="21"/>
        <v>2312804.2594624632</v>
      </c>
      <c r="F330" s="280"/>
      <c r="G330" s="275"/>
      <c r="H330" s="269"/>
      <c r="I330" s="275"/>
    </row>
    <row r="331" spans="1:9">
      <c r="A331" s="337">
        <v>276</v>
      </c>
      <c r="B331" s="281">
        <f t="shared" si="18"/>
        <v>15295.988229799541</v>
      </c>
      <c r="C331" s="281">
        <f t="shared" si="19"/>
        <v>7227.513310820199</v>
      </c>
      <c r="D331" s="281">
        <f t="shared" si="20"/>
        <v>8068.474918979342</v>
      </c>
      <c r="E331" s="281">
        <f t="shared" si="21"/>
        <v>2304735.784543484</v>
      </c>
      <c r="F331" s="280">
        <v>23</v>
      </c>
      <c r="G331" s="336"/>
      <c r="H331" s="289"/>
      <c r="I331" s="336"/>
    </row>
    <row r="332" spans="1:9">
      <c r="A332" s="337">
        <v>277</v>
      </c>
      <c r="B332" s="281">
        <f t="shared" si="18"/>
        <v>15295.988229799541</v>
      </c>
      <c r="C332" s="281">
        <f t="shared" si="19"/>
        <v>7202.2993266983876</v>
      </c>
      <c r="D332" s="281">
        <f t="shared" si="20"/>
        <v>8093.6889031011533</v>
      </c>
      <c r="E332" s="281">
        <f t="shared" si="21"/>
        <v>2296642.0956403827</v>
      </c>
      <c r="F332" s="280"/>
      <c r="G332" s="275"/>
      <c r="H332" s="269"/>
      <c r="I332" s="336"/>
    </row>
    <row r="333" spans="1:9">
      <c r="A333" s="337">
        <v>278</v>
      </c>
      <c r="B333" s="281">
        <f t="shared" si="18"/>
        <v>15295.988229799541</v>
      </c>
      <c r="C333" s="281">
        <f t="shared" si="19"/>
        <v>7177.0065488761975</v>
      </c>
      <c r="D333" s="281">
        <f t="shared" si="20"/>
        <v>8118.9816809233434</v>
      </c>
      <c r="E333" s="281">
        <f t="shared" si="21"/>
        <v>2288523.1139594596</v>
      </c>
      <c r="F333" s="280"/>
      <c r="G333" s="275"/>
      <c r="H333" s="269"/>
      <c r="I333" s="275"/>
    </row>
    <row r="334" spans="1:9">
      <c r="A334" s="337">
        <v>279</v>
      </c>
      <c r="B334" s="281">
        <f t="shared" si="18"/>
        <v>15295.988229799541</v>
      </c>
      <c r="C334" s="281">
        <f t="shared" si="19"/>
        <v>7151.6347311233121</v>
      </c>
      <c r="D334" s="281">
        <f t="shared" si="20"/>
        <v>8144.3534986762288</v>
      </c>
      <c r="E334" s="281">
        <f t="shared" si="21"/>
        <v>2280378.7604607833</v>
      </c>
      <c r="F334" s="280"/>
      <c r="G334" s="275"/>
      <c r="H334" s="269"/>
      <c r="I334" s="275"/>
    </row>
    <row r="335" spans="1:9">
      <c r="A335" s="337">
        <v>280</v>
      </c>
      <c r="B335" s="281">
        <f t="shared" si="18"/>
        <v>15295.988229799541</v>
      </c>
      <c r="C335" s="281">
        <f t="shared" si="19"/>
        <v>7126.183626439949</v>
      </c>
      <c r="D335" s="281">
        <f t="shared" si="20"/>
        <v>8169.804603359592</v>
      </c>
      <c r="E335" s="281">
        <f t="shared" si="21"/>
        <v>2272208.9558574236</v>
      </c>
      <c r="F335" s="280"/>
      <c r="G335" s="275"/>
      <c r="H335" s="269"/>
      <c r="I335" s="275"/>
    </row>
    <row r="336" spans="1:9">
      <c r="A336" s="337">
        <v>281</v>
      </c>
      <c r="B336" s="281">
        <f t="shared" si="18"/>
        <v>15295.988229799541</v>
      </c>
      <c r="C336" s="281">
        <f t="shared" si="19"/>
        <v>7100.65298705445</v>
      </c>
      <c r="D336" s="281">
        <f t="shared" si="20"/>
        <v>8195.3352427450918</v>
      </c>
      <c r="E336" s="281">
        <f t="shared" si="21"/>
        <v>2264013.6206146786</v>
      </c>
      <c r="F336" s="280"/>
      <c r="G336" s="275"/>
      <c r="H336" s="269"/>
      <c r="I336" s="275"/>
    </row>
    <row r="337" spans="1:9">
      <c r="A337" s="337">
        <v>282</v>
      </c>
      <c r="B337" s="281">
        <f t="shared" si="18"/>
        <v>15295.988229799541</v>
      </c>
      <c r="C337" s="281">
        <f t="shared" si="19"/>
        <v>7075.0425644208708</v>
      </c>
      <c r="D337" s="281">
        <f t="shared" si="20"/>
        <v>8220.9456653786692</v>
      </c>
      <c r="E337" s="281">
        <f t="shared" si="21"/>
        <v>2255792.6749493</v>
      </c>
      <c r="F337" s="280"/>
      <c r="G337" s="336"/>
      <c r="H337" s="289"/>
      <c r="I337" s="275"/>
    </row>
    <row r="338" spans="1:9">
      <c r="A338" s="337">
        <v>283</v>
      </c>
      <c r="B338" s="281">
        <f t="shared" si="18"/>
        <v>15295.988229799541</v>
      </c>
      <c r="C338" s="281">
        <f t="shared" si="19"/>
        <v>7049.3521092165638</v>
      </c>
      <c r="D338" s="281">
        <f t="shared" si="20"/>
        <v>8246.636120582978</v>
      </c>
      <c r="E338" s="281">
        <f t="shared" si="21"/>
        <v>2247546.0388287171</v>
      </c>
      <c r="F338" s="280"/>
      <c r="G338" s="275"/>
      <c r="H338" s="269"/>
      <c r="I338" s="275"/>
    </row>
    <row r="339" spans="1:9">
      <c r="A339" s="337">
        <v>284</v>
      </c>
      <c r="B339" s="281">
        <f t="shared" si="18"/>
        <v>15295.988229799541</v>
      </c>
      <c r="C339" s="281">
        <f t="shared" si="19"/>
        <v>7023.5813713397411</v>
      </c>
      <c r="D339" s="281">
        <f t="shared" si="20"/>
        <v>8272.406858459799</v>
      </c>
      <c r="E339" s="281">
        <f t="shared" si="21"/>
        <v>2239273.6319702575</v>
      </c>
      <c r="F339" s="280"/>
      <c r="G339" s="275"/>
      <c r="H339" s="269"/>
      <c r="I339" s="275"/>
    </row>
    <row r="340" spans="1:9">
      <c r="A340" s="337">
        <v>285</v>
      </c>
      <c r="B340" s="281">
        <f t="shared" si="18"/>
        <v>15295.988229799541</v>
      </c>
      <c r="C340" s="281">
        <f t="shared" si="19"/>
        <v>6997.7300999070549</v>
      </c>
      <c r="D340" s="281">
        <f t="shared" si="20"/>
        <v>8298.2581298924852</v>
      </c>
      <c r="E340" s="281">
        <f t="shared" si="21"/>
        <v>2230975.3738403651</v>
      </c>
      <c r="F340" s="280"/>
      <c r="G340" s="275"/>
      <c r="H340" s="269"/>
      <c r="I340" s="275"/>
    </row>
    <row r="341" spans="1:9">
      <c r="A341" s="337">
        <v>286</v>
      </c>
      <c r="B341" s="281">
        <f t="shared" si="18"/>
        <v>15295.988229799541</v>
      </c>
      <c r="C341" s="281">
        <f t="shared" si="19"/>
        <v>6971.7980432511422</v>
      </c>
      <c r="D341" s="281">
        <f t="shared" si="20"/>
        <v>8324.1901865483997</v>
      </c>
      <c r="E341" s="281">
        <f t="shared" si="21"/>
        <v>2222651.1836538166</v>
      </c>
      <c r="F341" s="280"/>
      <c r="G341" s="275"/>
      <c r="H341" s="269"/>
      <c r="I341" s="275"/>
    </row>
    <row r="342" spans="1:9">
      <c r="A342" s="337">
        <v>287</v>
      </c>
      <c r="B342" s="281">
        <f t="shared" si="18"/>
        <v>15295.988229799541</v>
      </c>
      <c r="C342" s="281">
        <f t="shared" si="19"/>
        <v>6945.7849489181781</v>
      </c>
      <c r="D342" s="281">
        <f t="shared" si="20"/>
        <v>8350.2032808813638</v>
      </c>
      <c r="E342" s="281">
        <f t="shared" si="21"/>
        <v>2214300.9803729351</v>
      </c>
      <c r="F342" s="280"/>
      <c r="G342" s="275"/>
      <c r="H342" s="269"/>
      <c r="I342" s="275"/>
    </row>
    <row r="343" spans="1:9">
      <c r="A343" s="337">
        <v>288</v>
      </c>
      <c r="B343" s="281">
        <f t="shared" si="18"/>
        <v>15295.988229799541</v>
      </c>
      <c r="C343" s="281">
        <f t="shared" si="19"/>
        <v>6919.6905636654228</v>
      </c>
      <c r="D343" s="281">
        <f t="shared" si="20"/>
        <v>8376.2976661341181</v>
      </c>
      <c r="E343" s="281">
        <f t="shared" si="21"/>
        <v>2205924.6827068008</v>
      </c>
      <c r="F343" s="280">
        <v>24</v>
      </c>
      <c r="G343" s="336"/>
      <c r="H343" s="289"/>
      <c r="I343" s="336"/>
    </row>
    <row r="344" spans="1:9">
      <c r="A344" s="337">
        <v>289</v>
      </c>
      <c r="B344" s="281">
        <f t="shared" si="18"/>
        <v>15295.988229799541</v>
      </c>
      <c r="C344" s="281">
        <f t="shared" si="19"/>
        <v>6893.5146334587525</v>
      </c>
      <c r="D344" s="281">
        <f t="shared" si="20"/>
        <v>8402.4735963407875</v>
      </c>
      <c r="E344" s="281">
        <f t="shared" si="21"/>
        <v>2197522.2091104598</v>
      </c>
      <c r="F344" s="280"/>
      <c r="G344" s="275"/>
      <c r="H344" s="269"/>
      <c r="I344" s="336"/>
    </row>
    <row r="345" spans="1:9">
      <c r="A345" s="337">
        <v>290</v>
      </c>
      <c r="B345" s="281">
        <f t="shared" si="18"/>
        <v>15295.988229799541</v>
      </c>
      <c r="C345" s="281">
        <f t="shared" si="19"/>
        <v>6867.2569034701883</v>
      </c>
      <c r="D345" s="281">
        <f t="shared" si="20"/>
        <v>8428.7313263293527</v>
      </c>
      <c r="E345" s="281">
        <f t="shared" si="21"/>
        <v>2189093.4777841303</v>
      </c>
      <c r="F345" s="280"/>
      <c r="G345" s="275"/>
      <c r="H345" s="269"/>
      <c r="I345" s="275"/>
    </row>
    <row r="346" spans="1:9">
      <c r="A346" s="337">
        <v>291</v>
      </c>
      <c r="B346" s="281">
        <f t="shared" si="18"/>
        <v>15295.988229799541</v>
      </c>
      <c r="C346" s="281">
        <f t="shared" si="19"/>
        <v>6840.9171180754083</v>
      </c>
      <c r="D346" s="281">
        <f t="shared" si="20"/>
        <v>8455.0711117241335</v>
      </c>
      <c r="E346" s="281">
        <f t="shared" si="21"/>
        <v>2180638.406672406</v>
      </c>
      <c r="F346" s="280"/>
      <c r="G346" s="275"/>
      <c r="H346" s="269"/>
      <c r="I346" s="275"/>
    </row>
    <row r="347" spans="1:9">
      <c r="A347" s="337">
        <v>292</v>
      </c>
      <c r="B347" s="281">
        <f t="shared" si="18"/>
        <v>15295.988229799541</v>
      </c>
      <c r="C347" s="281">
        <f t="shared" si="19"/>
        <v>6814.4950208512701</v>
      </c>
      <c r="D347" s="281">
        <f t="shared" si="20"/>
        <v>8481.4932089482718</v>
      </c>
      <c r="E347" s="281">
        <f t="shared" si="21"/>
        <v>2172156.913463458</v>
      </c>
      <c r="F347" s="280"/>
      <c r="G347" s="275"/>
      <c r="H347" s="269"/>
      <c r="I347" s="275"/>
    </row>
    <row r="348" spans="1:9">
      <c r="A348" s="337">
        <v>293</v>
      </c>
      <c r="B348" s="281">
        <f t="shared" si="18"/>
        <v>15295.988229799541</v>
      </c>
      <c r="C348" s="281">
        <f t="shared" si="19"/>
        <v>6787.9903545733068</v>
      </c>
      <c r="D348" s="281">
        <f t="shared" si="20"/>
        <v>8507.9978752262341</v>
      </c>
      <c r="E348" s="281">
        <f t="shared" si="21"/>
        <v>2163648.9155882318</v>
      </c>
      <c r="F348" s="280"/>
      <c r="G348" s="275"/>
      <c r="H348" s="269"/>
      <c r="I348" s="275"/>
    </row>
    <row r="349" spans="1:9">
      <c r="A349" s="337">
        <v>294</v>
      </c>
      <c r="B349" s="281">
        <f t="shared" si="18"/>
        <v>15295.988229799541</v>
      </c>
      <c r="C349" s="281">
        <f t="shared" si="19"/>
        <v>6761.4028612132252</v>
      </c>
      <c r="D349" s="281">
        <f t="shared" si="20"/>
        <v>8534.5853685863149</v>
      </c>
      <c r="E349" s="281">
        <f t="shared" si="21"/>
        <v>2155114.3302196455</v>
      </c>
      <c r="F349" s="280"/>
      <c r="G349" s="336"/>
      <c r="H349" s="289"/>
      <c r="I349" s="275"/>
    </row>
    <row r="350" spans="1:9">
      <c r="A350" s="337">
        <v>295</v>
      </c>
      <c r="B350" s="281">
        <f t="shared" si="18"/>
        <v>15295.988229799541</v>
      </c>
      <c r="C350" s="281">
        <f t="shared" si="19"/>
        <v>6734.7322819363935</v>
      </c>
      <c r="D350" s="281">
        <f t="shared" si="20"/>
        <v>8561.2559478631483</v>
      </c>
      <c r="E350" s="281">
        <f t="shared" si="21"/>
        <v>2146553.0742717823</v>
      </c>
      <c r="F350" s="280"/>
      <c r="G350" s="275"/>
      <c r="H350" s="269"/>
      <c r="I350" s="275"/>
    </row>
    <row r="351" spans="1:9">
      <c r="A351" s="337">
        <v>296</v>
      </c>
      <c r="B351" s="281">
        <f t="shared" si="18"/>
        <v>15295.988229799541</v>
      </c>
      <c r="C351" s="281">
        <f t="shared" si="19"/>
        <v>6707.9783570993204</v>
      </c>
      <c r="D351" s="281">
        <f t="shared" si="20"/>
        <v>8588.0098727002205</v>
      </c>
      <c r="E351" s="281">
        <f t="shared" si="21"/>
        <v>2137965.0643990822</v>
      </c>
      <c r="F351" s="280"/>
      <c r="G351" s="275"/>
      <c r="H351" s="269"/>
      <c r="I351" s="275"/>
    </row>
    <row r="352" spans="1:9">
      <c r="A352" s="337">
        <v>297</v>
      </c>
      <c r="B352" s="281">
        <f t="shared" si="18"/>
        <v>15295.988229799541</v>
      </c>
      <c r="C352" s="281">
        <f t="shared" si="19"/>
        <v>6681.1408262471332</v>
      </c>
      <c r="D352" s="281">
        <f t="shared" si="20"/>
        <v>8614.8474035524087</v>
      </c>
      <c r="E352" s="281">
        <f t="shared" si="21"/>
        <v>2129350.2169955298</v>
      </c>
      <c r="F352" s="280"/>
      <c r="G352" s="275"/>
      <c r="H352" s="269"/>
      <c r="I352" s="275"/>
    </row>
    <row r="353" spans="1:9">
      <c r="A353" s="337">
        <v>298</v>
      </c>
      <c r="B353" s="281">
        <f t="shared" si="18"/>
        <v>15295.988229799541</v>
      </c>
      <c r="C353" s="281">
        <f t="shared" si="19"/>
        <v>6654.2194281110314</v>
      </c>
      <c r="D353" s="281">
        <f t="shared" si="20"/>
        <v>8641.7688016885095</v>
      </c>
      <c r="E353" s="281">
        <f t="shared" si="21"/>
        <v>2120708.4481938411</v>
      </c>
      <c r="F353" s="280"/>
      <c r="G353" s="275"/>
      <c r="H353" s="269"/>
      <c r="I353" s="275"/>
    </row>
    <row r="354" spans="1:9">
      <c r="A354" s="337">
        <v>299</v>
      </c>
      <c r="B354" s="281">
        <f t="shared" si="18"/>
        <v>15295.988229799541</v>
      </c>
      <c r="C354" s="281">
        <f t="shared" si="19"/>
        <v>6627.213900605755</v>
      </c>
      <c r="D354" s="281">
        <f t="shared" si="20"/>
        <v>8668.7743291937859</v>
      </c>
      <c r="E354" s="281">
        <f t="shared" si="21"/>
        <v>2112039.6738646473</v>
      </c>
      <c r="F354" s="280"/>
      <c r="G354" s="275"/>
      <c r="H354" s="269"/>
      <c r="I354" s="275"/>
    </row>
    <row r="355" spans="1:9">
      <c r="A355" s="337">
        <v>300</v>
      </c>
      <c r="B355" s="281">
        <f t="shared" si="18"/>
        <v>15295.988229799541</v>
      </c>
      <c r="C355" s="281">
        <f t="shared" si="19"/>
        <v>6600.1239808270229</v>
      </c>
      <c r="D355" s="281">
        <f t="shared" si="20"/>
        <v>8695.8642489725171</v>
      </c>
      <c r="E355" s="281">
        <f t="shared" si="21"/>
        <v>2103343.8096156749</v>
      </c>
      <c r="F355" s="280">
        <v>25</v>
      </c>
      <c r="G355" s="336"/>
      <c r="H355" s="289"/>
      <c r="I355" s="336"/>
    </row>
    <row r="356" spans="1:9">
      <c r="A356" s="337">
        <v>301</v>
      </c>
      <c r="B356" s="281">
        <f t="shared" si="18"/>
        <v>15295.988229799541</v>
      </c>
      <c r="C356" s="281">
        <f t="shared" si="19"/>
        <v>6572.9494050489848</v>
      </c>
      <c r="D356" s="281">
        <f t="shared" si="20"/>
        <v>8723.0388247505562</v>
      </c>
      <c r="E356" s="281">
        <f t="shared" si="21"/>
        <v>2094620.7707909243</v>
      </c>
      <c r="F356" s="280"/>
      <c r="G356" s="275"/>
      <c r="H356" s="269"/>
      <c r="I356" s="336"/>
    </row>
    <row r="357" spans="1:9">
      <c r="A357" s="337">
        <v>302</v>
      </c>
      <c r="B357" s="281">
        <f t="shared" si="18"/>
        <v>15295.988229799541</v>
      </c>
      <c r="C357" s="281">
        <f t="shared" si="19"/>
        <v>6545.6899087216398</v>
      </c>
      <c r="D357" s="281">
        <f t="shared" si="20"/>
        <v>8750.2983210779021</v>
      </c>
      <c r="E357" s="281">
        <f t="shared" si="21"/>
        <v>2085870.4724698465</v>
      </c>
      <c r="F357" s="280"/>
      <c r="G357" s="275"/>
      <c r="H357" s="269"/>
      <c r="I357" s="275"/>
    </row>
    <row r="358" spans="1:9">
      <c r="A358" s="337">
        <v>303</v>
      </c>
      <c r="B358" s="281">
        <f t="shared" si="18"/>
        <v>15295.988229799541</v>
      </c>
      <c r="C358" s="281">
        <f t="shared" si="19"/>
        <v>6518.345226468271</v>
      </c>
      <c r="D358" s="281">
        <f t="shared" si="20"/>
        <v>8777.6430033312699</v>
      </c>
      <c r="E358" s="281">
        <f t="shared" si="21"/>
        <v>2077092.8294665152</v>
      </c>
      <c r="F358" s="280"/>
      <c r="G358" s="275"/>
      <c r="H358" s="269"/>
      <c r="I358" s="275"/>
    </row>
    <row r="359" spans="1:9">
      <c r="A359" s="337">
        <v>304</v>
      </c>
      <c r="B359" s="281">
        <f t="shared" si="18"/>
        <v>15295.988229799541</v>
      </c>
      <c r="C359" s="281">
        <f t="shared" si="19"/>
        <v>6490.9150920828615</v>
      </c>
      <c r="D359" s="281">
        <f t="shared" si="20"/>
        <v>8805.0731377166794</v>
      </c>
      <c r="E359" s="281">
        <f t="shared" si="21"/>
        <v>2068287.7563287986</v>
      </c>
      <c r="F359" s="280"/>
      <c r="G359" s="275"/>
      <c r="H359" s="269"/>
      <c r="I359" s="275"/>
    </row>
    <row r="360" spans="1:9">
      <c r="A360" s="337">
        <v>305</v>
      </c>
      <c r="B360" s="281">
        <f t="shared" si="18"/>
        <v>15295.988229799541</v>
      </c>
      <c r="C360" s="281">
        <f t="shared" si="19"/>
        <v>6463.3992385274969</v>
      </c>
      <c r="D360" s="281">
        <f t="shared" si="20"/>
        <v>8832.588991272045</v>
      </c>
      <c r="E360" s="281">
        <f t="shared" si="21"/>
        <v>2059455.1673375266</v>
      </c>
      <c r="F360" s="280"/>
      <c r="G360" s="275"/>
      <c r="H360" s="269"/>
      <c r="I360" s="275"/>
    </row>
    <row r="361" spans="1:9">
      <c r="A361" s="337">
        <v>306</v>
      </c>
      <c r="B361" s="281">
        <f t="shared" si="18"/>
        <v>15295.988229799541</v>
      </c>
      <c r="C361" s="281">
        <f t="shared" si="19"/>
        <v>6435.7973979297713</v>
      </c>
      <c r="D361" s="281">
        <f t="shared" si="20"/>
        <v>8860.1908318697697</v>
      </c>
      <c r="E361" s="281">
        <f t="shared" si="21"/>
        <v>2050594.9765056567</v>
      </c>
      <c r="F361" s="280"/>
      <c r="G361" s="336"/>
      <c r="H361" s="289"/>
      <c r="I361" s="275"/>
    </row>
    <row r="362" spans="1:9">
      <c r="A362" s="337">
        <v>307</v>
      </c>
      <c r="B362" s="281">
        <f t="shared" si="18"/>
        <v>15295.988229799541</v>
      </c>
      <c r="C362" s="281">
        <f t="shared" si="19"/>
        <v>6408.109301580178</v>
      </c>
      <c r="D362" s="281">
        <f t="shared" si="20"/>
        <v>8887.8789282193629</v>
      </c>
      <c r="E362" s="281">
        <f t="shared" si="21"/>
        <v>2041707.0975774373</v>
      </c>
      <c r="F362" s="280"/>
      <c r="G362" s="275"/>
      <c r="H362" s="269"/>
      <c r="I362" s="275"/>
    </row>
    <row r="363" spans="1:9">
      <c r="A363" s="337">
        <v>308</v>
      </c>
      <c r="B363" s="281">
        <f t="shared" si="18"/>
        <v>15295.988229799541</v>
      </c>
      <c r="C363" s="281">
        <f t="shared" si="19"/>
        <v>6380.3346799294923</v>
      </c>
      <c r="D363" s="281">
        <f t="shared" si="20"/>
        <v>8915.6535498700487</v>
      </c>
      <c r="E363" s="281">
        <f t="shared" si="21"/>
        <v>2032791.4440275673</v>
      </c>
      <c r="F363" s="280"/>
      <c r="G363" s="275"/>
      <c r="H363" s="269"/>
      <c r="I363" s="275"/>
    </row>
    <row r="364" spans="1:9">
      <c r="A364" s="337">
        <v>309</v>
      </c>
      <c r="B364" s="281">
        <f t="shared" si="18"/>
        <v>15295.988229799541</v>
      </c>
      <c r="C364" s="281">
        <f t="shared" si="19"/>
        <v>6352.4732625861479</v>
      </c>
      <c r="D364" s="281">
        <f t="shared" si="20"/>
        <v>8943.5149672133921</v>
      </c>
      <c r="E364" s="281">
        <f t="shared" si="21"/>
        <v>2023847.9290603539</v>
      </c>
      <c r="F364" s="280"/>
      <c r="G364" s="275"/>
      <c r="H364" s="269"/>
      <c r="I364" s="275"/>
    </row>
    <row r="365" spans="1:9">
      <c r="A365" s="337">
        <v>310</v>
      </c>
      <c r="B365" s="281">
        <f t="shared" si="18"/>
        <v>15295.988229799541</v>
      </c>
      <c r="C365" s="281">
        <f t="shared" si="19"/>
        <v>6324.5247783136074</v>
      </c>
      <c r="D365" s="281">
        <f t="shared" si="20"/>
        <v>8971.4634514859335</v>
      </c>
      <c r="E365" s="281">
        <f t="shared" si="21"/>
        <v>2014876.465608868</v>
      </c>
      <c r="F365" s="280"/>
      <c r="G365" s="275"/>
      <c r="H365" s="269"/>
      <c r="I365" s="275"/>
    </row>
    <row r="366" spans="1:9">
      <c r="A366" s="337">
        <v>311</v>
      </c>
      <c r="B366" s="281">
        <f t="shared" si="18"/>
        <v>15295.988229799541</v>
      </c>
      <c r="C366" s="281">
        <f t="shared" si="19"/>
        <v>6296.4889550277139</v>
      </c>
      <c r="D366" s="281">
        <f t="shared" si="20"/>
        <v>8999.4992747718279</v>
      </c>
      <c r="E366" s="281">
        <f t="shared" si="21"/>
        <v>2005876.9663340962</v>
      </c>
      <c r="F366" s="280"/>
      <c r="G366" s="275"/>
      <c r="H366" s="269"/>
      <c r="I366" s="275"/>
    </row>
    <row r="367" spans="1:9">
      <c r="A367" s="337">
        <v>312</v>
      </c>
      <c r="B367" s="281">
        <f t="shared" si="18"/>
        <v>15295.988229799541</v>
      </c>
      <c r="C367" s="281">
        <f t="shared" si="19"/>
        <v>6268.3655197940507</v>
      </c>
      <c r="D367" s="281">
        <f t="shared" si="20"/>
        <v>9027.6227100054894</v>
      </c>
      <c r="E367" s="281">
        <f t="shared" si="21"/>
        <v>1996849.3436240908</v>
      </c>
      <c r="F367" s="280">
        <v>26</v>
      </c>
      <c r="G367" s="336"/>
      <c r="H367" s="289"/>
      <c r="I367" s="336"/>
    </row>
    <row r="368" spans="1:9">
      <c r="A368" s="337">
        <v>313</v>
      </c>
      <c r="B368" s="281">
        <f t="shared" si="18"/>
        <v>15295.988229799541</v>
      </c>
      <c r="C368" s="281">
        <f t="shared" si="19"/>
        <v>6240.1541988252839</v>
      </c>
      <c r="D368" s="281">
        <f t="shared" si="20"/>
        <v>9055.8340309742562</v>
      </c>
      <c r="E368" s="281">
        <f t="shared" si="21"/>
        <v>1987793.5095931166</v>
      </c>
      <c r="F368" s="280"/>
      <c r="G368" s="275"/>
      <c r="H368" s="269"/>
      <c r="I368" s="336"/>
    </row>
    <row r="369" spans="1:9">
      <c r="A369" s="337">
        <v>314</v>
      </c>
      <c r="B369" s="281">
        <f t="shared" si="18"/>
        <v>15295.988229799541</v>
      </c>
      <c r="C369" s="281">
        <f t="shared" si="19"/>
        <v>6211.8547174784908</v>
      </c>
      <c r="D369" s="281">
        <f t="shared" si="20"/>
        <v>9084.1335123210501</v>
      </c>
      <c r="E369" s="281">
        <f t="shared" si="21"/>
        <v>1978709.3760807954</v>
      </c>
      <c r="F369" s="280"/>
      <c r="G369" s="275"/>
      <c r="H369" s="269"/>
      <c r="I369" s="275"/>
    </row>
    <row r="370" spans="1:9">
      <c r="A370" s="337">
        <v>315</v>
      </c>
      <c r="B370" s="281">
        <f t="shared" si="18"/>
        <v>15295.988229799541</v>
      </c>
      <c r="C370" s="281">
        <f t="shared" si="19"/>
        <v>6183.4668002524859</v>
      </c>
      <c r="D370" s="281">
        <f t="shared" si="20"/>
        <v>9112.5214295470541</v>
      </c>
      <c r="E370" s="281">
        <f t="shared" si="21"/>
        <v>1969596.8546512483</v>
      </c>
      <c r="F370" s="280"/>
      <c r="G370" s="275"/>
      <c r="H370" s="269"/>
      <c r="I370" s="275"/>
    </row>
    <row r="371" spans="1:9">
      <c r="A371" s="337">
        <v>316</v>
      </c>
      <c r="B371" s="281">
        <f t="shared" si="18"/>
        <v>15295.988229799541</v>
      </c>
      <c r="C371" s="281">
        <f t="shared" si="19"/>
        <v>6154.9901707851523</v>
      </c>
      <c r="D371" s="281">
        <f t="shared" si="20"/>
        <v>9140.9980590143896</v>
      </c>
      <c r="E371" s="281">
        <f t="shared" si="21"/>
        <v>1960455.856592234</v>
      </c>
      <c r="F371" s="280"/>
      <c r="G371" s="275"/>
      <c r="H371" s="269"/>
      <c r="I371" s="275"/>
    </row>
    <row r="372" spans="1:9">
      <c r="A372" s="337">
        <v>317</v>
      </c>
      <c r="B372" s="281">
        <f t="shared" si="18"/>
        <v>15295.988229799541</v>
      </c>
      <c r="C372" s="281">
        <f t="shared" si="19"/>
        <v>6126.4245518507314</v>
      </c>
      <c r="D372" s="281">
        <f t="shared" si="20"/>
        <v>9169.5636779488086</v>
      </c>
      <c r="E372" s="281">
        <f t="shared" si="21"/>
        <v>1951286.2929142851</v>
      </c>
      <c r="F372" s="280"/>
      <c r="G372" s="275"/>
      <c r="H372" s="269"/>
      <c r="I372" s="275"/>
    </row>
    <row r="373" spans="1:9">
      <c r="A373" s="337">
        <v>318</v>
      </c>
      <c r="B373" s="281">
        <f t="shared" si="18"/>
        <v>15295.988229799541</v>
      </c>
      <c r="C373" s="281">
        <f t="shared" si="19"/>
        <v>6097.7696653571411</v>
      </c>
      <c r="D373" s="281">
        <f t="shared" si="20"/>
        <v>9198.2185644423989</v>
      </c>
      <c r="E373" s="281">
        <f t="shared" si="21"/>
        <v>1942088.0743498427</v>
      </c>
      <c r="F373" s="280"/>
      <c r="G373" s="336"/>
      <c r="H373" s="289"/>
      <c r="I373" s="275"/>
    </row>
    <row r="374" spans="1:9">
      <c r="A374" s="337">
        <v>319</v>
      </c>
      <c r="B374" s="281">
        <f t="shared" si="18"/>
        <v>15295.988229799541</v>
      </c>
      <c r="C374" s="281">
        <f t="shared" si="19"/>
        <v>6069.0252323432587</v>
      </c>
      <c r="D374" s="281">
        <f t="shared" si="20"/>
        <v>9226.9629974562813</v>
      </c>
      <c r="E374" s="281">
        <f t="shared" si="21"/>
        <v>1932861.1113523864</v>
      </c>
      <c r="F374" s="280"/>
      <c r="G374" s="275"/>
      <c r="H374" s="269"/>
      <c r="I374" s="275"/>
    </row>
    <row r="375" spans="1:9">
      <c r="A375" s="337">
        <v>320</v>
      </c>
      <c r="B375" s="281">
        <f t="shared" si="18"/>
        <v>15295.988229799541</v>
      </c>
      <c r="C375" s="281">
        <f t="shared" si="19"/>
        <v>6040.1909729762083</v>
      </c>
      <c r="D375" s="281">
        <f t="shared" si="20"/>
        <v>9255.7972568233326</v>
      </c>
      <c r="E375" s="281">
        <f t="shared" si="21"/>
        <v>1923605.314095563</v>
      </c>
      <c r="F375" s="280"/>
      <c r="G375" s="275"/>
      <c r="H375" s="269"/>
      <c r="I375" s="275"/>
    </row>
    <row r="376" spans="1:9">
      <c r="A376" s="337">
        <v>321</v>
      </c>
      <c r="B376" s="281">
        <f t="shared" ref="B376:B439" si="22">IF(A376&gt;12*$D$14,0,$D$20)</f>
        <v>15295.988229799541</v>
      </c>
      <c r="C376" s="281">
        <f t="shared" ref="C376:C439" si="23">IF(A376&gt;12*$D$14,0,E375*$D$10/12)</f>
        <v>6011.2666065486346</v>
      </c>
      <c r="D376" s="281">
        <f t="shared" ref="D376:D439" si="24">IF(A376&gt;12*$D$14,0,B376-C376)</f>
        <v>9284.7216232509054</v>
      </c>
      <c r="E376" s="281">
        <f t="shared" ref="E376:E439" si="25">IF(A376&gt;12*$D$14,0,E375-D376)</f>
        <v>1914320.592472312</v>
      </c>
      <c r="F376" s="280"/>
      <c r="G376" s="275"/>
      <c r="H376" s="269"/>
      <c r="I376" s="275"/>
    </row>
    <row r="377" spans="1:9">
      <c r="A377" s="337">
        <v>322</v>
      </c>
      <c r="B377" s="281">
        <f t="shared" si="22"/>
        <v>15295.988229799541</v>
      </c>
      <c r="C377" s="281">
        <f t="shared" si="23"/>
        <v>5982.2518514759759</v>
      </c>
      <c r="D377" s="281">
        <f t="shared" si="24"/>
        <v>9313.7363783235651</v>
      </c>
      <c r="E377" s="281">
        <f t="shared" si="25"/>
        <v>1905006.8560939885</v>
      </c>
      <c r="F377" s="280"/>
      <c r="G377" s="275"/>
      <c r="H377" s="269"/>
      <c r="I377" s="275"/>
    </row>
    <row r="378" spans="1:9">
      <c r="A378" s="337">
        <v>323</v>
      </c>
      <c r="B378" s="281">
        <f t="shared" si="22"/>
        <v>15295.988229799541</v>
      </c>
      <c r="C378" s="281">
        <f t="shared" si="23"/>
        <v>5953.1464252937149</v>
      </c>
      <c r="D378" s="281">
        <f t="shared" si="24"/>
        <v>9342.8418045058261</v>
      </c>
      <c r="E378" s="281">
        <f t="shared" si="25"/>
        <v>1895664.0142894827</v>
      </c>
      <c r="F378" s="280"/>
      <c r="G378" s="275"/>
      <c r="H378" s="269"/>
      <c r="I378" s="275"/>
    </row>
    <row r="379" spans="1:9">
      <c r="A379" s="337">
        <v>324</v>
      </c>
      <c r="B379" s="281">
        <f t="shared" si="22"/>
        <v>15295.988229799541</v>
      </c>
      <c r="C379" s="281">
        <f t="shared" si="23"/>
        <v>5923.9500446546344</v>
      </c>
      <c r="D379" s="281">
        <f t="shared" si="24"/>
        <v>9372.0381851449056</v>
      </c>
      <c r="E379" s="281">
        <f t="shared" si="25"/>
        <v>1886291.9761043377</v>
      </c>
      <c r="F379" s="280">
        <v>27</v>
      </c>
      <c r="G379" s="336"/>
      <c r="H379" s="289"/>
      <c r="I379" s="336"/>
    </row>
    <row r="380" spans="1:9">
      <c r="A380" s="337">
        <v>325</v>
      </c>
      <c r="B380" s="281">
        <f t="shared" si="22"/>
        <v>15295.988229799541</v>
      </c>
      <c r="C380" s="281">
        <f t="shared" si="23"/>
        <v>5894.6624253260561</v>
      </c>
      <c r="D380" s="281">
        <f t="shared" si="24"/>
        <v>9401.3258044734848</v>
      </c>
      <c r="E380" s="281">
        <f t="shared" si="25"/>
        <v>1876890.6502998641</v>
      </c>
      <c r="F380" s="280"/>
      <c r="G380" s="275"/>
      <c r="H380" s="269"/>
      <c r="I380" s="336"/>
    </row>
    <row r="381" spans="1:9">
      <c r="A381" s="337">
        <v>326</v>
      </c>
      <c r="B381" s="281">
        <f t="shared" si="22"/>
        <v>15295.988229799541</v>
      </c>
      <c r="C381" s="281">
        <f t="shared" si="23"/>
        <v>5865.2832821870761</v>
      </c>
      <c r="D381" s="281">
        <f t="shared" si="24"/>
        <v>9430.7049476124648</v>
      </c>
      <c r="E381" s="281">
        <f t="shared" si="25"/>
        <v>1867459.9453522516</v>
      </c>
      <c r="F381" s="280"/>
      <c r="G381" s="275"/>
      <c r="H381" s="269"/>
      <c r="I381" s="275"/>
    </row>
    <row r="382" spans="1:9">
      <c r="A382" s="337">
        <v>327</v>
      </c>
      <c r="B382" s="281">
        <f t="shared" si="22"/>
        <v>15295.988229799541</v>
      </c>
      <c r="C382" s="281">
        <f t="shared" si="23"/>
        <v>5835.8123292257878</v>
      </c>
      <c r="D382" s="281">
        <f t="shared" si="24"/>
        <v>9460.1759005737531</v>
      </c>
      <c r="E382" s="281">
        <f t="shared" si="25"/>
        <v>1857999.7694516778</v>
      </c>
      <c r="F382" s="280"/>
      <c r="G382" s="275"/>
      <c r="H382" s="269"/>
      <c r="I382" s="275"/>
    </row>
    <row r="383" spans="1:9">
      <c r="A383" s="337">
        <v>328</v>
      </c>
      <c r="B383" s="281">
        <f t="shared" si="22"/>
        <v>15295.988229799541</v>
      </c>
      <c r="C383" s="281">
        <f t="shared" si="23"/>
        <v>5806.2492795364933</v>
      </c>
      <c r="D383" s="281">
        <f t="shared" si="24"/>
        <v>9489.7389502630467</v>
      </c>
      <c r="E383" s="281">
        <f t="shared" si="25"/>
        <v>1848510.0305014148</v>
      </c>
      <c r="F383" s="280"/>
      <c r="G383" s="275"/>
      <c r="H383" s="269"/>
      <c r="I383" s="275"/>
    </row>
    <row r="384" spans="1:9">
      <c r="A384" s="337">
        <v>329</v>
      </c>
      <c r="B384" s="281">
        <f t="shared" si="22"/>
        <v>15295.988229799541</v>
      </c>
      <c r="C384" s="281">
        <f t="shared" si="23"/>
        <v>5776.5938453169219</v>
      </c>
      <c r="D384" s="281">
        <f t="shared" si="24"/>
        <v>9519.394384482619</v>
      </c>
      <c r="E384" s="281">
        <f t="shared" si="25"/>
        <v>1838990.6361169321</v>
      </c>
      <c r="F384" s="280"/>
      <c r="G384" s="275"/>
      <c r="H384" s="269"/>
      <c r="I384" s="275"/>
    </row>
    <row r="385" spans="1:9">
      <c r="A385" s="337">
        <v>330</v>
      </c>
      <c r="B385" s="281">
        <f t="shared" si="22"/>
        <v>15295.988229799541</v>
      </c>
      <c r="C385" s="281">
        <f t="shared" si="23"/>
        <v>5746.8457378654139</v>
      </c>
      <c r="D385" s="281">
        <f t="shared" si="24"/>
        <v>9549.1424919341262</v>
      </c>
      <c r="E385" s="281">
        <f t="shared" si="25"/>
        <v>1829441.493624998</v>
      </c>
      <c r="F385" s="280"/>
      <c r="G385" s="336"/>
      <c r="H385" s="289"/>
      <c r="I385" s="275"/>
    </row>
    <row r="386" spans="1:9">
      <c r="A386" s="337">
        <v>331</v>
      </c>
      <c r="B386" s="281">
        <f t="shared" si="22"/>
        <v>15295.988229799541</v>
      </c>
      <c r="C386" s="281">
        <f t="shared" si="23"/>
        <v>5717.0046675781196</v>
      </c>
      <c r="D386" s="281">
        <f t="shared" si="24"/>
        <v>9578.9835622214214</v>
      </c>
      <c r="E386" s="281">
        <f t="shared" si="25"/>
        <v>1819862.5100627765</v>
      </c>
      <c r="F386" s="280"/>
      <c r="G386" s="275"/>
      <c r="H386" s="269"/>
      <c r="I386" s="275"/>
    </row>
    <row r="387" spans="1:9">
      <c r="A387" s="337">
        <v>332</v>
      </c>
      <c r="B387" s="281">
        <f t="shared" si="22"/>
        <v>15295.988229799541</v>
      </c>
      <c r="C387" s="281">
        <f t="shared" si="23"/>
        <v>5687.0703439461768</v>
      </c>
      <c r="D387" s="281">
        <f t="shared" si="24"/>
        <v>9608.9178858533633</v>
      </c>
      <c r="E387" s="281">
        <f t="shared" si="25"/>
        <v>1810253.5921769231</v>
      </c>
      <c r="F387" s="280"/>
      <c r="G387" s="275"/>
      <c r="H387" s="269"/>
      <c r="I387" s="275"/>
    </row>
    <row r="388" spans="1:9">
      <c r="A388" s="337">
        <v>333</v>
      </c>
      <c r="B388" s="281">
        <f t="shared" si="22"/>
        <v>15295.988229799541</v>
      </c>
      <c r="C388" s="281">
        <f t="shared" si="23"/>
        <v>5657.0424755528848</v>
      </c>
      <c r="D388" s="281">
        <f t="shared" si="24"/>
        <v>9638.9457542466553</v>
      </c>
      <c r="E388" s="281">
        <f t="shared" si="25"/>
        <v>1800614.6464226765</v>
      </c>
      <c r="F388" s="280"/>
      <c r="G388" s="275"/>
      <c r="H388" s="269"/>
      <c r="I388" s="275"/>
    </row>
    <row r="389" spans="1:9">
      <c r="A389" s="337">
        <v>334</v>
      </c>
      <c r="B389" s="281">
        <f t="shared" si="22"/>
        <v>15295.988229799541</v>
      </c>
      <c r="C389" s="281">
        <f t="shared" si="23"/>
        <v>5626.9207700708648</v>
      </c>
      <c r="D389" s="281">
        <f t="shared" si="24"/>
        <v>9669.0674597286761</v>
      </c>
      <c r="E389" s="281">
        <f t="shared" si="25"/>
        <v>1790945.5789629479</v>
      </c>
      <c r="F389" s="280"/>
      <c r="G389" s="275"/>
      <c r="H389" s="269"/>
      <c r="I389" s="275"/>
    </row>
    <row r="390" spans="1:9">
      <c r="A390" s="337">
        <v>335</v>
      </c>
      <c r="B390" s="281">
        <f t="shared" si="22"/>
        <v>15295.988229799541</v>
      </c>
      <c r="C390" s="281">
        <f t="shared" si="23"/>
        <v>5596.7049342592136</v>
      </c>
      <c r="D390" s="281">
        <f t="shared" si="24"/>
        <v>9699.2832955403283</v>
      </c>
      <c r="E390" s="281">
        <f t="shared" si="25"/>
        <v>1781246.2956674076</v>
      </c>
      <c r="F390" s="280"/>
      <c r="G390" s="275"/>
      <c r="H390" s="269"/>
      <c r="I390" s="275"/>
    </row>
    <row r="391" spans="1:9">
      <c r="A391" s="337">
        <v>336</v>
      </c>
      <c r="B391" s="281">
        <f t="shared" si="22"/>
        <v>15295.988229799541</v>
      </c>
      <c r="C391" s="281">
        <f t="shared" si="23"/>
        <v>5566.3946739606499</v>
      </c>
      <c r="D391" s="281">
        <f t="shared" si="24"/>
        <v>9729.5935558388919</v>
      </c>
      <c r="E391" s="281">
        <f t="shared" si="25"/>
        <v>1771516.7021115688</v>
      </c>
      <c r="F391" s="280">
        <v>28</v>
      </c>
      <c r="G391" s="336"/>
      <c r="H391" s="289"/>
      <c r="I391" s="336"/>
    </row>
    <row r="392" spans="1:9">
      <c r="A392" s="337">
        <v>337</v>
      </c>
      <c r="B392" s="281">
        <f t="shared" si="22"/>
        <v>15295.988229799541</v>
      </c>
      <c r="C392" s="281">
        <f t="shared" si="23"/>
        <v>5535.9896940986537</v>
      </c>
      <c r="D392" s="281">
        <f t="shared" si="24"/>
        <v>9759.9985357008882</v>
      </c>
      <c r="E392" s="281">
        <f t="shared" si="25"/>
        <v>1761756.7035758679</v>
      </c>
      <c r="F392" s="280"/>
      <c r="G392" s="275"/>
      <c r="H392" s="269"/>
      <c r="I392" s="336"/>
    </row>
    <row r="393" spans="1:9">
      <c r="A393" s="337">
        <v>338</v>
      </c>
      <c r="B393" s="281">
        <f t="shared" si="22"/>
        <v>15295.988229799541</v>
      </c>
      <c r="C393" s="281">
        <f t="shared" si="23"/>
        <v>5505.489698674588</v>
      </c>
      <c r="D393" s="281">
        <f t="shared" si="24"/>
        <v>9790.4985311249529</v>
      </c>
      <c r="E393" s="281">
        <f t="shared" si="25"/>
        <v>1751966.2050447429</v>
      </c>
      <c r="F393" s="280"/>
      <c r="G393" s="275"/>
      <c r="H393" s="269"/>
      <c r="I393" s="275"/>
    </row>
    <row r="394" spans="1:9">
      <c r="A394" s="337">
        <v>339</v>
      </c>
      <c r="B394" s="281">
        <f t="shared" si="22"/>
        <v>15295.988229799541</v>
      </c>
      <c r="C394" s="281">
        <f t="shared" si="23"/>
        <v>5474.8943907648218</v>
      </c>
      <c r="D394" s="281">
        <f t="shared" si="24"/>
        <v>9821.0938390347183</v>
      </c>
      <c r="E394" s="281">
        <f t="shared" si="25"/>
        <v>1742145.1112057082</v>
      </c>
      <c r="F394" s="280"/>
      <c r="G394" s="275"/>
      <c r="H394" s="269"/>
      <c r="I394" s="275"/>
    </row>
    <row r="395" spans="1:9">
      <c r="A395" s="337">
        <v>340</v>
      </c>
      <c r="B395" s="281">
        <f t="shared" si="22"/>
        <v>15295.988229799541</v>
      </c>
      <c r="C395" s="281">
        <f t="shared" si="23"/>
        <v>5444.2034725178391</v>
      </c>
      <c r="D395" s="281">
        <f t="shared" si="24"/>
        <v>9851.7847572817009</v>
      </c>
      <c r="E395" s="281">
        <f t="shared" si="25"/>
        <v>1732293.3264484266</v>
      </c>
      <c r="F395" s="280"/>
      <c r="G395" s="275"/>
      <c r="H395" s="269"/>
      <c r="I395" s="275"/>
    </row>
    <row r="396" spans="1:9">
      <c r="A396" s="337">
        <v>341</v>
      </c>
      <c r="B396" s="281">
        <f t="shared" si="22"/>
        <v>15295.988229799541</v>
      </c>
      <c r="C396" s="281">
        <f t="shared" si="23"/>
        <v>5413.4166451513338</v>
      </c>
      <c r="D396" s="281">
        <f t="shared" si="24"/>
        <v>9882.5715846482071</v>
      </c>
      <c r="E396" s="281">
        <f t="shared" si="25"/>
        <v>1722410.7548637784</v>
      </c>
      <c r="F396" s="280"/>
      <c r="G396" s="275"/>
      <c r="H396" s="269"/>
      <c r="I396" s="275"/>
    </row>
    <row r="397" spans="1:9">
      <c r="A397" s="337">
        <v>342</v>
      </c>
      <c r="B397" s="281">
        <f t="shared" si="22"/>
        <v>15295.988229799541</v>
      </c>
      <c r="C397" s="281">
        <f t="shared" si="23"/>
        <v>5382.5336089493085</v>
      </c>
      <c r="D397" s="281">
        <f t="shared" si="24"/>
        <v>9913.4546208502325</v>
      </c>
      <c r="E397" s="281">
        <f t="shared" si="25"/>
        <v>1712497.3002429281</v>
      </c>
      <c r="F397" s="280"/>
      <c r="G397" s="336"/>
      <c r="H397" s="289"/>
      <c r="I397" s="275"/>
    </row>
    <row r="398" spans="1:9">
      <c r="A398" s="337">
        <v>343</v>
      </c>
      <c r="B398" s="281">
        <f t="shared" si="22"/>
        <v>15295.988229799541</v>
      </c>
      <c r="C398" s="281">
        <f t="shared" si="23"/>
        <v>5351.554063259151</v>
      </c>
      <c r="D398" s="281">
        <f t="shared" si="24"/>
        <v>9944.4341665403899</v>
      </c>
      <c r="E398" s="281">
        <f t="shared" si="25"/>
        <v>1702552.8660763877</v>
      </c>
      <c r="F398" s="280"/>
      <c r="G398" s="275"/>
      <c r="H398" s="269"/>
      <c r="I398" s="275"/>
    </row>
    <row r="399" spans="1:9">
      <c r="A399" s="337">
        <v>344</v>
      </c>
      <c r="B399" s="281">
        <f t="shared" si="22"/>
        <v>15295.988229799541</v>
      </c>
      <c r="C399" s="281">
        <f t="shared" si="23"/>
        <v>5320.4777064887121</v>
      </c>
      <c r="D399" s="281">
        <f t="shared" si="24"/>
        <v>9975.5105233108297</v>
      </c>
      <c r="E399" s="281">
        <f t="shared" si="25"/>
        <v>1692577.3555530768</v>
      </c>
      <c r="F399" s="280"/>
      <c r="G399" s="275"/>
      <c r="H399" s="269"/>
      <c r="I399" s="275"/>
    </row>
    <row r="400" spans="1:9">
      <c r="A400" s="337">
        <v>345</v>
      </c>
      <c r="B400" s="281">
        <f t="shared" si="22"/>
        <v>15295.988229799541</v>
      </c>
      <c r="C400" s="281">
        <f t="shared" si="23"/>
        <v>5289.3042361033658</v>
      </c>
      <c r="D400" s="281">
        <f t="shared" si="24"/>
        <v>10006.683993696175</v>
      </c>
      <c r="E400" s="281">
        <f t="shared" si="25"/>
        <v>1682570.6715593806</v>
      </c>
      <c r="F400" s="280"/>
      <c r="G400" s="275"/>
      <c r="H400" s="269"/>
      <c r="I400" s="275"/>
    </row>
    <row r="401" spans="1:9">
      <c r="A401" s="337">
        <v>346</v>
      </c>
      <c r="B401" s="281">
        <f t="shared" si="22"/>
        <v>15295.988229799541</v>
      </c>
      <c r="C401" s="281">
        <f t="shared" si="23"/>
        <v>5258.0333486230656</v>
      </c>
      <c r="D401" s="281">
        <f t="shared" si="24"/>
        <v>10037.954881176476</v>
      </c>
      <c r="E401" s="281">
        <f t="shared" si="25"/>
        <v>1672532.716678204</v>
      </c>
      <c r="F401" s="280"/>
      <c r="G401" s="275"/>
      <c r="H401" s="269"/>
      <c r="I401" s="275"/>
    </row>
    <row r="402" spans="1:9">
      <c r="A402" s="337">
        <v>347</v>
      </c>
      <c r="B402" s="281">
        <f t="shared" si="22"/>
        <v>15295.988229799541</v>
      </c>
      <c r="C402" s="281">
        <f t="shared" si="23"/>
        <v>5226.6647396193885</v>
      </c>
      <c r="D402" s="281">
        <f t="shared" si="24"/>
        <v>10069.323490180152</v>
      </c>
      <c r="E402" s="281">
        <f t="shared" si="25"/>
        <v>1662463.3931880239</v>
      </c>
      <c r="F402" s="280"/>
      <c r="G402" s="275"/>
      <c r="H402" s="269"/>
      <c r="I402" s="275"/>
    </row>
    <row r="403" spans="1:9">
      <c r="A403" s="337">
        <v>348</v>
      </c>
      <c r="B403" s="281">
        <f t="shared" si="22"/>
        <v>15295.988229799541</v>
      </c>
      <c r="C403" s="281">
        <f t="shared" si="23"/>
        <v>5195.1981037125761</v>
      </c>
      <c r="D403" s="281">
        <f t="shared" si="24"/>
        <v>10100.790126086966</v>
      </c>
      <c r="E403" s="281">
        <f t="shared" si="25"/>
        <v>1652362.603061937</v>
      </c>
      <c r="F403" s="280">
        <v>29</v>
      </c>
      <c r="G403" s="336"/>
      <c r="H403" s="289"/>
      <c r="I403" s="336"/>
    </row>
    <row r="404" spans="1:9">
      <c r="A404" s="337">
        <v>349</v>
      </c>
      <c r="B404" s="281">
        <f t="shared" si="22"/>
        <v>15295.988229799541</v>
      </c>
      <c r="C404" s="281">
        <f t="shared" si="23"/>
        <v>5163.6331345685539</v>
      </c>
      <c r="D404" s="281">
        <f t="shared" si="24"/>
        <v>10132.355095230987</v>
      </c>
      <c r="E404" s="281">
        <f t="shared" si="25"/>
        <v>1642230.2479667061</v>
      </c>
      <c r="F404" s="280"/>
      <c r="G404" s="275"/>
      <c r="H404" s="269"/>
      <c r="I404" s="336"/>
    </row>
    <row r="405" spans="1:9">
      <c r="A405" s="337">
        <v>350</v>
      </c>
      <c r="B405" s="281">
        <f t="shared" si="22"/>
        <v>15295.988229799541</v>
      </c>
      <c r="C405" s="281">
        <f t="shared" si="23"/>
        <v>5131.969524895957</v>
      </c>
      <c r="D405" s="281">
        <f t="shared" si="24"/>
        <v>10164.018704903585</v>
      </c>
      <c r="E405" s="281">
        <f t="shared" si="25"/>
        <v>1632066.2292618025</v>
      </c>
      <c r="F405" s="280"/>
      <c r="G405" s="275"/>
      <c r="H405" s="269"/>
      <c r="I405" s="275"/>
    </row>
    <row r="406" spans="1:9">
      <c r="A406" s="337">
        <v>351</v>
      </c>
      <c r="B406" s="281">
        <f t="shared" si="22"/>
        <v>15295.988229799541</v>
      </c>
      <c r="C406" s="281">
        <f t="shared" si="23"/>
        <v>5100.2069664431338</v>
      </c>
      <c r="D406" s="281">
        <f t="shared" si="24"/>
        <v>10195.781263356406</v>
      </c>
      <c r="E406" s="281">
        <f t="shared" si="25"/>
        <v>1621870.4479984462</v>
      </c>
      <c r="F406" s="280"/>
      <c r="G406" s="275"/>
      <c r="H406" s="269"/>
      <c r="I406" s="275"/>
    </row>
    <row r="407" spans="1:9">
      <c r="A407" s="337">
        <v>352</v>
      </c>
      <c r="B407" s="281">
        <f t="shared" si="22"/>
        <v>15295.988229799541</v>
      </c>
      <c r="C407" s="281">
        <f t="shared" si="23"/>
        <v>5068.3451499951452</v>
      </c>
      <c r="D407" s="281">
        <f t="shared" si="24"/>
        <v>10227.643079804395</v>
      </c>
      <c r="E407" s="281">
        <f t="shared" si="25"/>
        <v>1611642.8049186417</v>
      </c>
      <c r="F407" s="280"/>
      <c r="G407" s="275"/>
      <c r="H407" s="269"/>
      <c r="I407" s="275"/>
    </row>
    <row r="408" spans="1:9">
      <c r="A408" s="337">
        <v>353</v>
      </c>
      <c r="B408" s="281">
        <f t="shared" si="22"/>
        <v>15295.988229799541</v>
      </c>
      <c r="C408" s="281">
        <f t="shared" si="23"/>
        <v>5036.383765370756</v>
      </c>
      <c r="D408" s="281">
        <f t="shared" si="24"/>
        <v>10259.604464428785</v>
      </c>
      <c r="E408" s="281">
        <f t="shared" si="25"/>
        <v>1601383.200454213</v>
      </c>
      <c r="F408" s="280"/>
      <c r="G408" s="275"/>
      <c r="H408" s="269"/>
      <c r="I408" s="275"/>
    </row>
    <row r="409" spans="1:9">
      <c r="A409" s="337">
        <v>354</v>
      </c>
      <c r="B409" s="281">
        <f t="shared" si="22"/>
        <v>15295.988229799541</v>
      </c>
      <c r="C409" s="281">
        <f t="shared" si="23"/>
        <v>5004.3225014194168</v>
      </c>
      <c r="D409" s="281">
        <f t="shared" si="24"/>
        <v>10291.665728380125</v>
      </c>
      <c r="E409" s="281">
        <f t="shared" si="25"/>
        <v>1591091.5347258328</v>
      </c>
      <c r="F409" s="280"/>
      <c r="G409" s="336"/>
      <c r="H409" s="289"/>
      <c r="I409" s="275"/>
    </row>
    <row r="410" spans="1:9">
      <c r="A410" s="337">
        <v>355</v>
      </c>
      <c r="B410" s="281">
        <f t="shared" si="22"/>
        <v>15295.988229799541</v>
      </c>
      <c r="C410" s="281">
        <f t="shared" si="23"/>
        <v>4972.1610460182283</v>
      </c>
      <c r="D410" s="281">
        <f t="shared" si="24"/>
        <v>10323.827183781312</v>
      </c>
      <c r="E410" s="281">
        <f t="shared" si="25"/>
        <v>1580767.7075420513</v>
      </c>
      <c r="F410" s="280"/>
      <c r="G410" s="275"/>
      <c r="H410" s="269"/>
      <c r="I410" s="275"/>
    </row>
    <row r="411" spans="1:9">
      <c r="A411" s="337">
        <v>356</v>
      </c>
      <c r="B411" s="281">
        <f t="shared" si="22"/>
        <v>15295.988229799541</v>
      </c>
      <c r="C411" s="281">
        <f t="shared" si="23"/>
        <v>4939.8990860689109</v>
      </c>
      <c r="D411" s="281">
        <f t="shared" si="24"/>
        <v>10356.089143730631</v>
      </c>
      <c r="E411" s="281">
        <f t="shared" si="25"/>
        <v>1570411.6183983206</v>
      </c>
      <c r="F411" s="280"/>
      <c r="G411" s="275"/>
      <c r="H411" s="269"/>
      <c r="I411" s="275"/>
    </row>
    <row r="412" spans="1:9">
      <c r="A412" s="337">
        <v>357</v>
      </c>
      <c r="B412" s="281">
        <f t="shared" si="22"/>
        <v>15295.988229799541</v>
      </c>
      <c r="C412" s="281">
        <f t="shared" si="23"/>
        <v>4907.5363074947527</v>
      </c>
      <c r="D412" s="281">
        <f t="shared" si="24"/>
        <v>10388.451922304788</v>
      </c>
      <c r="E412" s="281">
        <f t="shared" si="25"/>
        <v>1560023.1664760159</v>
      </c>
      <c r="F412" s="280"/>
      <c r="G412" s="275"/>
      <c r="H412" s="269"/>
      <c r="I412" s="275"/>
    </row>
    <row r="413" spans="1:9">
      <c r="A413" s="337">
        <v>358</v>
      </c>
      <c r="B413" s="281">
        <f t="shared" si="22"/>
        <v>15295.988229799541</v>
      </c>
      <c r="C413" s="281">
        <f t="shared" si="23"/>
        <v>4875.0723952375511</v>
      </c>
      <c r="D413" s="281">
        <f t="shared" si="24"/>
        <v>10420.915834561991</v>
      </c>
      <c r="E413" s="281">
        <f t="shared" si="25"/>
        <v>1549602.250641454</v>
      </c>
      <c r="F413" s="280"/>
      <c r="G413" s="275"/>
      <c r="H413" s="269"/>
      <c r="I413" s="275"/>
    </row>
    <row r="414" spans="1:9">
      <c r="A414" s="337">
        <v>359</v>
      </c>
      <c r="B414" s="281">
        <f t="shared" si="22"/>
        <v>15295.988229799541</v>
      </c>
      <c r="C414" s="281">
        <f t="shared" si="23"/>
        <v>4842.5070332545447</v>
      </c>
      <c r="D414" s="281">
        <f t="shared" si="24"/>
        <v>10453.481196544995</v>
      </c>
      <c r="E414" s="281">
        <f t="shared" si="25"/>
        <v>1539148.7694449089</v>
      </c>
      <c r="F414" s="280"/>
      <c r="G414" s="275"/>
      <c r="H414" s="269"/>
      <c r="I414" s="275"/>
    </row>
    <row r="415" spans="1:9">
      <c r="A415" s="337">
        <v>360</v>
      </c>
      <c r="B415" s="281">
        <f t="shared" si="22"/>
        <v>15295.988229799541</v>
      </c>
      <c r="C415" s="281">
        <f t="shared" si="23"/>
        <v>4809.839904515341</v>
      </c>
      <c r="D415" s="281">
        <f t="shared" si="24"/>
        <v>10486.148325284201</v>
      </c>
      <c r="E415" s="281">
        <f t="shared" si="25"/>
        <v>1528662.6211196247</v>
      </c>
      <c r="F415" s="280">
        <v>30</v>
      </c>
      <c r="G415" s="336"/>
      <c r="H415" s="289"/>
      <c r="I415" s="336"/>
    </row>
    <row r="416" spans="1:9">
      <c r="A416" s="337">
        <v>361</v>
      </c>
      <c r="B416" s="281">
        <f t="shared" si="22"/>
        <v>15295.988229799541</v>
      </c>
      <c r="C416" s="281">
        <f t="shared" si="23"/>
        <v>4777.0706909988285</v>
      </c>
      <c r="D416" s="281">
        <f t="shared" si="24"/>
        <v>10518.917538800713</v>
      </c>
      <c r="E416" s="281">
        <f t="shared" si="25"/>
        <v>1518143.703580824</v>
      </c>
      <c r="F416" s="280"/>
      <c r="G416" s="275"/>
      <c r="H416" s="269"/>
      <c r="I416" s="336"/>
    </row>
    <row r="417" spans="1:9">
      <c r="A417" s="337">
        <v>362</v>
      </c>
      <c r="B417" s="281">
        <f t="shared" si="22"/>
        <v>15295.988229799541</v>
      </c>
      <c r="C417" s="281">
        <f t="shared" si="23"/>
        <v>4744.1990736900761</v>
      </c>
      <c r="D417" s="281">
        <f t="shared" si="24"/>
        <v>10551.789156109466</v>
      </c>
      <c r="E417" s="281">
        <f t="shared" si="25"/>
        <v>1507591.9144247144</v>
      </c>
      <c r="F417" s="280"/>
      <c r="G417" s="275"/>
      <c r="H417" s="269"/>
      <c r="I417" s="275"/>
    </row>
    <row r="418" spans="1:9">
      <c r="A418" s="337">
        <v>363</v>
      </c>
      <c r="B418" s="281">
        <f t="shared" si="22"/>
        <v>15295.988229799541</v>
      </c>
      <c r="C418" s="281">
        <f t="shared" si="23"/>
        <v>4711.2247325772332</v>
      </c>
      <c r="D418" s="281">
        <f t="shared" si="24"/>
        <v>10584.763497222308</v>
      </c>
      <c r="E418" s="281">
        <f t="shared" si="25"/>
        <v>1497007.1509274922</v>
      </c>
      <c r="F418" s="280"/>
      <c r="G418" s="275"/>
      <c r="H418" s="269"/>
      <c r="I418" s="275"/>
    </row>
    <row r="419" spans="1:9">
      <c r="A419" s="337">
        <v>364</v>
      </c>
      <c r="B419" s="281">
        <f t="shared" si="22"/>
        <v>15295.988229799541</v>
      </c>
      <c r="C419" s="281">
        <f t="shared" si="23"/>
        <v>4678.147346648414</v>
      </c>
      <c r="D419" s="281">
        <f t="shared" si="24"/>
        <v>10617.840883151126</v>
      </c>
      <c r="E419" s="281">
        <f t="shared" si="25"/>
        <v>1486389.310044341</v>
      </c>
      <c r="F419" s="280"/>
      <c r="G419" s="275"/>
      <c r="H419" s="269"/>
      <c r="I419" s="275"/>
    </row>
    <row r="420" spans="1:9">
      <c r="A420" s="337">
        <v>365</v>
      </c>
      <c r="B420" s="281">
        <f t="shared" si="22"/>
        <v>15295.988229799541</v>
      </c>
      <c r="C420" s="281">
        <f t="shared" si="23"/>
        <v>4644.9665938885664</v>
      </c>
      <c r="D420" s="281">
        <f t="shared" si="24"/>
        <v>10651.021635910975</v>
      </c>
      <c r="E420" s="281">
        <f t="shared" si="25"/>
        <v>1475738.2884084301</v>
      </c>
      <c r="F420" s="280"/>
      <c r="G420" s="275"/>
      <c r="H420" s="269"/>
      <c r="I420" s="275"/>
    </row>
    <row r="421" spans="1:9">
      <c r="A421" s="337">
        <v>366</v>
      </c>
      <c r="B421" s="281">
        <f t="shared" si="22"/>
        <v>15295.988229799541</v>
      </c>
      <c r="C421" s="281">
        <f t="shared" si="23"/>
        <v>4611.6821512763445</v>
      </c>
      <c r="D421" s="281">
        <f t="shared" si="24"/>
        <v>10684.306078523197</v>
      </c>
      <c r="E421" s="281">
        <f t="shared" si="25"/>
        <v>1465053.9823299069</v>
      </c>
      <c r="F421" s="280"/>
      <c r="G421" s="336"/>
      <c r="H421" s="289"/>
      <c r="I421" s="275"/>
    </row>
    <row r="422" spans="1:9">
      <c r="A422" s="337">
        <v>367</v>
      </c>
      <c r="B422" s="281">
        <f t="shared" si="22"/>
        <v>15295.988229799541</v>
      </c>
      <c r="C422" s="281">
        <f t="shared" si="23"/>
        <v>4578.2936947809603</v>
      </c>
      <c r="D422" s="281">
        <f t="shared" si="24"/>
        <v>10717.694535018582</v>
      </c>
      <c r="E422" s="281">
        <f t="shared" si="25"/>
        <v>1454336.2877948883</v>
      </c>
      <c r="F422" s="280"/>
      <c r="G422" s="275"/>
      <c r="H422" s="269"/>
      <c r="I422" s="275"/>
    </row>
    <row r="423" spans="1:9">
      <c r="A423" s="337">
        <v>368</v>
      </c>
      <c r="B423" s="281">
        <f t="shared" si="22"/>
        <v>15295.988229799541</v>
      </c>
      <c r="C423" s="281">
        <f t="shared" si="23"/>
        <v>4544.8008993590265</v>
      </c>
      <c r="D423" s="281">
        <f t="shared" si="24"/>
        <v>10751.187330440514</v>
      </c>
      <c r="E423" s="281">
        <f t="shared" si="25"/>
        <v>1443585.1004644476</v>
      </c>
      <c r="F423" s="280"/>
      <c r="G423" s="275"/>
      <c r="H423" s="269"/>
      <c r="I423" s="275"/>
    </row>
    <row r="424" spans="1:9">
      <c r="A424" s="337">
        <v>369</v>
      </c>
      <c r="B424" s="281">
        <f t="shared" si="22"/>
        <v>15295.988229799541</v>
      </c>
      <c r="C424" s="281">
        <f t="shared" si="23"/>
        <v>4511.2034389514001</v>
      </c>
      <c r="D424" s="281">
        <f t="shared" si="24"/>
        <v>10784.784790848142</v>
      </c>
      <c r="E424" s="281">
        <f t="shared" si="25"/>
        <v>1432800.3156735995</v>
      </c>
      <c r="F424" s="280"/>
      <c r="G424" s="275"/>
      <c r="H424" s="269"/>
      <c r="I424" s="275"/>
    </row>
    <row r="425" spans="1:9">
      <c r="A425" s="337">
        <v>370</v>
      </c>
      <c r="B425" s="281">
        <f t="shared" si="22"/>
        <v>15295.988229799541</v>
      </c>
      <c r="C425" s="281">
        <f t="shared" si="23"/>
        <v>4477.5009864799986</v>
      </c>
      <c r="D425" s="281">
        <f t="shared" si="24"/>
        <v>10818.487243319541</v>
      </c>
      <c r="E425" s="281">
        <f t="shared" si="25"/>
        <v>1421981.8284302799</v>
      </c>
      <c r="F425" s="280"/>
      <c r="G425" s="275"/>
      <c r="H425" s="269"/>
      <c r="I425" s="275"/>
    </row>
    <row r="426" spans="1:9">
      <c r="A426" s="337">
        <v>371</v>
      </c>
      <c r="B426" s="281">
        <f t="shared" si="22"/>
        <v>15295.988229799541</v>
      </c>
      <c r="C426" s="281">
        <f t="shared" si="23"/>
        <v>4443.6932138446255</v>
      </c>
      <c r="D426" s="281">
        <f t="shared" si="24"/>
        <v>10852.295015954915</v>
      </c>
      <c r="E426" s="281">
        <f t="shared" si="25"/>
        <v>1411129.533414325</v>
      </c>
      <c r="F426" s="280"/>
      <c r="G426" s="275"/>
      <c r="H426" s="269"/>
      <c r="I426" s="275"/>
    </row>
    <row r="427" spans="1:9">
      <c r="A427" s="337">
        <v>372</v>
      </c>
      <c r="B427" s="281">
        <f t="shared" si="22"/>
        <v>15295.988229799541</v>
      </c>
      <c r="C427" s="281">
        <f t="shared" si="23"/>
        <v>4409.7797919197665</v>
      </c>
      <c r="D427" s="281">
        <f t="shared" si="24"/>
        <v>10886.208437879774</v>
      </c>
      <c r="E427" s="281">
        <f t="shared" si="25"/>
        <v>1400243.3249764452</v>
      </c>
      <c r="F427" s="280">
        <v>31</v>
      </c>
      <c r="G427" s="336"/>
      <c r="H427" s="289"/>
      <c r="I427" s="336"/>
    </row>
    <row r="428" spans="1:9">
      <c r="A428" s="337">
        <v>373</v>
      </c>
      <c r="B428" s="281">
        <f t="shared" si="22"/>
        <v>15295.988229799541</v>
      </c>
      <c r="C428" s="281">
        <f t="shared" si="23"/>
        <v>4375.7603905513915</v>
      </c>
      <c r="D428" s="281">
        <f t="shared" si="24"/>
        <v>10920.227839248149</v>
      </c>
      <c r="E428" s="281">
        <f t="shared" si="25"/>
        <v>1389323.0971371969</v>
      </c>
      <c r="F428" s="280"/>
      <c r="G428" s="275"/>
      <c r="H428" s="269"/>
      <c r="I428" s="336"/>
    </row>
    <row r="429" spans="1:9">
      <c r="A429" s="337">
        <v>374</v>
      </c>
      <c r="B429" s="281">
        <f t="shared" si="22"/>
        <v>15295.988229799541</v>
      </c>
      <c r="C429" s="281">
        <f t="shared" si="23"/>
        <v>4341.6346785537407</v>
      </c>
      <c r="D429" s="281">
        <f t="shared" si="24"/>
        <v>10954.3535512458</v>
      </c>
      <c r="E429" s="281">
        <f t="shared" si="25"/>
        <v>1378368.7435859512</v>
      </c>
      <c r="F429" s="280"/>
      <c r="G429" s="275"/>
      <c r="H429" s="269"/>
      <c r="I429" s="275"/>
    </row>
    <row r="430" spans="1:9">
      <c r="A430" s="337">
        <v>375</v>
      </c>
      <c r="B430" s="281">
        <f t="shared" si="22"/>
        <v>15295.988229799541</v>
      </c>
      <c r="C430" s="281">
        <f t="shared" si="23"/>
        <v>4307.4023237060983</v>
      </c>
      <c r="D430" s="281">
        <f t="shared" si="24"/>
        <v>10988.585906093442</v>
      </c>
      <c r="E430" s="281">
        <f t="shared" si="25"/>
        <v>1367380.1576798577</v>
      </c>
      <c r="F430" s="280"/>
      <c r="G430" s="275"/>
      <c r="H430" s="269"/>
      <c r="I430" s="275"/>
    </row>
    <row r="431" spans="1:9">
      <c r="A431" s="337">
        <v>376</v>
      </c>
      <c r="B431" s="281">
        <f t="shared" si="22"/>
        <v>15295.988229799541</v>
      </c>
      <c r="C431" s="281">
        <f t="shared" si="23"/>
        <v>4273.0629927495556</v>
      </c>
      <c r="D431" s="281">
        <f t="shared" si="24"/>
        <v>11022.925237049985</v>
      </c>
      <c r="E431" s="281">
        <f t="shared" si="25"/>
        <v>1356357.2324428076</v>
      </c>
      <c r="F431" s="280"/>
      <c r="G431" s="275"/>
      <c r="H431" s="269"/>
      <c r="I431" s="275"/>
    </row>
    <row r="432" spans="1:9">
      <c r="A432" s="337">
        <v>377</v>
      </c>
      <c r="B432" s="281">
        <f t="shared" si="22"/>
        <v>15295.988229799541</v>
      </c>
      <c r="C432" s="281">
        <f t="shared" si="23"/>
        <v>4238.6163513837746</v>
      </c>
      <c r="D432" s="281">
        <f t="shared" si="24"/>
        <v>11057.371878415766</v>
      </c>
      <c r="E432" s="281">
        <f t="shared" si="25"/>
        <v>1345299.8605643918</v>
      </c>
      <c r="F432" s="280"/>
      <c r="G432" s="275"/>
      <c r="H432" s="269"/>
      <c r="I432" s="275"/>
    </row>
    <row r="433" spans="1:9">
      <c r="A433" s="337">
        <v>378</v>
      </c>
      <c r="B433" s="281">
        <f t="shared" si="22"/>
        <v>15295.988229799541</v>
      </c>
      <c r="C433" s="281">
        <f t="shared" si="23"/>
        <v>4204.062064263725</v>
      </c>
      <c r="D433" s="281">
        <f t="shared" si="24"/>
        <v>11091.926165535817</v>
      </c>
      <c r="E433" s="281">
        <f t="shared" si="25"/>
        <v>1334207.934398856</v>
      </c>
      <c r="F433" s="280"/>
      <c r="G433" s="336"/>
      <c r="H433" s="289"/>
      <c r="I433" s="275"/>
    </row>
    <row r="434" spans="1:9">
      <c r="A434" s="337">
        <v>379</v>
      </c>
      <c r="B434" s="281">
        <f t="shared" si="22"/>
        <v>15295.988229799541</v>
      </c>
      <c r="C434" s="281">
        <f t="shared" si="23"/>
        <v>4169.399794996426</v>
      </c>
      <c r="D434" s="281">
        <f t="shared" si="24"/>
        <v>11126.588434803114</v>
      </c>
      <c r="E434" s="281">
        <f t="shared" si="25"/>
        <v>1323081.3459640529</v>
      </c>
      <c r="F434" s="280"/>
      <c r="G434" s="275"/>
      <c r="H434" s="269"/>
      <c r="I434" s="275"/>
    </row>
    <row r="435" spans="1:9">
      <c r="A435" s="337">
        <v>380</v>
      </c>
      <c r="B435" s="281">
        <f t="shared" si="22"/>
        <v>15295.988229799541</v>
      </c>
      <c r="C435" s="281">
        <f t="shared" si="23"/>
        <v>4134.6292061376662</v>
      </c>
      <c r="D435" s="281">
        <f t="shared" si="24"/>
        <v>11161.359023661875</v>
      </c>
      <c r="E435" s="281">
        <f t="shared" si="25"/>
        <v>1311919.9869403911</v>
      </c>
      <c r="F435" s="280"/>
      <c r="G435" s="275"/>
      <c r="H435" s="269"/>
      <c r="I435" s="275"/>
    </row>
    <row r="436" spans="1:9">
      <c r="A436" s="337">
        <v>381</v>
      </c>
      <c r="B436" s="281">
        <f t="shared" si="22"/>
        <v>15295.988229799541</v>
      </c>
      <c r="C436" s="281">
        <f t="shared" si="23"/>
        <v>4099.7499591887226</v>
      </c>
      <c r="D436" s="281">
        <f t="shared" si="24"/>
        <v>11196.238270610818</v>
      </c>
      <c r="E436" s="281">
        <f t="shared" si="25"/>
        <v>1300723.7486697803</v>
      </c>
      <c r="F436" s="280"/>
      <c r="G436" s="275"/>
      <c r="H436" s="269"/>
      <c r="I436" s="275"/>
    </row>
    <row r="437" spans="1:9">
      <c r="A437" s="337">
        <v>382</v>
      </c>
      <c r="B437" s="281">
        <f t="shared" si="22"/>
        <v>15295.988229799541</v>
      </c>
      <c r="C437" s="281">
        <f t="shared" si="23"/>
        <v>4064.761714593064</v>
      </c>
      <c r="D437" s="281">
        <f t="shared" si="24"/>
        <v>11231.226515206477</v>
      </c>
      <c r="E437" s="281">
        <f t="shared" si="25"/>
        <v>1289492.5221545738</v>
      </c>
      <c r="F437" s="280"/>
      <c r="G437" s="275"/>
      <c r="H437" s="269"/>
      <c r="I437" s="275"/>
    </row>
    <row r="438" spans="1:9">
      <c r="A438" s="337">
        <v>383</v>
      </c>
      <c r="B438" s="281">
        <f t="shared" si="22"/>
        <v>15295.988229799541</v>
      </c>
      <c r="C438" s="281">
        <f t="shared" si="23"/>
        <v>4029.6641317330436</v>
      </c>
      <c r="D438" s="281">
        <f t="shared" si="24"/>
        <v>11266.324098066498</v>
      </c>
      <c r="E438" s="281">
        <f t="shared" si="25"/>
        <v>1278226.1980565074</v>
      </c>
      <c r="F438" s="280"/>
      <c r="G438" s="275"/>
      <c r="H438" s="269"/>
      <c r="I438" s="275"/>
    </row>
    <row r="439" spans="1:9">
      <c r="A439" s="337">
        <v>384</v>
      </c>
      <c r="B439" s="281">
        <f t="shared" si="22"/>
        <v>15295.988229799541</v>
      </c>
      <c r="C439" s="281">
        <f t="shared" si="23"/>
        <v>3994.4568689265866</v>
      </c>
      <c r="D439" s="281">
        <f t="shared" si="24"/>
        <v>11301.531360872954</v>
      </c>
      <c r="E439" s="281">
        <f t="shared" si="25"/>
        <v>1266924.6666956344</v>
      </c>
      <c r="F439" s="280">
        <v>32</v>
      </c>
      <c r="G439" s="336"/>
      <c r="H439" s="289"/>
      <c r="I439" s="336"/>
    </row>
    <row r="440" spans="1:9">
      <c r="A440" s="337">
        <v>385</v>
      </c>
      <c r="B440" s="281">
        <f t="shared" ref="B440:B503" si="26">IF(A440&gt;12*$D$14,0,$D$20)</f>
        <v>15295.988229799541</v>
      </c>
      <c r="C440" s="281">
        <f t="shared" ref="C440:C503" si="27">IF(A440&gt;12*$D$14,0,E439*$D$10/12)</f>
        <v>3959.1395834238579</v>
      </c>
      <c r="D440" s="281">
        <f t="shared" ref="D440:D503" si="28">IF(A440&gt;12*$D$14,0,B440-C440)</f>
        <v>11336.848646375684</v>
      </c>
      <c r="E440" s="281">
        <f t="shared" ref="E440:E503" si="29">IF(A440&gt;12*$D$14,0,E439-D440)</f>
        <v>1255587.8180492588</v>
      </c>
      <c r="F440" s="280"/>
      <c r="G440" s="275"/>
      <c r="H440" s="269"/>
      <c r="I440" s="336"/>
    </row>
    <row r="441" spans="1:9">
      <c r="A441" s="337">
        <v>386</v>
      </c>
      <c r="B441" s="281">
        <f t="shared" si="26"/>
        <v>15295.988229799541</v>
      </c>
      <c r="C441" s="281">
        <f t="shared" si="27"/>
        <v>3923.7119314039342</v>
      </c>
      <c r="D441" s="281">
        <f t="shared" si="28"/>
        <v>11372.276298395607</v>
      </c>
      <c r="E441" s="281">
        <f t="shared" si="29"/>
        <v>1244215.5417508632</v>
      </c>
      <c r="F441" s="280"/>
      <c r="G441" s="275"/>
      <c r="H441" s="269"/>
      <c r="I441" s="275"/>
    </row>
    <row r="442" spans="1:9">
      <c r="A442" s="337">
        <v>387</v>
      </c>
      <c r="B442" s="281">
        <f t="shared" si="26"/>
        <v>15295.988229799541</v>
      </c>
      <c r="C442" s="281">
        <f t="shared" si="27"/>
        <v>3888.1735679714479</v>
      </c>
      <c r="D442" s="281">
        <f t="shared" si="28"/>
        <v>11407.814661828093</v>
      </c>
      <c r="E442" s="281">
        <f t="shared" si="29"/>
        <v>1232807.7270890351</v>
      </c>
      <c r="F442" s="280"/>
      <c r="G442" s="275"/>
      <c r="H442" s="269"/>
      <c r="I442" s="275"/>
    </row>
    <row r="443" spans="1:9">
      <c r="A443" s="337">
        <v>388</v>
      </c>
      <c r="B443" s="281">
        <f t="shared" si="26"/>
        <v>15295.988229799541</v>
      </c>
      <c r="C443" s="281">
        <f t="shared" si="27"/>
        <v>3852.5241471532354</v>
      </c>
      <c r="D443" s="281">
        <f t="shared" si="28"/>
        <v>11443.464082646306</v>
      </c>
      <c r="E443" s="281">
        <f t="shared" si="29"/>
        <v>1221364.2630063887</v>
      </c>
      <c r="F443" s="280"/>
      <c r="G443" s="275"/>
      <c r="H443" s="269"/>
      <c r="I443" s="275"/>
    </row>
    <row r="444" spans="1:9">
      <c r="A444" s="337">
        <v>389</v>
      </c>
      <c r="B444" s="281">
        <f t="shared" si="26"/>
        <v>15295.988229799541</v>
      </c>
      <c r="C444" s="281">
        <f t="shared" si="27"/>
        <v>3816.763321894965</v>
      </c>
      <c r="D444" s="281">
        <f t="shared" si="28"/>
        <v>11479.224907904576</v>
      </c>
      <c r="E444" s="281">
        <f t="shared" si="29"/>
        <v>1209885.038098484</v>
      </c>
      <c r="F444" s="280"/>
      <c r="G444" s="275"/>
      <c r="H444" s="269"/>
      <c r="I444" s="275"/>
    </row>
    <row r="445" spans="1:9">
      <c r="A445" s="337">
        <v>390</v>
      </c>
      <c r="B445" s="281">
        <f t="shared" si="26"/>
        <v>15295.988229799541</v>
      </c>
      <c r="C445" s="281">
        <f t="shared" si="27"/>
        <v>3780.8907440577636</v>
      </c>
      <c r="D445" s="281">
        <f t="shared" si="28"/>
        <v>11515.097485741777</v>
      </c>
      <c r="E445" s="281">
        <f t="shared" si="29"/>
        <v>1198369.9406127422</v>
      </c>
      <c r="F445" s="280"/>
      <c r="G445" s="336"/>
      <c r="H445" s="289"/>
      <c r="I445" s="275"/>
    </row>
    <row r="446" spans="1:9">
      <c r="A446" s="337">
        <v>391</v>
      </c>
      <c r="B446" s="281">
        <f t="shared" si="26"/>
        <v>15295.988229799541</v>
      </c>
      <c r="C446" s="281">
        <f t="shared" si="27"/>
        <v>3744.9060644148199</v>
      </c>
      <c r="D446" s="281">
        <f t="shared" si="28"/>
        <v>11551.082165384722</v>
      </c>
      <c r="E446" s="281">
        <f t="shared" si="29"/>
        <v>1186818.8584473575</v>
      </c>
      <c r="F446" s="280"/>
      <c r="G446" s="275"/>
      <c r="H446" s="269"/>
      <c r="I446" s="275"/>
    </row>
    <row r="447" spans="1:9">
      <c r="A447" s="337">
        <v>392</v>
      </c>
      <c r="B447" s="281">
        <f t="shared" si="26"/>
        <v>15295.988229799541</v>
      </c>
      <c r="C447" s="281">
        <f t="shared" si="27"/>
        <v>3708.8089326479931</v>
      </c>
      <c r="D447" s="281">
        <f t="shared" si="28"/>
        <v>11587.179297151548</v>
      </c>
      <c r="E447" s="281">
        <f t="shared" si="29"/>
        <v>1175231.679150206</v>
      </c>
      <c r="F447" s="280"/>
      <c r="G447" s="275"/>
      <c r="H447" s="269"/>
      <c r="I447" s="275"/>
    </row>
    <row r="448" spans="1:9">
      <c r="A448" s="337">
        <v>393</v>
      </c>
      <c r="B448" s="281">
        <f t="shared" si="26"/>
        <v>15295.988229799541</v>
      </c>
      <c r="C448" s="281">
        <f t="shared" si="27"/>
        <v>3672.5989973443943</v>
      </c>
      <c r="D448" s="281">
        <f t="shared" si="28"/>
        <v>11623.389232455147</v>
      </c>
      <c r="E448" s="281">
        <f t="shared" si="29"/>
        <v>1163608.289917751</v>
      </c>
      <c r="F448" s="280"/>
      <c r="G448" s="275"/>
      <c r="H448" s="269"/>
      <c r="I448" s="275"/>
    </row>
    <row r="449" spans="1:9">
      <c r="A449" s="337">
        <v>394</v>
      </c>
      <c r="B449" s="281">
        <f t="shared" si="26"/>
        <v>15295.988229799541</v>
      </c>
      <c r="C449" s="281">
        <f t="shared" si="27"/>
        <v>3636.2759059929722</v>
      </c>
      <c r="D449" s="281">
        <f t="shared" si="28"/>
        <v>11659.712323806569</v>
      </c>
      <c r="E449" s="281">
        <f t="shared" si="29"/>
        <v>1151948.5775939445</v>
      </c>
      <c r="F449" s="280"/>
      <c r="G449" s="275"/>
      <c r="H449" s="269"/>
      <c r="I449" s="275"/>
    </row>
    <row r="450" spans="1:9">
      <c r="A450" s="337">
        <v>395</v>
      </c>
      <c r="B450" s="281">
        <f t="shared" si="26"/>
        <v>15295.988229799541</v>
      </c>
      <c r="C450" s="281">
        <f t="shared" si="27"/>
        <v>3599.839304981077</v>
      </c>
      <c r="D450" s="281">
        <f t="shared" si="28"/>
        <v>11696.148924818464</v>
      </c>
      <c r="E450" s="281">
        <f t="shared" si="29"/>
        <v>1140252.428669126</v>
      </c>
      <c r="F450" s="280"/>
      <c r="G450" s="275"/>
      <c r="H450" s="269"/>
      <c r="I450" s="275"/>
    </row>
    <row r="451" spans="1:9">
      <c r="A451" s="337">
        <v>396</v>
      </c>
      <c r="B451" s="281">
        <f t="shared" si="26"/>
        <v>15295.988229799541</v>
      </c>
      <c r="C451" s="281">
        <f t="shared" si="27"/>
        <v>3563.2888395910195</v>
      </c>
      <c r="D451" s="281">
        <f t="shared" si="28"/>
        <v>11732.699390208521</v>
      </c>
      <c r="E451" s="281">
        <f t="shared" si="29"/>
        <v>1128519.7292789174</v>
      </c>
      <c r="F451" s="280">
        <v>33</v>
      </c>
      <c r="G451" s="336"/>
      <c r="H451" s="289"/>
      <c r="I451" s="336"/>
    </row>
    <row r="452" spans="1:9">
      <c r="A452" s="337">
        <v>397</v>
      </c>
      <c r="B452" s="281">
        <f t="shared" si="26"/>
        <v>15295.988229799541</v>
      </c>
      <c r="C452" s="281">
        <f t="shared" si="27"/>
        <v>3526.6241539966177</v>
      </c>
      <c r="D452" s="281">
        <f t="shared" si="28"/>
        <v>11769.364075802923</v>
      </c>
      <c r="E452" s="281">
        <f t="shared" si="29"/>
        <v>1116750.3652031145</v>
      </c>
      <c r="F452" s="280"/>
      <c r="G452" s="275"/>
      <c r="H452" s="269"/>
      <c r="I452" s="336"/>
    </row>
    <row r="453" spans="1:9">
      <c r="A453" s="337">
        <v>398</v>
      </c>
      <c r="B453" s="281">
        <f t="shared" si="26"/>
        <v>15295.988229799541</v>
      </c>
      <c r="C453" s="281">
        <f t="shared" si="27"/>
        <v>3489.8448912597328</v>
      </c>
      <c r="D453" s="281">
        <f t="shared" si="28"/>
        <v>11806.143338539809</v>
      </c>
      <c r="E453" s="281">
        <f t="shared" si="29"/>
        <v>1104944.2218645746</v>
      </c>
      <c r="F453" s="280"/>
      <c r="G453" s="275"/>
      <c r="H453" s="269"/>
      <c r="I453" s="275"/>
    </row>
    <row r="454" spans="1:9">
      <c r="A454" s="337">
        <v>399</v>
      </c>
      <c r="B454" s="281">
        <f t="shared" si="26"/>
        <v>15295.988229799541</v>
      </c>
      <c r="C454" s="281">
        <f t="shared" si="27"/>
        <v>3452.9506933267962</v>
      </c>
      <c r="D454" s="281">
        <f t="shared" si="28"/>
        <v>11843.037536472744</v>
      </c>
      <c r="E454" s="281">
        <f t="shared" si="29"/>
        <v>1093101.1843281018</v>
      </c>
      <c r="F454" s="280"/>
      <c r="G454" s="275"/>
      <c r="H454" s="269"/>
      <c r="I454" s="275"/>
    </row>
    <row r="455" spans="1:9">
      <c r="A455" s="337">
        <v>400</v>
      </c>
      <c r="B455" s="281">
        <f t="shared" si="26"/>
        <v>15295.988229799541</v>
      </c>
      <c r="C455" s="281">
        <f t="shared" si="27"/>
        <v>3415.9412010253186</v>
      </c>
      <c r="D455" s="281">
        <f t="shared" si="28"/>
        <v>11880.047028774223</v>
      </c>
      <c r="E455" s="281">
        <f t="shared" si="29"/>
        <v>1081221.1372993276</v>
      </c>
      <c r="F455" s="280"/>
      <c r="G455" s="275"/>
      <c r="H455" s="269"/>
      <c r="I455" s="275"/>
    </row>
    <row r="456" spans="1:9">
      <c r="A456" s="337">
        <v>401</v>
      </c>
      <c r="B456" s="281">
        <f t="shared" si="26"/>
        <v>15295.988229799541</v>
      </c>
      <c r="C456" s="281">
        <f t="shared" si="27"/>
        <v>3378.816054060399</v>
      </c>
      <c r="D456" s="281">
        <f t="shared" si="28"/>
        <v>11917.172175739142</v>
      </c>
      <c r="E456" s="281">
        <f t="shared" si="29"/>
        <v>1069303.9651235885</v>
      </c>
      <c r="F456" s="280"/>
      <c r="G456" s="275"/>
      <c r="H456" s="269"/>
      <c r="I456" s="275"/>
    </row>
    <row r="457" spans="1:9">
      <c r="A457" s="337">
        <v>402</v>
      </c>
      <c r="B457" s="281">
        <f t="shared" si="26"/>
        <v>15295.988229799541</v>
      </c>
      <c r="C457" s="281">
        <f t="shared" si="27"/>
        <v>3341.5748910112143</v>
      </c>
      <c r="D457" s="281">
        <f t="shared" si="28"/>
        <v>11954.413338788327</v>
      </c>
      <c r="E457" s="281">
        <f t="shared" si="29"/>
        <v>1057349.5517848001</v>
      </c>
      <c r="F457" s="280"/>
      <c r="G457" s="336"/>
      <c r="H457" s="289"/>
      <c r="I457" s="275"/>
    </row>
    <row r="458" spans="1:9">
      <c r="A458" s="337">
        <v>403</v>
      </c>
      <c r="B458" s="281">
        <f t="shared" si="26"/>
        <v>15295.988229799541</v>
      </c>
      <c r="C458" s="281">
        <f t="shared" si="27"/>
        <v>3304.2173493275009</v>
      </c>
      <c r="D458" s="281">
        <f t="shared" si="28"/>
        <v>11991.770880472041</v>
      </c>
      <c r="E458" s="281">
        <f t="shared" si="29"/>
        <v>1045357.7809043281</v>
      </c>
      <c r="F458" s="280"/>
      <c r="G458" s="275"/>
      <c r="H458" s="269"/>
      <c r="I458" s="275"/>
    </row>
    <row r="459" spans="1:9">
      <c r="A459" s="337">
        <v>404</v>
      </c>
      <c r="B459" s="281">
        <f t="shared" si="26"/>
        <v>15295.988229799541</v>
      </c>
      <c r="C459" s="281">
        <f t="shared" si="27"/>
        <v>3266.7430653260258</v>
      </c>
      <c r="D459" s="281">
        <f t="shared" si="28"/>
        <v>12029.245164473516</v>
      </c>
      <c r="E459" s="281">
        <f t="shared" si="29"/>
        <v>1033328.5357398546</v>
      </c>
      <c r="F459" s="280"/>
      <c r="G459" s="275"/>
      <c r="H459" s="269"/>
      <c r="I459" s="275"/>
    </row>
    <row r="460" spans="1:9">
      <c r="A460" s="337">
        <v>405</v>
      </c>
      <c r="B460" s="281">
        <f t="shared" si="26"/>
        <v>15295.988229799541</v>
      </c>
      <c r="C460" s="281">
        <f t="shared" si="27"/>
        <v>3229.151674187046</v>
      </c>
      <c r="D460" s="281">
        <f t="shared" si="28"/>
        <v>12066.836555612495</v>
      </c>
      <c r="E460" s="281">
        <f t="shared" si="29"/>
        <v>1021261.6991842421</v>
      </c>
      <c r="F460" s="280"/>
      <c r="G460" s="275"/>
      <c r="H460" s="269"/>
      <c r="I460" s="275"/>
    </row>
    <row r="461" spans="1:9">
      <c r="A461" s="337">
        <v>406</v>
      </c>
      <c r="B461" s="281">
        <f t="shared" si="26"/>
        <v>15295.988229799541</v>
      </c>
      <c r="C461" s="281">
        <f t="shared" si="27"/>
        <v>3191.4428099507568</v>
      </c>
      <c r="D461" s="281">
        <f t="shared" si="28"/>
        <v>12104.545419848784</v>
      </c>
      <c r="E461" s="281">
        <f t="shared" si="29"/>
        <v>1009157.1537643933</v>
      </c>
      <c r="F461" s="280"/>
      <c r="G461" s="275"/>
      <c r="H461" s="269"/>
      <c r="I461" s="275"/>
    </row>
    <row r="462" spans="1:9">
      <c r="A462" s="337">
        <v>407</v>
      </c>
      <c r="B462" s="281">
        <f t="shared" si="26"/>
        <v>15295.988229799541</v>
      </c>
      <c r="C462" s="281">
        <f t="shared" si="27"/>
        <v>3153.6161055137295</v>
      </c>
      <c r="D462" s="281">
        <f t="shared" si="28"/>
        <v>12142.372124285812</v>
      </c>
      <c r="E462" s="281">
        <f t="shared" si="29"/>
        <v>997014.78164010751</v>
      </c>
      <c r="F462" s="280"/>
      <c r="G462" s="275"/>
      <c r="H462" s="269"/>
      <c r="I462" s="275"/>
    </row>
    <row r="463" spans="1:9">
      <c r="A463" s="337">
        <v>408</v>
      </c>
      <c r="B463" s="281">
        <f t="shared" si="26"/>
        <v>15295.988229799541</v>
      </c>
      <c r="C463" s="281">
        <f t="shared" si="27"/>
        <v>3115.6711926253361</v>
      </c>
      <c r="D463" s="281">
        <f t="shared" si="28"/>
        <v>12180.317037174205</v>
      </c>
      <c r="E463" s="281">
        <f t="shared" si="29"/>
        <v>984834.46460293327</v>
      </c>
      <c r="F463" s="280">
        <v>34</v>
      </c>
      <c r="G463" s="336"/>
      <c r="H463" s="289"/>
      <c r="I463" s="336"/>
    </row>
    <row r="464" spans="1:9">
      <c r="A464" s="337">
        <v>409</v>
      </c>
      <c r="B464" s="281">
        <f t="shared" si="26"/>
        <v>15295.988229799541</v>
      </c>
      <c r="C464" s="281">
        <f t="shared" si="27"/>
        <v>3077.6077018841665</v>
      </c>
      <c r="D464" s="281">
        <f t="shared" si="28"/>
        <v>12218.380527915375</v>
      </c>
      <c r="E464" s="281">
        <f t="shared" si="29"/>
        <v>972616.08407501783</v>
      </c>
      <c r="F464" s="280"/>
      <c r="G464" s="275"/>
      <c r="H464" s="269"/>
      <c r="I464" s="336"/>
    </row>
    <row r="465" spans="1:9">
      <c r="A465" s="337">
        <v>410</v>
      </c>
      <c r="B465" s="281">
        <f t="shared" si="26"/>
        <v>15295.988229799541</v>
      </c>
      <c r="C465" s="281">
        <f t="shared" si="27"/>
        <v>3039.4252627344308</v>
      </c>
      <c r="D465" s="281">
        <f t="shared" si="28"/>
        <v>12256.562967065111</v>
      </c>
      <c r="E465" s="281">
        <f t="shared" si="29"/>
        <v>960359.52110795269</v>
      </c>
      <c r="F465" s="280"/>
      <c r="G465" s="275"/>
      <c r="H465" s="269"/>
      <c r="I465" s="275"/>
    </row>
    <row r="466" spans="1:9">
      <c r="A466" s="337">
        <v>411</v>
      </c>
      <c r="B466" s="281">
        <f t="shared" si="26"/>
        <v>15295.988229799541</v>
      </c>
      <c r="C466" s="281">
        <f t="shared" si="27"/>
        <v>3001.1235034623528</v>
      </c>
      <c r="D466" s="281">
        <f t="shared" si="28"/>
        <v>12294.864726337188</v>
      </c>
      <c r="E466" s="281">
        <f t="shared" si="29"/>
        <v>948064.65638161555</v>
      </c>
      <c r="F466" s="280"/>
      <c r="G466" s="275"/>
      <c r="H466" s="269"/>
      <c r="I466" s="275"/>
    </row>
    <row r="467" spans="1:9">
      <c r="A467" s="337">
        <v>412</v>
      </c>
      <c r="B467" s="281">
        <f t="shared" si="26"/>
        <v>15295.988229799541</v>
      </c>
      <c r="C467" s="281">
        <f t="shared" si="27"/>
        <v>2962.7020511925493</v>
      </c>
      <c r="D467" s="281">
        <f t="shared" si="28"/>
        <v>12333.286178606992</v>
      </c>
      <c r="E467" s="281">
        <f t="shared" si="29"/>
        <v>935731.37020300853</v>
      </c>
      <c r="F467" s="280"/>
      <c r="G467" s="275"/>
      <c r="H467" s="269"/>
      <c r="I467" s="275"/>
    </row>
    <row r="468" spans="1:9">
      <c r="A468" s="337">
        <v>413</v>
      </c>
      <c r="B468" s="281">
        <f t="shared" si="26"/>
        <v>15295.988229799541</v>
      </c>
      <c r="C468" s="281">
        <f t="shared" si="27"/>
        <v>2924.1605318844017</v>
      </c>
      <c r="D468" s="281">
        <f t="shared" si="28"/>
        <v>12371.82769791514</v>
      </c>
      <c r="E468" s="281">
        <f t="shared" si="29"/>
        <v>923359.54250509338</v>
      </c>
      <c r="F468" s="280"/>
      <c r="G468" s="275"/>
      <c r="H468" s="269"/>
      <c r="I468" s="275"/>
    </row>
    <row r="469" spans="1:9">
      <c r="A469" s="337">
        <v>414</v>
      </c>
      <c r="B469" s="281">
        <f t="shared" si="26"/>
        <v>15295.988229799541</v>
      </c>
      <c r="C469" s="281">
        <f t="shared" si="27"/>
        <v>2885.4985703284169</v>
      </c>
      <c r="D469" s="281">
        <f t="shared" si="28"/>
        <v>12410.489659471124</v>
      </c>
      <c r="E469" s="281">
        <f t="shared" si="29"/>
        <v>910949.0528456223</v>
      </c>
      <c r="F469" s="280"/>
      <c r="G469" s="336"/>
      <c r="H469" s="289"/>
      <c r="I469" s="275"/>
    </row>
    <row r="470" spans="1:9">
      <c r="A470" s="337">
        <v>415</v>
      </c>
      <c r="B470" s="281">
        <f t="shared" si="26"/>
        <v>15295.988229799541</v>
      </c>
      <c r="C470" s="281">
        <f t="shared" si="27"/>
        <v>2846.7157901425703</v>
      </c>
      <c r="D470" s="281">
        <f t="shared" si="28"/>
        <v>12449.27243965697</v>
      </c>
      <c r="E470" s="281">
        <f t="shared" si="29"/>
        <v>898499.78040596528</v>
      </c>
      <c r="F470" s="280"/>
      <c r="G470" s="275"/>
      <c r="H470" s="269"/>
      <c r="I470" s="275"/>
    </row>
    <row r="471" spans="1:9">
      <c r="A471" s="337">
        <v>416</v>
      </c>
      <c r="B471" s="281">
        <f t="shared" si="26"/>
        <v>15295.988229799541</v>
      </c>
      <c r="C471" s="281">
        <f t="shared" si="27"/>
        <v>2807.811813768642</v>
      </c>
      <c r="D471" s="281">
        <f t="shared" si="28"/>
        <v>12488.176416030899</v>
      </c>
      <c r="E471" s="281">
        <f t="shared" si="29"/>
        <v>886011.60398993443</v>
      </c>
      <c r="F471" s="280"/>
      <c r="G471" s="275"/>
      <c r="H471" s="269"/>
      <c r="I471" s="275"/>
    </row>
    <row r="472" spans="1:9">
      <c r="A472" s="337">
        <v>417</v>
      </c>
      <c r="B472" s="281">
        <f t="shared" si="26"/>
        <v>15295.988229799541</v>
      </c>
      <c r="C472" s="281">
        <f t="shared" si="27"/>
        <v>2768.7862624685454</v>
      </c>
      <c r="D472" s="281">
        <f t="shared" si="28"/>
        <v>12527.201967330995</v>
      </c>
      <c r="E472" s="281">
        <f t="shared" si="29"/>
        <v>873484.40202260343</v>
      </c>
      <c r="F472" s="280"/>
      <c r="G472" s="275"/>
      <c r="H472" s="269"/>
      <c r="I472" s="275"/>
    </row>
    <row r="473" spans="1:9">
      <c r="A473" s="337">
        <v>418</v>
      </c>
      <c r="B473" s="281">
        <f t="shared" si="26"/>
        <v>15295.988229799541</v>
      </c>
      <c r="C473" s="281">
        <f t="shared" si="27"/>
        <v>2729.6387563206363</v>
      </c>
      <c r="D473" s="281">
        <f t="shared" si="28"/>
        <v>12566.349473478906</v>
      </c>
      <c r="E473" s="281">
        <f t="shared" si="29"/>
        <v>860918.05254912458</v>
      </c>
      <c r="F473" s="280"/>
      <c r="G473" s="275"/>
      <c r="H473" s="269"/>
      <c r="I473" s="275"/>
    </row>
    <row r="474" spans="1:9">
      <c r="A474" s="337">
        <v>419</v>
      </c>
      <c r="B474" s="281">
        <f t="shared" si="26"/>
        <v>15295.988229799541</v>
      </c>
      <c r="C474" s="281">
        <f t="shared" si="27"/>
        <v>2690.3689142160147</v>
      </c>
      <c r="D474" s="281">
        <f t="shared" si="28"/>
        <v>12605.619315583526</v>
      </c>
      <c r="E474" s="281">
        <f t="shared" si="29"/>
        <v>848312.43323354109</v>
      </c>
      <c r="F474" s="280"/>
      <c r="G474" s="275"/>
      <c r="H474" s="269"/>
      <c r="I474" s="275"/>
    </row>
    <row r="475" spans="1:9">
      <c r="A475" s="337">
        <v>420</v>
      </c>
      <c r="B475" s="281">
        <f t="shared" si="26"/>
        <v>15295.988229799541</v>
      </c>
      <c r="C475" s="281">
        <f t="shared" si="27"/>
        <v>2650.9763538548164</v>
      </c>
      <c r="D475" s="281">
        <f t="shared" si="28"/>
        <v>12645.011875944725</v>
      </c>
      <c r="E475" s="281">
        <f t="shared" si="29"/>
        <v>835667.42135759641</v>
      </c>
      <c r="F475" s="280">
        <v>35</v>
      </c>
      <c r="G475" s="336"/>
      <c r="H475" s="289"/>
      <c r="I475" s="336"/>
    </row>
    <row r="476" spans="1:9">
      <c r="A476" s="337">
        <v>421</v>
      </c>
      <c r="B476" s="281">
        <f t="shared" si="26"/>
        <v>15295.988229799541</v>
      </c>
      <c r="C476" s="281">
        <f t="shared" si="27"/>
        <v>2611.4606917424894</v>
      </c>
      <c r="D476" s="281">
        <f t="shared" si="28"/>
        <v>12684.527538057051</v>
      </c>
      <c r="E476" s="281">
        <f t="shared" si="29"/>
        <v>822982.89381953934</v>
      </c>
      <c r="F476" s="280"/>
      <c r="G476" s="275"/>
      <c r="H476" s="269"/>
      <c r="I476" s="336"/>
    </row>
    <row r="477" spans="1:9">
      <c r="A477" s="337">
        <v>422</v>
      </c>
      <c r="B477" s="281">
        <f t="shared" si="26"/>
        <v>15295.988229799541</v>
      </c>
      <c r="C477" s="281">
        <f t="shared" si="27"/>
        <v>2571.8215431860608</v>
      </c>
      <c r="D477" s="281">
        <f t="shared" si="28"/>
        <v>12724.16668661348</v>
      </c>
      <c r="E477" s="281">
        <f t="shared" si="29"/>
        <v>810258.72713292588</v>
      </c>
      <c r="F477" s="280"/>
      <c r="G477" s="275"/>
      <c r="H477" s="269"/>
      <c r="I477" s="275"/>
    </row>
    <row r="478" spans="1:9">
      <c r="A478" s="337">
        <v>423</v>
      </c>
      <c r="B478" s="281">
        <f t="shared" si="26"/>
        <v>15295.988229799541</v>
      </c>
      <c r="C478" s="281">
        <f t="shared" si="27"/>
        <v>2532.0585222903937</v>
      </c>
      <c r="D478" s="281">
        <f t="shared" si="28"/>
        <v>12763.929707509147</v>
      </c>
      <c r="E478" s="281">
        <f t="shared" si="29"/>
        <v>797494.79742541676</v>
      </c>
      <c r="F478" s="280"/>
      <c r="G478" s="275"/>
      <c r="H478" s="269"/>
      <c r="I478" s="275"/>
    </row>
    <row r="479" spans="1:9">
      <c r="A479" s="337">
        <v>424</v>
      </c>
      <c r="B479" s="281">
        <f t="shared" si="26"/>
        <v>15295.988229799541</v>
      </c>
      <c r="C479" s="281">
        <f t="shared" si="27"/>
        <v>2492.1712419544278</v>
      </c>
      <c r="D479" s="281">
        <f t="shared" si="28"/>
        <v>12803.816987845114</v>
      </c>
      <c r="E479" s="281">
        <f t="shared" si="29"/>
        <v>784690.98043757165</v>
      </c>
      <c r="F479" s="280"/>
      <c r="G479" s="275"/>
      <c r="H479" s="269"/>
      <c r="I479" s="275"/>
    </row>
    <row r="480" spans="1:9">
      <c r="A480" s="337">
        <v>425</v>
      </c>
      <c r="B480" s="281">
        <f t="shared" si="26"/>
        <v>15295.988229799541</v>
      </c>
      <c r="C480" s="281">
        <f t="shared" si="27"/>
        <v>2452.159313867412</v>
      </c>
      <c r="D480" s="281">
        <f t="shared" si="28"/>
        <v>12843.828915932128</v>
      </c>
      <c r="E480" s="281">
        <f t="shared" si="29"/>
        <v>771847.15152163955</v>
      </c>
      <c r="F480" s="280"/>
      <c r="G480" s="275"/>
      <c r="H480" s="269"/>
      <c r="I480" s="275"/>
    </row>
    <row r="481" spans="1:9">
      <c r="A481" s="337">
        <v>426</v>
      </c>
      <c r="B481" s="281">
        <f t="shared" si="26"/>
        <v>15295.988229799541</v>
      </c>
      <c r="C481" s="281">
        <f t="shared" si="27"/>
        <v>2412.0223485051242</v>
      </c>
      <c r="D481" s="281">
        <f t="shared" si="28"/>
        <v>12883.965881294416</v>
      </c>
      <c r="E481" s="281">
        <f t="shared" si="29"/>
        <v>758963.18564034509</v>
      </c>
      <c r="F481" s="280"/>
      <c r="G481" s="336"/>
      <c r="H481" s="289"/>
      <c r="I481" s="275"/>
    </row>
    <row r="482" spans="1:9">
      <c r="A482" s="337">
        <v>427</v>
      </c>
      <c r="B482" s="281">
        <f t="shared" si="26"/>
        <v>15295.988229799541</v>
      </c>
      <c r="C482" s="281">
        <f t="shared" si="27"/>
        <v>2371.7599551260787</v>
      </c>
      <c r="D482" s="281">
        <f t="shared" si="28"/>
        <v>12924.228274673462</v>
      </c>
      <c r="E482" s="281">
        <f t="shared" si="29"/>
        <v>746038.95736567164</v>
      </c>
      <c r="F482" s="280"/>
      <c r="G482" s="275"/>
      <c r="H482" s="269"/>
      <c r="I482" s="275"/>
    </row>
    <row r="483" spans="1:9">
      <c r="A483" s="337">
        <v>428</v>
      </c>
      <c r="B483" s="281">
        <f t="shared" si="26"/>
        <v>15295.988229799541</v>
      </c>
      <c r="C483" s="281">
        <f t="shared" si="27"/>
        <v>2331.371741767724</v>
      </c>
      <c r="D483" s="281">
        <f t="shared" si="28"/>
        <v>12964.616488031817</v>
      </c>
      <c r="E483" s="281">
        <f t="shared" si="29"/>
        <v>733074.34087763983</v>
      </c>
      <c r="F483" s="280"/>
      <c r="G483" s="275"/>
      <c r="H483" s="269"/>
      <c r="I483" s="275"/>
    </row>
    <row r="484" spans="1:9">
      <c r="A484" s="337">
        <v>429</v>
      </c>
      <c r="B484" s="281">
        <f t="shared" si="26"/>
        <v>15295.988229799541</v>
      </c>
      <c r="C484" s="281">
        <f t="shared" si="27"/>
        <v>2290.8573152426247</v>
      </c>
      <c r="D484" s="281">
        <f t="shared" si="28"/>
        <v>13005.130914556916</v>
      </c>
      <c r="E484" s="281">
        <f t="shared" si="29"/>
        <v>720069.20996308292</v>
      </c>
      <c r="F484" s="280"/>
      <c r="G484" s="275"/>
      <c r="H484" s="269"/>
      <c r="I484" s="275"/>
    </row>
    <row r="485" spans="1:9">
      <c r="A485" s="337">
        <v>430</v>
      </c>
      <c r="B485" s="281">
        <f t="shared" si="26"/>
        <v>15295.988229799541</v>
      </c>
      <c r="C485" s="281">
        <f t="shared" si="27"/>
        <v>2250.2162811346343</v>
      </c>
      <c r="D485" s="281">
        <f t="shared" si="28"/>
        <v>13045.771948664908</v>
      </c>
      <c r="E485" s="281">
        <f t="shared" si="29"/>
        <v>707023.438014418</v>
      </c>
      <c r="F485" s="280"/>
      <c r="G485" s="275"/>
      <c r="H485" s="269"/>
      <c r="I485" s="275"/>
    </row>
    <row r="486" spans="1:9">
      <c r="A486" s="337">
        <v>431</v>
      </c>
      <c r="B486" s="281">
        <f t="shared" si="26"/>
        <v>15295.988229799541</v>
      </c>
      <c r="C486" s="281">
        <f t="shared" si="27"/>
        <v>2209.4482437950564</v>
      </c>
      <c r="D486" s="281">
        <f t="shared" si="28"/>
        <v>13086.539986004485</v>
      </c>
      <c r="E486" s="281">
        <f t="shared" si="29"/>
        <v>693936.89802841353</v>
      </c>
      <c r="F486" s="280"/>
      <c r="G486" s="275"/>
      <c r="H486" s="269"/>
      <c r="I486" s="275"/>
    </row>
    <row r="487" spans="1:9">
      <c r="A487" s="337">
        <v>432</v>
      </c>
      <c r="B487" s="281">
        <f t="shared" si="26"/>
        <v>15295.988229799541</v>
      </c>
      <c r="C487" s="281">
        <f t="shared" si="27"/>
        <v>2168.5528063387924</v>
      </c>
      <c r="D487" s="281">
        <f t="shared" si="28"/>
        <v>13127.435423460749</v>
      </c>
      <c r="E487" s="281">
        <f t="shared" si="29"/>
        <v>680809.46260495274</v>
      </c>
      <c r="F487" s="280">
        <v>36</v>
      </c>
      <c r="G487" s="336"/>
      <c r="H487" s="289"/>
      <c r="I487" s="336"/>
    </row>
    <row r="488" spans="1:9">
      <c r="A488" s="337">
        <v>433</v>
      </c>
      <c r="B488" s="281">
        <f t="shared" si="26"/>
        <v>15295.988229799541</v>
      </c>
      <c r="C488" s="281">
        <f t="shared" si="27"/>
        <v>2127.5295706404777</v>
      </c>
      <c r="D488" s="281">
        <f t="shared" si="28"/>
        <v>13168.458659159063</v>
      </c>
      <c r="E488" s="281">
        <f t="shared" si="29"/>
        <v>667641.00394579372</v>
      </c>
      <c r="F488" s="280"/>
      <c r="G488" s="275"/>
      <c r="H488" s="269"/>
      <c r="I488" s="336"/>
    </row>
    <row r="489" spans="1:9">
      <c r="A489" s="337">
        <v>434</v>
      </c>
      <c r="B489" s="281">
        <f t="shared" si="26"/>
        <v>15295.988229799541</v>
      </c>
      <c r="C489" s="281">
        <f t="shared" si="27"/>
        <v>2086.3781373306056</v>
      </c>
      <c r="D489" s="281">
        <f t="shared" si="28"/>
        <v>13209.610092468934</v>
      </c>
      <c r="E489" s="281">
        <f t="shared" si="29"/>
        <v>654431.39385332481</v>
      </c>
      <c r="F489" s="280"/>
      <c r="G489" s="275"/>
      <c r="H489" s="269"/>
      <c r="I489" s="275"/>
    </row>
    <row r="490" spans="1:9">
      <c r="A490" s="337">
        <v>435</v>
      </c>
      <c r="B490" s="281">
        <f t="shared" si="26"/>
        <v>15295.988229799541</v>
      </c>
      <c r="C490" s="281">
        <f t="shared" si="27"/>
        <v>2045.0981057916404</v>
      </c>
      <c r="D490" s="281">
        <f t="shared" si="28"/>
        <v>13250.890124007901</v>
      </c>
      <c r="E490" s="281">
        <f t="shared" si="29"/>
        <v>641180.50372931687</v>
      </c>
      <c r="F490" s="280"/>
      <c r="G490" s="275"/>
      <c r="H490" s="269"/>
      <c r="I490" s="275"/>
    </row>
    <row r="491" spans="1:9">
      <c r="A491" s="337">
        <v>436</v>
      </c>
      <c r="B491" s="281">
        <f t="shared" si="26"/>
        <v>15295.988229799541</v>
      </c>
      <c r="C491" s="281">
        <f t="shared" si="27"/>
        <v>2003.6890741541156</v>
      </c>
      <c r="D491" s="281">
        <f t="shared" si="28"/>
        <v>13292.299155645425</v>
      </c>
      <c r="E491" s="281">
        <f t="shared" si="29"/>
        <v>627888.20457367145</v>
      </c>
      <c r="F491" s="280"/>
      <c r="G491" s="275"/>
      <c r="H491" s="269"/>
      <c r="I491" s="275"/>
    </row>
    <row r="492" spans="1:9">
      <c r="A492" s="337">
        <v>437</v>
      </c>
      <c r="B492" s="281">
        <f t="shared" si="26"/>
        <v>15295.988229799541</v>
      </c>
      <c r="C492" s="281">
        <f t="shared" si="27"/>
        <v>1962.1506392927238</v>
      </c>
      <c r="D492" s="281">
        <f t="shared" si="28"/>
        <v>13333.837590506817</v>
      </c>
      <c r="E492" s="281">
        <f t="shared" si="29"/>
        <v>614554.36698316468</v>
      </c>
      <c r="F492" s="280"/>
      <c r="G492" s="275"/>
      <c r="H492" s="269"/>
      <c r="I492" s="275"/>
    </row>
    <row r="493" spans="1:9">
      <c r="A493" s="337">
        <v>438</v>
      </c>
      <c r="B493" s="281">
        <f t="shared" si="26"/>
        <v>15295.988229799541</v>
      </c>
      <c r="C493" s="281">
        <f t="shared" si="27"/>
        <v>1920.48239682239</v>
      </c>
      <c r="D493" s="281">
        <f t="shared" si="28"/>
        <v>13375.505832977151</v>
      </c>
      <c r="E493" s="281">
        <f t="shared" si="29"/>
        <v>601178.86115018756</v>
      </c>
      <c r="F493" s="280"/>
      <c r="G493" s="336"/>
      <c r="H493" s="289"/>
      <c r="I493" s="275"/>
    </row>
    <row r="494" spans="1:9">
      <c r="A494" s="337">
        <v>439</v>
      </c>
      <c r="B494" s="281">
        <f t="shared" si="26"/>
        <v>15295.988229799541</v>
      </c>
      <c r="C494" s="281">
        <f t="shared" si="27"/>
        <v>1878.6839410943364</v>
      </c>
      <c r="D494" s="281">
        <f t="shared" si="28"/>
        <v>13417.304288705205</v>
      </c>
      <c r="E494" s="281">
        <f t="shared" si="29"/>
        <v>587761.55686148233</v>
      </c>
      <c r="F494" s="280"/>
      <c r="G494" s="275"/>
      <c r="H494" s="269"/>
      <c r="I494" s="275"/>
    </row>
    <row r="495" spans="1:9">
      <c r="A495" s="337">
        <v>440</v>
      </c>
      <c r="B495" s="281">
        <f t="shared" si="26"/>
        <v>15295.988229799541</v>
      </c>
      <c r="C495" s="281">
        <f t="shared" si="27"/>
        <v>1836.7548651921325</v>
      </c>
      <c r="D495" s="281">
        <f t="shared" si="28"/>
        <v>13459.233364607408</v>
      </c>
      <c r="E495" s="281">
        <f t="shared" si="29"/>
        <v>574302.32349687489</v>
      </c>
      <c r="F495" s="280"/>
      <c r="G495" s="275"/>
      <c r="H495" s="269"/>
      <c r="I495" s="275"/>
    </row>
    <row r="496" spans="1:9">
      <c r="A496" s="337">
        <v>441</v>
      </c>
      <c r="B496" s="281">
        <f t="shared" si="26"/>
        <v>15295.988229799541</v>
      </c>
      <c r="C496" s="281">
        <f t="shared" si="27"/>
        <v>1794.6947609277343</v>
      </c>
      <c r="D496" s="281">
        <f t="shared" si="28"/>
        <v>13501.293468871807</v>
      </c>
      <c r="E496" s="281">
        <f t="shared" si="29"/>
        <v>560801.03002800304</v>
      </c>
      <c r="F496" s="280"/>
      <c r="G496" s="275"/>
      <c r="H496" s="269"/>
      <c r="I496" s="275"/>
    </row>
    <row r="497" spans="1:9">
      <c r="A497" s="337">
        <v>442</v>
      </c>
      <c r="B497" s="281">
        <f t="shared" si="26"/>
        <v>15295.988229799541</v>
      </c>
      <c r="C497" s="281">
        <f t="shared" si="27"/>
        <v>1752.5032188375098</v>
      </c>
      <c r="D497" s="281">
        <f t="shared" si="28"/>
        <v>13543.485010962031</v>
      </c>
      <c r="E497" s="281">
        <f t="shared" si="29"/>
        <v>547257.54501704103</v>
      </c>
      <c r="F497" s="280"/>
      <c r="G497" s="275"/>
      <c r="H497" s="269"/>
      <c r="I497" s="275"/>
    </row>
    <row r="498" spans="1:9">
      <c r="A498" s="337">
        <v>443</v>
      </c>
      <c r="B498" s="281">
        <f t="shared" si="26"/>
        <v>15295.988229799541</v>
      </c>
      <c r="C498" s="281">
        <f t="shared" si="27"/>
        <v>1710.1798281782533</v>
      </c>
      <c r="D498" s="281">
        <f t="shared" si="28"/>
        <v>13585.808401621287</v>
      </c>
      <c r="E498" s="281">
        <f t="shared" si="29"/>
        <v>533671.73661541974</v>
      </c>
      <c r="F498" s="280"/>
      <c r="G498" s="275"/>
      <c r="H498" s="269"/>
      <c r="I498" s="275"/>
    </row>
    <row r="499" spans="1:9">
      <c r="A499" s="337">
        <v>444</v>
      </c>
      <c r="B499" s="281">
        <f t="shared" si="26"/>
        <v>15295.988229799541</v>
      </c>
      <c r="C499" s="281">
        <f t="shared" si="27"/>
        <v>1667.7241769231869</v>
      </c>
      <c r="D499" s="281">
        <f t="shared" si="28"/>
        <v>13628.264052876355</v>
      </c>
      <c r="E499" s="281">
        <f t="shared" si="29"/>
        <v>520043.47256254341</v>
      </c>
      <c r="F499" s="280">
        <v>37</v>
      </c>
      <c r="G499" s="336"/>
      <c r="H499" s="289"/>
      <c r="I499" s="336"/>
    </row>
    <row r="500" spans="1:9">
      <c r="A500" s="337">
        <v>445</v>
      </c>
      <c r="B500" s="281">
        <f t="shared" si="26"/>
        <v>15295.988229799541</v>
      </c>
      <c r="C500" s="281">
        <f t="shared" si="27"/>
        <v>1625.1358517579483</v>
      </c>
      <c r="D500" s="281">
        <f t="shared" si="28"/>
        <v>13670.852378041593</v>
      </c>
      <c r="E500" s="281">
        <f t="shared" si="29"/>
        <v>506372.62018450181</v>
      </c>
      <c r="F500" s="280"/>
      <c r="G500" s="275"/>
      <c r="H500" s="269"/>
      <c r="I500" s="336"/>
    </row>
    <row r="501" spans="1:9">
      <c r="A501" s="337">
        <v>446</v>
      </c>
      <c r="B501" s="281">
        <f t="shared" si="26"/>
        <v>15295.988229799541</v>
      </c>
      <c r="C501" s="281">
        <f t="shared" si="27"/>
        <v>1582.4144380765683</v>
      </c>
      <c r="D501" s="281">
        <f t="shared" si="28"/>
        <v>13713.573791722973</v>
      </c>
      <c r="E501" s="281">
        <f t="shared" si="29"/>
        <v>492659.04639277881</v>
      </c>
      <c r="F501" s="280"/>
      <c r="G501" s="275"/>
      <c r="H501" s="269"/>
      <c r="I501" s="275"/>
    </row>
    <row r="502" spans="1:9">
      <c r="A502" s="337">
        <v>447</v>
      </c>
      <c r="B502" s="281">
        <f t="shared" si="26"/>
        <v>15295.988229799541</v>
      </c>
      <c r="C502" s="281">
        <f t="shared" si="27"/>
        <v>1539.5595199774341</v>
      </c>
      <c r="D502" s="281">
        <f t="shared" si="28"/>
        <v>13756.428709822107</v>
      </c>
      <c r="E502" s="281">
        <f t="shared" si="29"/>
        <v>478902.61768295668</v>
      </c>
      <c r="F502" s="280"/>
      <c r="G502" s="275"/>
      <c r="H502" s="269"/>
      <c r="I502" s="275"/>
    </row>
    <row r="503" spans="1:9">
      <c r="A503" s="337">
        <v>448</v>
      </c>
      <c r="B503" s="281">
        <f t="shared" si="26"/>
        <v>15295.988229799541</v>
      </c>
      <c r="C503" s="281">
        <f t="shared" si="27"/>
        <v>1496.5706802592397</v>
      </c>
      <c r="D503" s="281">
        <f t="shared" si="28"/>
        <v>13799.417549540301</v>
      </c>
      <c r="E503" s="281">
        <f t="shared" si="29"/>
        <v>465103.20013341639</v>
      </c>
      <c r="F503" s="280"/>
      <c r="G503" s="275"/>
      <c r="H503" s="269"/>
      <c r="I503" s="275"/>
    </row>
    <row r="504" spans="1:9">
      <c r="A504" s="337">
        <v>449</v>
      </c>
      <c r="B504" s="281">
        <f t="shared" ref="B504:B535" si="30">IF(A504&gt;12*$D$14,0,$D$20)</f>
        <v>15295.988229799541</v>
      </c>
      <c r="C504" s="281">
        <f t="shared" ref="C504:C535" si="31">IF(A504&gt;12*$D$14,0,E503*$D$10/12)</f>
        <v>1453.4475004169265</v>
      </c>
      <c r="D504" s="281">
        <f t="shared" ref="D504:D535" si="32">IF(A504&gt;12*$D$14,0,B504-C504)</f>
        <v>13842.540729382614</v>
      </c>
      <c r="E504" s="281">
        <f t="shared" ref="E504:E535" si="33">IF(A504&gt;12*$D$14,0,E503-D504)</f>
        <v>451260.65940403379</v>
      </c>
      <c r="F504" s="280"/>
      <c r="G504" s="275"/>
      <c r="H504" s="269"/>
      <c r="I504" s="275"/>
    </row>
    <row r="505" spans="1:9">
      <c r="A505" s="337">
        <v>450</v>
      </c>
      <c r="B505" s="281">
        <f t="shared" si="30"/>
        <v>15295.988229799541</v>
      </c>
      <c r="C505" s="281">
        <f t="shared" si="31"/>
        <v>1410.1895606376058</v>
      </c>
      <c r="D505" s="281">
        <f t="shared" si="32"/>
        <v>13885.798669161935</v>
      </c>
      <c r="E505" s="281">
        <f t="shared" si="33"/>
        <v>437374.86073487188</v>
      </c>
      <c r="F505" s="280"/>
      <c r="G505" s="336"/>
      <c r="H505" s="289"/>
      <c r="I505" s="275"/>
    </row>
    <row r="506" spans="1:9">
      <c r="A506" s="337">
        <v>451</v>
      </c>
      <c r="B506" s="281">
        <f t="shared" si="30"/>
        <v>15295.988229799541</v>
      </c>
      <c r="C506" s="281">
        <f t="shared" si="31"/>
        <v>1366.7964397964749</v>
      </c>
      <c r="D506" s="281">
        <f t="shared" si="32"/>
        <v>13929.191790003066</v>
      </c>
      <c r="E506" s="281">
        <f t="shared" si="33"/>
        <v>423445.66894486884</v>
      </c>
      <c r="F506" s="280"/>
      <c r="G506" s="275"/>
      <c r="H506" s="269"/>
      <c r="I506" s="275"/>
    </row>
    <row r="507" spans="1:9">
      <c r="A507" s="337">
        <v>452</v>
      </c>
      <c r="B507" s="281">
        <f t="shared" si="30"/>
        <v>15295.988229799541</v>
      </c>
      <c r="C507" s="281">
        <f t="shared" si="31"/>
        <v>1323.2677154527153</v>
      </c>
      <c r="D507" s="281">
        <f t="shared" si="32"/>
        <v>13972.720514346825</v>
      </c>
      <c r="E507" s="281">
        <f t="shared" si="33"/>
        <v>409472.948430522</v>
      </c>
      <c r="F507" s="280"/>
      <c r="G507" s="275"/>
      <c r="H507" s="269"/>
      <c r="I507" s="275"/>
    </row>
    <row r="508" spans="1:9">
      <c r="A508" s="337">
        <v>453</v>
      </c>
      <c r="B508" s="281">
        <f t="shared" si="30"/>
        <v>15295.988229799541</v>
      </c>
      <c r="C508" s="281">
        <f t="shared" si="31"/>
        <v>1279.6029638453813</v>
      </c>
      <c r="D508" s="281">
        <f t="shared" si="32"/>
        <v>14016.385265954159</v>
      </c>
      <c r="E508" s="281">
        <f t="shared" si="33"/>
        <v>395456.56316456781</v>
      </c>
      <c r="F508" s="280"/>
      <c r="G508" s="275"/>
      <c r="H508" s="269"/>
      <c r="I508" s="275"/>
    </row>
    <row r="509" spans="1:9">
      <c r="A509" s="337">
        <v>454</v>
      </c>
      <c r="B509" s="281">
        <f t="shared" si="30"/>
        <v>15295.988229799541</v>
      </c>
      <c r="C509" s="281">
        <f t="shared" si="31"/>
        <v>1235.8017598892745</v>
      </c>
      <c r="D509" s="281">
        <f t="shared" si="32"/>
        <v>14060.186469910266</v>
      </c>
      <c r="E509" s="281">
        <f t="shared" si="33"/>
        <v>381396.37669465755</v>
      </c>
      <c r="F509" s="280"/>
      <c r="G509" s="275"/>
      <c r="H509" s="269"/>
      <c r="I509" s="275"/>
    </row>
    <row r="510" spans="1:9">
      <c r="A510" s="337">
        <v>455</v>
      </c>
      <c r="B510" s="281">
        <f t="shared" si="30"/>
        <v>15295.988229799541</v>
      </c>
      <c r="C510" s="281">
        <f t="shared" si="31"/>
        <v>1191.863677170805</v>
      </c>
      <c r="D510" s="281">
        <f t="shared" si="32"/>
        <v>14104.124552628737</v>
      </c>
      <c r="E510" s="281">
        <f t="shared" si="33"/>
        <v>367292.25214202882</v>
      </c>
      <c r="F510" s="280"/>
      <c r="G510" s="275"/>
      <c r="H510" s="269"/>
      <c r="I510" s="275"/>
    </row>
    <row r="511" spans="1:9">
      <c r="A511" s="337">
        <v>456</v>
      </c>
      <c r="B511" s="281">
        <f t="shared" si="30"/>
        <v>15295.988229799541</v>
      </c>
      <c r="C511" s="281">
        <f t="shared" si="31"/>
        <v>1147.7882879438403</v>
      </c>
      <c r="D511" s="281">
        <f t="shared" si="32"/>
        <v>14148.199941855701</v>
      </c>
      <c r="E511" s="281">
        <f t="shared" si="33"/>
        <v>353144.05220017314</v>
      </c>
      <c r="F511" s="282">
        <v>38</v>
      </c>
      <c r="G511" s="275"/>
      <c r="H511" s="269"/>
      <c r="I511" s="275"/>
    </row>
    <row r="512" spans="1:9">
      <c r="A512" s="337">
        <v>457</v>
      </c>
      <c r="B512" s="281">
        <f t="shared" si="30"/>
        <v>15295.988229799541</v>
      </c>
      <c r="C512" s="281">
        <f t="shared" si="31"/>
        <v>1103.5751631255412</v>
      </c>
      <c r="D512" s="281">
        <f t="shared" si="32"/>
        <v>14192.413066674</v>
      </c>
      <c r="E512" s="281">
        <f t="shared" si="33"/>
        <v>338951.63913349912</v>
      </c>
      <c r="F512" s="280"/>
      <c r="G512" s="275"/>
      <c r="H512" s="269"/>
      <c r="I512" s="275"/>
    </row>
    <row r="513" spans="1:9">
      <c r="A513" s="337">
        <v>458</v>
      </c>
      <c r="B513" s="281">
        <f t="shared" si="30"/>
        <v>15295.988229799541</v>
      </c>
      <c r="C513" s="281">
        <f t="shared" si="31"/>
        <v>1059.223872292185</v>
      </c>
      <c r="D513" s="281">
        <f t="shared" si="32"/>
        <v>14236.764357507356</v>
      </c>
      <c r="E513" s="281">
        <f t="shared" si="33"/>
        <v>324714.87477599178</v>
      </c>
      <c r="F513" s="280"/>
      <c r="G513" s="275"/>
      <c r="H513" s="269"/>
      <c r="I513" s="275"/>
    </row>
    <row r="514" spans="1:9">
      <c r="A514" s="337">
        <v>459</v>
      </c>
      <c r="B514" s="281">
        <f t="shared" si="30"/>
        <v>15295.988229799541</v>
      </c>
      <c r="C514" s="281">
        <f t="shared" si="31"/>
        <v>1014.7339836749744</v>
      </c>
      <c r="D514" s="281">
        <f t="shared" si="32"/>
        <v>14281.254246124567</v>
      </c>
      <c r="E514" s="281">
        <f t="shared" si="33"/>
        <v>310433.62052986718</v>
      </c>
      <c r="F514" s="280"/>
      <c r="G514" s="275"/>
      <c r="H514" s="269"/>
      <c r="I514" s="275"/>
    </row>
    <row r="515" spans="1:9">
      <c r="A515" s="337">
        <v>460</v>
      </c>
      <c r="B515" s="281">
        <f t="shared" si="30"/>
        <v>15295.988229799541</v>
      </c>
      <c r="C515" s="281">
        <f t="shared" si="31"/>
        <v>970.10506415583507</v>
      </c>
      <c r="D515" s="281">
        <f t="shared" si="32"/>
        <v>14325.883165643705</v>
      </c>
      <c r="E515" s="281">
        <f t="shared" si="33"/>
        <v>296107.73736422346</v>
      </c>
      <c r="F515" s="280"/>
      <c r="G515" s="275"/>
      <c r="H515" s="269"/>
      <c r="I515" s="275"/>
    </row>
    <row r="516" spans="1:9">
      <c r="A516" s="337">
        <v>461</v>
      </c>
      <c r="B516" s="281">
        <f t="shared" si="30"/>
        <v>15295.988229799541</v>
      </c>
      <c r="C516" s="281">
        <f t="shared" si="31"/>
        <v>925.33667926319856</v>
      </c>
      <c r="D516" s="281">
        <f t="shared" si="32"/>
        <v>14370.651550536342</v>
      </c>
      <c r="E516" s="281">
        <f t="shared" si="33"/>
        <v>281737.08581368712</v>
      </c>
      <c r="F516" s="280"/>
      <c r="G516" s="275"/>
      <c r="H516" s="269"/>
      <c r="I516" s="275"/>
    </row>
    <row r="517" spans="1:9">
      <c r="A517" s="337">
        <v>462</v>
      </c>
      <c r="B517" s="281">
        <f t="shared" si="30"/>
        <v>15295.988229799541</v>
      </c>
      <c r="C517" s="281">
        <f t="shared" si="31"/>
        <v>880.42839316777236</v>
      </c>
      <c r="D517" s="281">
        <f t="shared" si="32"/>
        <v>14415.559836631768</v>
      </c>
      <c r="E517" s="281">
        <f t="shared" si="33"/>
        <v>267321.52597705537</v>
      </c>
      <c r="F517" s="280"/>
      <c r="G517" s="275"/>
      <c r="H517" s="269"/>
      <c r="I517" s="275"/>
    </row>
    <row r="518" spans="1:9">
      <c r="A518" s="337">
        <v>463</v>
      </c>
      <c r="B518" s="281">
        <f t="shared" si="30"/>
        <v>15295.988229799541</v>
      </c>
      <c r="C518" s="281">
        <f t="shared" si="31"/>
        <v>835.37976867829821</v>
      </c>
      <c r="D518" s="281">
        <f t="shared" si="32"/>
        <v>14460.608461121243</v>
      </c>
      <c r="E518" s="281">
        <f t="shared" si="33"/>
        <v>252860.91751593412</v>
      </c>
      <c r="F518" s="280"/>
      <c r="G518" s="275"/>
      <c r="H518" s="269"/>
      <c r="I518" s="275"/>
    </row>
    <row r="519" spans="1:9">
      <c r="A519" s="337">
        <v>464</v>
      </c>
      <c r="B519" s="281">
        <f t="shared" si="30"/>
        <v>15295.988229799541</v>
      </c>
      <c r="C519" s="281">
        <f t="shared" si="31"/>
        <v>790.19036723729425</v>
      </c>
      <c r="D519" s="281">
        <f t="shared" si="32"/>
        <v>14505.797862562247</v>
      </c>
      <c r="E519" s="281">
        <f t="shared" si="33"/>
        <v>238355.11965337189</v>
      </c>
      <c r="F519" s="280"/>
      <c r="G519" s="275"/>
      <c r="H519" s="269"/>
      <c r="I519" s="275"/>
    </row>
    <row r="520" spans="1:9">
      <c r="A520" s="337">
        <v>465</v>
      </c>
      <c r="B520" s="281">
        <f t="shared" si="30"/>
        <v>15295.988229799541</v>
      </c>
      <c r="C520" s="281">
        <f t="shared" si="31"/>
        <v>744.85974891678734</v>
      </c>
      <c r="D520" s="281">
        <f t="shared" si="32"/>
        <v>14551.128480882753</v>
      </c>
      <c r="E520" s="281">
        <f t="shared" si="33"/>
        <v>223803.99117248913</v>
      </c>
      <c r="F520" s="280"/>
      <c r="G520" s="275"/>
      <c r="H520" s="269"/>
      <c r="I520" s="275"/>
    </row>
    <row r="521" spans="1:9">
      <c r="A521" s="337">
        <v>466</v>
      </c>
      <c r="B521" s="281">
        <f t="shared" si="30"/>
        <v>15295.988229799541</v>
      </c>
      <c r="C521" s="281">
        <f t="shared" si="31"/>
        <v>699.38747241402859</v>
      </c>
      <c r="D521" s="281">
        <f t="shared" si="32"/>
        <v>14596.600757385513</v>
      </c>
      <c r="E521" s="281">
        <f t="shared" si="33"/>
        <v>209207.39041510361</v>
      </c>
      <c r="F521" s="280"/>
      <c r="G521" s="275"/>
      <c r="H521" s="269"/>
      <c r="I521" s="275"/>
    </row>
    <row r="522" spans="1:9">
      <c r="A522" s="337">
        <v>467</v>
      </c>
      <c r="B522" s="281">
        <f t="shared" si="30"/>
        <v>15295.988229799541</v>
      </c>
      <c r="C522" s="281">
        <f t="shared" si="31"/>
        <v>653.77309504719881</v>
      </c>
      <c r="D522" s="281">
        <f t="shared" si="32"/>
        <v>14642.215134752341</v>
      </c>
      <c r="E522" s="281">
        <f t="shared" si="33"/>
        <v>194565.17528035128</v>
      </c>
      <c r="F522" s="280"/>
      <c r="G522" s="275"/>
      <c r="H522" s="269"/>
      <c r="I522" s="275"/>
    </row>
    <row r="523" spans="1:9">
      <c r="A523" s="337">
        <v>468</v>
      </c>
      <c r="B523" s="281">
        <f t="shared" si="30"/>
        <v>15295.988229799541</v>
      </c>
      <c r="C523" s="281">
        <f t="shared" si="31"/>
        <v>608.01617275109777</v>
      </c>
      <c r="D523" s="281">
        <f t="shared" si="32"/>
        <v>14687.972057048442</v>
      </c>
      <c r="E523" s="281">
        <f t="shared" si="33"/>
        <v>179877.20322330284</v>
      </c>
      <c r="F523" s="280">
        <v>39</v>
      </c>
      <c r="G523" s="275"/>
      <c r="H523" s="269"/>
      <c r="I523" s="275"/>
    </row>
    <row r="524" spans="1:9">
      <c r="A524" s="337">
        <v>469</v>
      </c>
      <c r="B524" s="281">
        <f t="shared" si="30"/>
        <v>15295.988229799541</v>
      </c>
      <c r="C524" s="281">
        <f t="shared" si="31"/>
        <v>562.11626007282143</v>
      </c>
      <c r="D524" s="281">
        <f t="shared" si="32"/>
        <v>14733.871969726719</v>
      </c>
      <c r="E524" s="281">
        <f t="shared" si="33"/>
        <v>165143.33125357612</v>
      </c>
      <c r="F524" s="280"/>
      <c r="G524" s="275"/>
      <c r="H524" s="269"/>
      <c r="I524" s="275"/>
    </row>
    <row r="525" spans="1:9">
      <c r="A525" s="337">
        <v>470</v>
      </c>
      <c r="B525" s="281">
        <f t="shared" si="30"/>
        <v>15295.988229799541</v>
      </c>
      <c r="C525" s="281">
        <f t="shared" si="31"/>
        <v>516.07291016742545</v>
      </c>
      <c r="D525" s="281">
        <f t="shared" si="32"/>
        <v>14779.915319632115</v>
      </c>
      <c r="E525" s="281">
        <f t="shared" si="33"/>
        <v>150363.41593394399</v>
      </c>
      <c r="F525" s="280"/>
      <c r="G525" s="275"/>
      <c r="H525" s="269"/>
      <c r="I525" s="275"/>
    </row>
    <row r="526" spans="1:9">
      <c r="A526" s="337">
        <v>471</v>
      </c>
      <c r="B526" s="281">
        <f t="shared" si="30"/>
        <v>15295.988229799541</v>
      </c>
      <c r="C526" s="281">
        <f t="shared" si="31"/>
        <v>469.88567479357511</v>
      </c>
      <c r="D526" s="281">
        <f t="shared" si="32"/>
        <v>14826.102555005966</v>
      </c>
      <c r="E526" s="281">
        <f t="shared" si="33"/>
        <v>135537.31337893804</v>
      </c>
      <c r="F526" s="280"/>
      <c r="G526" s="275"/>
      <c r="H526" s="269"/>
      <c r="I526" s="275"/>
    </row>
    <row r="527" spans="1:9">
      <c r="A527" s="337">
        <v>472</v>
      </c>
      <c r="B527" s="281">
        <f t="shared" si="30"/>
        <v>15295.988229799541</v>
      </c>
      <c r="C527" s="281">
        <f t="shared" si="31"/>
        <v>423.55410430918141</v>
      </c>
      <c r="D527" s="281">
        <f t="shared" si="32"/>
        <v>14872.434125490359</v>
      </c>
      <c r="E527" s="281">
        <f t="shared" si="33"/>
        <v>120664.87925344768</v>
      </c>
      <c r="F527" s="280"/>
      <c r="G527" s="275"/>
      <c r="H527" s="269"/>
      <c r="I527" s="275"/>
    </row>
    <row r="528" spans="1:9">
      <c r="A528" s="337">
        <v>473</v>
      </c>
      <c r="B528" s="281">
        <f t="shared" si="30"/>
        <v>15295.988229799541</v>
      </c>
      <c r="C528" s="281">
        <f t="shared" si="31"/>
        <v>377.07774766702408</v>
      </c>
      <c r="D528" s="281">
        <f t="shared" si="32"/>
        <v>14918.910482132516</v>
      </c>
      <c r="E528" s="281">
        <f t="shared" si="33"/>
        <v>105745.96877131517</v>
      </c>
      <c r="F528" s="280"/>
      <c r="G528" s="275"/>
      <c r="H528" s="269"/>
      <c r="I528" s="275"/>
    </row>
    <row r="529" spans="1:9">
      <c r="A529" s="337">
        <v>474</v>
      </c>
      <c r="B529" s="281">
        <f t="shared" si="30"/>
        <v>15295.988229799541</v>
      </c>
      <c r="C529" s="281">
        <f t="shared" si="31"/>
        <v>330.45615241035995</v>
      </c>
      <c r="D529" s="281">
        <f t="shared" si="32"/>
        <v>14965.532077389182</v>
      </c>
      <c r="E529" s="281">
        <f t="shared" si="33"/>
        <v>90780.436693925978</v>
      </c>
      <c r="F529" s="280"/>
      <c r="G529" s="275"/>
      <c r="H529" s="269"/>
      <c r="I529" s="275"/>
    </row>
    <row r="530" spans="1:9">
      <c r="A530" s="337">
        <v>475</v>
      </c>
      <c r="B530" s="281">
        <f t="shared" si="30"/>
        <v>15295.988229799541</v>
      </c>
      <c r="C530" s="281">
        <f t="shared" si="31"/>
        <v>283.68886466851876</v>
      </c>
      <c r="D530" s="281">
        <f t="shared" si="32"/>
        <v>15012.299365131023</v>
      </c>
      <c r="E530" s="281">
        <f t="shared" si="33"/>
        <v>75768.137328794954</v>
      </c>
      <c r="F530" s="280"/>
      <c r="G530" s="275"/>
      <c r="H530" s="269"/>
      <c r="I530" s="275"/>
    </row>
    <row r="531" spans="1:9">
      <c r="A531" s="337">
        <v>476</v>
      </c>
      <c r="B531" s="281">
        <f t="shared" si="30"/>
        <v>15295.988229799541</v>
      </c>
      <c r="C531" s="281">
        <f t="shared" si="31"/>
        <v>236.77542915248429</v>
      </c>
      <c r="D531" s="281">
        <f t="shared" si="32"/>
        <v>15059.212800647058</v>
      </c>
      <c r="E531" s="281">
        <f t="shared" si="33"/>
        <v>60708.924528147894</v>
      </c>
      <c r="F531" s="280"/>
      <c r="G531" s="275"/>
      <c r="H531" s="269"/>
      <c r="I531" s="275"/>
    </row>
    <row r="532" spans="1:9">
      <c r="A532" s="337">
        <v>477</v>
      </c>
      <c r="B532" s="281">
        <f t="shared" si="30"/>
        <v>15295.988229799541</v>
      </c>
      <c r="C532" s="281">
        <f t="shared" si="31"/>
        <v>189.71538915046222</v>
      </c>
      <c r="D532" s="281">
        <f t="shared" si="32"/>
        <v>15106.272840649079</v>
      </c>
      <c r="E532" s="281">
        <f t="shared" si="33"/>
        <v>45602.651687498816</v>
      </c>
      <c r="F532" s="280"/>
      <c r="G532" s="275"/>
      <c r="H532" s="269"/>
      <c r="I532" s="275"/>
    </row>
    <row r="533" spans="1:9">
      <c r="A533" s="337">
        <v>478</v>
      </c>
      <c r="B533" s="281">
        <f t="shared" si="30"/>
        <v>15295.988229799541</v>
      </c>
      <c r="C533" s="281">
        <f t="shared" si="31"/>
        <v>142.50828652343384</v>
      </c>
      <c r="D533" s="281">
        <f t="shared" si="32"/>
        <v>15153.479943276106</v>
      </c>
      <c r="E533" s="281">
        <f t="shared" si="33"/>
        <v>30449.171744222709</v>
      </c>
      <c r="F533" s="280"/>
      <c r="G533" s="275"/>
      <c r="H533" s="269"/>
      <c r="I533" s="275"/>
    </row>
    <row r="534" spans="1:9">
      <c r="A534" s="337">
        <v>479</v>
      </c>
      <c r="B534" s="281">
        <f t="shared" si="30"/>
        <v>15295.988229799541</v>
      </c>
      <c r="C534" s="281">
        <f t="shared" si="31"/>
        <v>95.153661700695977</v>
      </c>
      <c r="D534" s="281">
        <f t="shared" si="32"/>
        <v>15200.834568098844</v>
      </c>
      <c r="E534" s="281">
        <f t="shared" si="33"/>
        <v>15248.337176123865</v>
      </c>
      <c r="F534" s="280"/>
      <c r="G534" s="275"/>
      <c r="H534" s="269"/>
      <c r="I534" s="275"/>
    </row>
    <row r="535" spans="1:9">
      <c r="A535" s="337">
        <v>480</v>
      </c>
      <c r="B535" s="281">
        <f t="shared" si="30"/>
        <v>15295.988229799541</v>
      </c>
      <c r="C535" s="281">
        <f t="shared" si="31"/>
        <v>47.651053675387089</v>
      </c>
      <c r="D535" s="281">
        <f t="shared" si="32"/>
        <v>15248.337176124154</v>
      </c>
      <c r="E535" s="281">
        <f t="shared" si="33"/>
        <v>-2.8921931516379118E-10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2012-028 Veranda at Groveway, Roswell, Fulton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2012-028 Veranda at Groveway, Roswell, Fulton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3863</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22">
        <v>9000</v>
      </c>
      <c r="H8" s="1423"/>
      <c r="J8" s="1422">
        <v>9000</v>
      </c>
      <c r="K8" s="1423"/>
      <c r="L8" s="843"/>
      <c r="M8" s="1422"/>
      <c r="N8" s="1423"/>
      <c r="P8" s="1422"/>
      <c r="Q8" s="1423"/>
      <c r="S8" s="1422"/>
      <c r="T8" s="1423"/>
      <c r="V8" s="1452"/>
      <c r="W8" s="1453"/>
    </row>
    <row r="9" spans="1:23" s="449" customFormat="1" ht="12.6" customHeight="1">
      <c r="B9" s="449" t="s">
        <v>631</v>
      </c>
      <c r="G9" s="1422">
        <v>9900</v>
      </c>
      <c r="H9" s="1423"/>
      <c r="J9" s="1422">
        <v>9900</v>
      </c>
      <c r="K9" s="1423"/>
      <c r="L9" s="843"/>
      <c r="M9" s="1422"/>
      <c r="N9" s="1423"/>
      <c r="P9" s="1422"/>
      <c r="Q9" s="1423"/>
      <c r="S9" s="1422"/>
      <c r="T9" s="1423"/>
      <c r="V9" s="1454"/>
      <c r="W9" s="1455"/>
    </row>
    <row r="10" spans="1:23" s="449" customFormat="1" ht="12.6" customHeight="1">
      <c r="B10" s="449" t="s">
        <v>674</v>
      </c>
      <c r="G10" s="1422">
        <v>8000</v>
      </c>
      <c r="H10" s="1423"/>
      <c r="J10" s="1422">
        <v>8000</v>
      </c>
      <c r="K10" s="1423"/>
      <c r="L10" s="843"/>
      <c r="M10" s="1422"/>
      <c r="N10" s="1423"/>
      <c r="P10" s="1422"/>
      <c r="Q10" s="1423"/>
      <c r="S10" s="1422"/>
      <c r="T10" s="1423"/>
      <c r="V10" s="1454"/>
      <c r="W10" s="1455"/>
    </row>
    <row r="11" spans="1:23" s="449" customFormat="1" ht="12.6" customHeight="1">
      <c r="B11" s="449" t="s">
        <v>675</v>
      </c>
      <c r="G11" s="1422">
        <v>15000</v>
      </c>
      <c r="H11" s="1423"/>
      <c r="J11" s="1422">
        <v>15000</v>
      </c>
      <c r="K11" s="1423"/>
      <c r="L11" s="843"/>
      <c r="M11" s="1422"/>
      <c r="N11" s="1423"/>
      <c r="P11" s="1422"/>
      <c r="Q11" s="1423"/>
      <c r="S11" s="1422"/>
      <c r="T11" s="1423"/>
      <c r="V11" s="1454"/>
      <c r="W11" s="1455"/>
    </row>
    <row r="12" spans="1:23" s="449" customFormat="1" ht="12.6" customHeight="1">
      <c r="B12" s="449" t="s">
        <v>3505</v>
      </c>
      <c r="G12" s="1422">
        <v>15000</v>
      </c>
      <c r="H12" s="1423"/>
      <c r="J12" s="1422">
        <v>15000</v>
      </c>
      <c r="K12" s="1423"/>
      <c r="L12" s="843"/>
      <c r="M12" s="1422"/>
      <c r="N12" s="1423"/>
      <c r="P12" s="1422"/>
      <c r="Q12" s="1423"/>
      <c r="S12" s="1422"/>
      <c r="T12" s="1423"/>
      <c r="V12" s="1454"/>
      <c r="W12" s="1455"/>
    </row>
    <row r="13" spans="1:23" s="449" customFormat="1" ht="12.6" customHeight="1">
      <c r="B13" s="449" t="s">
        <v>229</v>
      </c>
      <c r="G13" s="1422"/>
      <c r="H13" s="1423"/>
      <c r="J13" s="1422"/>
      <c r="K13" s="1423"/>
      <c r="L13" s="843"/>
      <c r="M13" s="1422"/>
      <c r="N13" s="1423"/>
      <c r="P13" s="1422"/>
      <c r="Q13" s="1423"/>
      <c r="S13" s="1422"/>
      <c r="T13" s="1423"/>
      <c r="V13" s="1454"/>
      <c r="W13" s="1455"/>
    </row>
    <row r="14" spans="1:23" s="449" customFormat="1" ht="12.6" customHeight="1">
      <c r="A14" s="548" t="str">
        <f>IF(AND(G14&gt;0,OR(C14="",C14="&lt;Enter detailed description here; use Comments section if needed&gt;")),"X","")</f>
        <v/>
      </c>
      <c r="B14" s="449" t="s">
        <v>1137</v>
      </c>
      <c r="C14" s="1298"/>
      <c r="D14" s="1298"/>
      <c r="E14" s="1298"/>
      <c r="F14" s="1299"/>
      <c r="G14" s="1422"/>
      <c r="H14" s="1423"/>
      <c r="J14" s="1422"/>
      <c r="K14" s="1423"/>
      <c r="L14" s="843"/>
      <c r="M14" s="1422"/>
      <c r="N14" s="1423"/>
      <c r="P14" s="1422"/>
      <c r="Q14" s="1423"/>
      <c r="S14" s="1422"/>
      <c r="T14" s="1423"/>
      <c r="U14" s="547" t="str">
        <f>IF(AND(G14&gt;0,OR(C14="",C14="&lt;Enter detailed description here; use Comments section if needed&gt;")),"NO DESCRIPTION PROVIDED - please enter detailed description in Other box at left; use Comments section below if needed.","")</f>
        <v/>
      </c>
      <c r="V14" s="1454"/>
      <c r="W14" s="1455"/>
    </row>
    <row r="15" spans="1:23" s="449" customFormat="1" ht="12.6" customHeight="1">
      <c r="A15" s="548" t="str">
        <f>IF(AND(G15&gt;0,OR(C15="",C15="&lt;Enter detailed description here; use Comments section if needed&gt;")),"X","")</f>
        <v/>
      </c>
      <c r="B15" s="449" t="s">
        <v>1137</v>
      </c>
      <c r="C15" s="1298"/>
      <c r="D15" s="1298"/>
      <c r="E15" s="1298"/>
      <c r="F15" s="1299"/>
      <c r="G15" s="1422"/>
      <c r="H15" s="1423"/>
      <c r="J15" s="1422"/>
      <c r="K15" s="1423"/>
      <c r="L15" s="843"/>
      <c r="M15" s="1422"/>
      <c r="N15" s="1423"/>
      <c r="P15" s="1422"/>
      <c r="Q15" s="1423"/>
      <c r="S15" s="1422"/>
      <c r="T15" s="1423"/>
      <c r="U15" s="547" t="str">
        <f>IF(AND(G15&gt;0,OR(C15="",C15="&lt;Enter detailed description here; use Comments section if needed&gt;")),"NO DESCRIPTION PROVIDED - please enter detailed description in Other box at left; use Comments section below if needed.","")</f>
        <v/>
      </c>
      <c r="V15" s="1454"/>
      <c r="W15" s="1455"/>
    </row>
    <row r="16" spans="1:23" s="449" customFormat="1" ht="12.6" customHeight="1" thickBot="1">
      <c r="A16" s="548" t="str">
        <f>IF(AND(G16&gt;0,OR(C16="",C16="&lt;Enter detailed description here; use Comments section if needed&gt;")),"X","")</f>
        <v/>
      </c>
      <c r="B16" s="449" t="s">
        <v>1137</v>
      </c>
      <c r="C16" s="1298"/>
      <c r="D16" s="1298"/>
      <c r="E16" s="1298"/>
      <c r="F16" s="1299"/>
      <c r="G16" s="1422"/>
      <c r="H16" s="1423"/>
      <c r="J16" s="1456"/>
      <c r="K16" s="1457"/>
      <c r="L16" s="843"/>
      <c r="M16" s="1422"/>
      <c r="N16" s="1423"/>
      <c r="P16" s="1422"/>
      <c r="Q16" s="1423"/>
      <c r="S16" s="1456"/>
      <c r="T16" s="1457"/>
      <c r="U16" s="547" t="str">
        <f>IF(AND(G16&gt;0,OR(C16="",C16="&lt;Enter detailed description here; use Comments section if needed&gt;")),"NO DESCRIPTION PROVIDED - please enter detailed description in Other box at left; use Comments section below if needed.","")</f>
        <v/>
      </c>
      <c r="V16" s="1454"/>
      <c r="W16" s="1455"/>
    </row>
    <row r="17" spans="2:23" s="449" customFormat="1" ht="12.6" customHeight="1" thickTop="1">
      <c r="F17" s="513" t="s">
        <v>230</v>
      </c>
      <c r="G17" s="1015">
        <f>SUM(G8:H16)</f>
        <v>56900</v>
      </c>
      <c r="H17" s="1016"/>
      <c r="J17" s="1015">
        <f>SUM(J8:K16)</f>
        <v>56900</v>
      </c>
      <c r="K17" s="1028"/>
      <c r="L17" s="843"/>
      <c r="M17" s="1015">
        <f>SUM(M8:N16)</f>
        <v>0</v>
      </c>
      <c r="N17" s="1016"/>
      <c r="P17" s="1015">
        <f>SUM(P8:Q16)</f>
        <v>0</v>
      </c>
      <c r="Q17" s="1016"/>
      <c r="S17" s="1015">
        <f>SUM(S8:T16)</f>
        <v>0</v>
      </c>
      <c r="T17" s="1016"/>
      <c r="V17" s="1458"/>
      <c r="W17" s="1459"/>
    </row>
    <row r="18" spans="2:23" s="449" customFormat="1" ht="13.15" customHeight="1">
      <c r="B18" s="452" t="s">
        <v>3091</v>
      </c>
      <c r="J18" s="512"/>
      <c r="K18" s="512"/>
      <c r="M18" s="512"/>
      <c r="N18" s="512"/>
      <c r="O18" s="514" t="str">
        <f>B18</f>
        <v>ACQUISITION</v>
      </c>
      <c r="P18" s="512"/>
      <c r="Q18" s="512"/>
      <c r="S18" s="512"/>
      <c r="T18" s="512"/>
      <c r="V18" s="449" t="str">
        <f>B18</f>
        <v>ACQUISITION</v>
      </c>
    </row>
    <row r="19" spans="2:23" s="449" customFormat="1" ht="12.6" customHeight="1">
      <c r="B19" s="449" t="s">
        <v>3092</v>
      </c>
      <c r="G19" s="1422"/>
      <c r="H19" s="1423"/>
      <c r="J19" s="515"/>
      <c r="K19" s="512"/>
      <c r="L19" s="515"/>
      <c r="M19" s="515"/>
      <c r="N19" s="512"/>
      <c r="P19" s="515"/>
      <c r="Q19" s="512"/>
      <c r="S19" s="1422"/>
      <c r="T19" s="1423"/>
      <c r="V19" s="1452"/>
      <c r="W19" s="1453"/>
    </row>
    <row r="20" spans="2:23" s="449" customFormat="1" ht="12.6" customHeight="1">
      <c r="B20" s="449" t="s">
        <v>1632</v>
      </c>
      <c r="G20" s="1422"/>
      <c r="H20" s="1423"/>
      <c r="J20" s="515"/>
      <c r="K20" s="512"/>
      <c r="L20" s="515"/>
      <c r="M20" s="515"/>
      <c r="N20" s="512"/>
      <c r="P20" s="515"/>
      <c r="Q20" s="512"/>
      <c r="S20" s="1422"/>
      <c r="T20" s="1423"/>
      <c r="V20" s="1454"/>
      <c r="W20" s="1455"/>
    </row>
    <row r="21" spans="2:23" s="449" customFormat="1" ht="12.6" customHeight="1">
      <c r="B21" s="449" t="s">
        <v>632</v>
      </c>
      <c r="G21" s="1422"/>
      <c r="H21" s="1423"/>
      <c r="J21" s="515"/>
      <c r="K21" s="512"/>
      <c r="L21" s="515"/>
      <c r="M21" s="1422"/>
      <c r="N21" s="1423"/>
      <c r="P21" s="515"/>
      <c r="Q21" s="512"/>
      <c r="S21" s="1422"/>
      <c r="T21" s="1423"/>
      <c r="V21" s="1454"/>
      <c r="W21" s="1455"/>
    </row>
    <row r="22" spans="2:23" s="449" customFormat="1" ht="12.6" customHeight="1" thickBot="1">
      <c r="B22" s="449" t="s">
        <v>598</v>
      </c>
      <c r="G22" s="1460"/>
      <c r="H22" s="1461"/>
      <c r="J22" s="515"/>
      <c r="K22" s="512"/>
      <c r="L22" s="515"/>
      <c r="M22" s="1460"/>
      <c r="N22" s="1461"/>
      <c r="P22" s="515"/>
      <c r="Q22" s="512"/>
      <c r="S22" s="1422"/>
      <c r="T22" s="1423"/>
      <c r="V22" s="1454"/>
      <c r="W22" s="1455"/>
    </row>
    <row r="23" spans="2:23" s="449" customFormat="1" ht="12.6" customHeight="1" thickTop="1">
      <c r="F23" s="513" t="s">
        <v>230</v>
      </c>
      <c r="G23" s="1015">
        <f>SUM(G19:H22)</f>
        <v>0</v>
      </c>
      <c r="H23" s="1016"/>
      <c r="J23" s="515"/>
      <c r="K23" s="512"/>
      <c r="L23" s="515"/>
      <c r="M23" s="1015">
        <f>SUM(M21:N22)</f>
        <v>0</v>
      </c>
      <c r="N23" s="1016"/>
      <c r="P23" s="515"/>
      <c r="Q23" s="512"/>
      <c r="S23" s="1015">
        <f>SUM(S19:T22)</f>
        <v>0</v>
      </c>
      <c r="T23" s="1016"/>
      <c r="V23" s="1458"/>
      <c r="W23" s="1459"/>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22">
        <v>849293</v>
      </c>
      <c r="H25" s="1423"/>
      <c r="J25" s="1462">
        <v>679434.4</v>
      </c>
      <c r="K25" s="1457"/>
      <c r="L25" s="843"/>
      <c r="M25" s="1456"/>
      <c r="N25" s="1457"/>
      <c r="P25" s="1456"/>
      <c r="Q25" s="1457"/>
      <c r="S25" s="1422">
        <v>169858.59999999998</v>
      </c>
      <c r="T25" s="1423"/>
      <c r="V25" s="1452"/>
      <c r="W25" s="1453"/>
    </row>
    <row r="26" spans="2:23" s="449" customFormat="1" ht="12.6" customHeight="1" thickBot="1">
      <c r="B26" s="449" t="s">
        <v>1635</v>
      </c>
      <c r="G26" s="1422"/>
      <c r="H26" s="1423"/>
      <c r="J26" s="1456"/>
      <c r="K26" s="1457"/>
      <c r="L26" s="516"/>
      <c r="M26" s="1029"/>
      <c r="N26" s="1029"/>
      <c r="P26" s="1029"/>
      <c r="Q26" s="1029"/>
      <c r="S26" s="1422"/>
      <c r="T26" s="1423"/>
      <c r="V26" s="1454"/>
      <c r="W26" s="1455"/>
    </row>
    <row r="27" spans="2:23" s="449" customFormat="1" ht="12.6" customHeight="1" thickTop="1">
      <c r="F27" s="513" t="s">
        <v>230</v>
      </c>
      <c r="G27" s="1015">
        <f>SUM(G25:H26)</f>
        <v>849293</v>
      </c>
      <c r="H27" s="1016"/>
      <c r="J27" s="1015">
        <f>SUM(J25:K26)</f>
        <v>679434.4</v>
      </c>
      <c r="K27" s="1016"/>
      <c r="L27" s="515"/>
      <c r="M27" s="1015">
        <f>M25</f>
        <v>0</v>
      </c>
      <c r="N27" s="1016"/>
      <c r="P27" s="1015">
        <f>P25</f>
        <v>0</v>
      </c>
      <c r="Q27" s="1016"/>
      <c r="S27" s="1015">
        <f>SUM(S25:T26)</f>
        <v>169858.59999999998</v>
      </c>
      <c r="T27" s="1016"/>
      <c r="V27" s="1458"/>
      <c r="W27" s="1459"/>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22">
        <v>6728608</v>
      </c>
      <c r="H29" s="1423"/>
      <c r="J29" s="1422">
        <v>6728608</v>
      </c>
      <c r="K29" s="1423"/>
      <c r="L29" s="843"/>
      <c r="M29" s="1422"/>
      <c r="N29" s="1423"/>
      <c r="P29" s="1422"/>
      <c r="Q29" s="1423"/>
      <c r="S29" s="1422"/>
      <c r="T29" s="1423"/>
      <c r="V29" s="1452"/>
      <c r="W29" s="1453"/>
    </row>
    <row r="30" spans="2:23" s="449" customFormat="1" ht="12.6" customHeight="1">
      <c r="B30" s="449" t="s">
        <v>1638</v>
      </c>
      <c r="G30" s="1422"/>
      <c r="H30" s="1423"/>
      <c r="J30" s="1422"/>
      <c r="K30" s="1423"/>
      <c r="L30" s="843"/>
      <c r="M30" s="1422"/>
      <c r="N30" s="1423"/>
      <c r="P30" s="1422"/>
      <c r="Q30" s="1423"/>
      <c r="S30" s="1422"/>
      <c r="T30" s="1423"/>
      <c r="V30" s="1454"/>
      <c r="W30" s="1455"/>
    </row>
    <row r="31" spans="2:23" ht="12.6" customHeight="1" thickBot="1">
      <c r="B31" s="449" t="s">
        <v>1639</v>
      </c>
      <c r="G31" s="1422"/>
      <c r="H31" s="1423"/>
      <c r="I31" s="449"/>
      <c r="J31" s="1422"/>
      <c r="K31" s="1423"/>
      <c r="L31" s="843"/>
      <c r="M31" s="1422"/>
      <c r="N31" s="1423"/>
      <c r="O31" s="449"/>
      <c r="P31" s="1422"/>
      <c r="Q31" s="1423"/>
      <c r="R31" s="449"/>
      <c r="S31" s="1422"/>
      <c r="T31" s="1423"/>
      <c r="V31" s="1454"/>
      <c r="W31" s="1455"/>
    </row>
    <row r="32" spans="2:23" s="449" customFormat="1" ht="12.6" customHeight="1" thickTop="1">
      <c r="C32" s="1022"/>
      <c r="D32" s="1022"/>
      <c r="E32" s="845"/>
      <c r="F32" s="513" t="s">
        <v>230</v>
      </c>
      <c r="G32" s="1015">
        <f>SUM(G29:H31)</f>
        <v>6728608</v>
      </c>
      <c r="H32" s="1016"/>
      <c r="J32" s="1015">
        <f>SUM(J29:K31)</f>
        <v>6728608</v>
      </c>
      <c r="K32" s="1016"/>
      <c r="L32" s="843"/>
      <c r="M32" s="1015">
        <f>SUM(M29:N31)</f>
        <v>0</v>
      </c>
      <c r="N32" s="1016"/>
      <c r="P32" s="1015">
        <f>SUM(P29:Q31)</f>
        <v>0</v>
      </c>
      <c r="Q32" s="1016"/>
      <c r="S32" s="1015">
        <f>SUM(S29:T31)</f>
        <v>0</v>
      </c>
      <c r="T32" s="1016"/>
      <c r="V32" s="1458"/>
      <c r="W32" s="1459"/>
    </row>
    <row r="33" spans="1:23" s="449" customFormat="1" ht="13.15" customHeight="1">
      <c r="B33" s="452" t="s">
        <v>3266</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3267</v>
      </c>
      <c r="E34" s="517">
        <f>'DCA Underwriting Assumptions'!$R$38</f>
        <v>0.06</v>
      </c>
      <c r="F34" s="605">
        <f>E34*($G$27+$G$32)</f>
        <v>454674.06</v>
      </c>
      <c r="G34" s="1422">
        <v>454674</v>
      </c>
      <c r="H34" s="1423"/>
      <c r="I34" s="472"/>
      <c r="J34" s="1422">
        <v>454674</v>
      </c>
      <c r="K34" s="1423"/>
      <c r="L34" s="843"/>
      <c r="M34" s="1422"/>
      <c r="N34" s="1423"/>
      <c r="P34" s="1422"/>
      <c r="Q34" s="1423"/>
      <c r="S34" s="1422"/>
      <c r="T34" s="1423"/>
      <c r="V34" s="1452"/>
      <c r="W34" s="1453"/>
    </row>
    <row r="35" spans="1:23" s="449" customFormat="1" ht="12.6" customHeight="1" thickBot="1">
      <c r="B35" s="449" t="s">
        <v>2923</v>
      </c>
      <c r="E35" s="604">
        <f>'DCA Underwriting Assumptions'!$R$39+'DCA Underwriting Assumptions'!$R$40</f>
        <v>0.08</v>
      </c>
      <c r="F35" s="605">
        <f>E35*($G$27+$G$32)</f>
        <v>606232.07999999996</v>
      </c>
      <c r="G35" s="1422">
        <v>606232</v>
      </c>
      <c r="H35" s="1423"/>
      <c r="I35" s="472"/>
      <c r="J35" s="1422">
        <v>606232</v>
      </c>
      <c r="K35" s="1423"/>
      <c r="L35" s="843"/>
      <c r="M35" s="1422"/>
      <c r="N35" s="1423"/>
      <c r="P35" s="1422"/>
      <c r="Q35" s="1423"/>
      <c r="S35" s="1422"/>
      <c r="T35" s="1423"/>
      <c r="V35" s="1454"/>
      <c r="W35" s="1455"/>
    </row>
    <row r="36" spans="1:23" s="449" customFormat="1" ht="12.6" customHeight="1" thickTop="1">
      <c r="B36" s="449" t="s">
        <v>2924</v>
      </c>
      <c r="D36" s="520"/>
      <c r="E36" s="833"/>
      <c r="F36" s="606" t="s">
        <v>230</v>
      </c>
      <c r="G36" s="1015">
        <f>SUM(G34:H35)</f>
        <v>1060906</v>
      </c>
      <c r="H36" s="1016"/>
      <c r="J36" s="1015">
        <f>SUM(J34:K35)</f>
        <v>1060906</v>
      </c>
      <c r="K36" s="1016"/>
      <c r="L36" s="515"/>
      <c r="M36" s="1015">
        <f>SUM(M34:N35)</f>
        <v>0</v>
      </c>
      <c r="N36" s="1016"/>
      <c r="P36" s="1015">
        <f>SUM(P34:Q35)</f>
        <v>0</v>
      </c>
      <c r="Q36" s="1016"/>
      <c r="S36" s="1015">
        <f>SUM(S34:T35)</f>
        <v>0</v>
      </c>
      <c r="T36" s="1016"/>
      <c r="V36" s="1458"/>
      <c r="W36" s="1459"/>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86388.07</v>
      </c>
      <c r="E38" s="523"/>
      <c r="F38" s="524" t="s">
        <v>1974</v>
      </c>
      <c r="V38" s="1452"/>
      <c r="W38" s="1453"/>
    </row>
    <row r="39" spans="1:23" s="449" customFormat="1" ht="12.6" customHeight="1">
      <c r="B39" s="1030">
        <f>G27+G32+G36</f>
        <v>8638807</v>
      </c>
      <c r="C39" s="1031"/>
      <c r="D39" s="525">
        <f>B39/'Part VI-Revenues &amp; Expenses'!$M$100</f>
        <v>107.18122828784119</v>
      </c>
      <c r="E39" s="525"/>
      <c r="F39" s="526" t="s">
        <v>1242</v>
      </c>
      <c r="J39" s="512"/>
      <c r="K39" s="512"/>
      <c r="L39" s="527"/>
      <c r="M39" s="512"/>
      <c r="N39" s="843"/>
      <c r="P39" s="512"/>
      <c r="Q39" s="843"/>
      <c r="S39" s="512"/>
      <c r="T39" s="843"/>
      <c r="V39" s="1458"/>
      <c r="W39" s="1459"/>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4.9999959485146503E-2</v>
      </c>
      <c r="G42" s="1422">
        <v>431940</v>
      </c>
      <c r="H42" s="1423"/>
      <c r="I42" s="449"/>
      <c r="J42" s="1422">
        <v>431940</v>
      </c>
      <c r="K42" s="1423"/>
      <c r="L42" s="843"/>
      <c r="M42" s="1422"/>
      <c r="N42" s="1423"/>
      <c r="O42" s="449"/>
      <c r="P42" s="1422"/>
      <c r="Q42" s="1423"/>
      <c r="R42" s="449"/>
      <c r="S42" s="1422"/>
      <c r="T42" s="1423"/>
      <c r="V42" s="1463"/>
      <c r="W42" s="1464"/>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3863</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3269</v>
      </c>
      <c r="G48" s="1422">
        <v>52000</v>
      </c>
      <c r="H48" s="1423"/>
      <c r="J48" s="1422">
        <v>2627</v>
      </c>
      <c r="K48" s="1423"/>
      <c r="L48" s="843"/>
      <c r="M48" s="1422"/>
      <c r="N48" s="1423"/>
      <c r="P48" s="1422"/>
      <c r="Q48" s="1423"/>
      <c r="S48" s="1422">
        <v>49373</v>
      </c>
      <c r="T48" s="1423"/>
      <c r="V48" s="1452"/>
      <c r="W48" s="1453"/>
    </row>
    <row r="49" spans="1:23" s="449" customFormat="1" ht="12" customHeight="1">
      <c r="B49" s="449" t="s">
        <v>3270</v>
      </c>
      <c r="G49" s="1422">
        <v>106875</v>
      </c>
      <c r="H49" s="1423"/>
      <c r="J49" s="1422">
        <v>77188</v>
      </c>
      <c r="K49" s="1423"/>
      <c r="L49" s="843"/>
      <c r="M49" s="1422"/>
      <c r="N49" s="1423"/>
      <c r="P49" s="1422"/>
      <c r="Q49" s="1423"/>
      <c r="S49" s="1422">
        <v>29687</v>
      </c>
      <c r="T49" s="1423"/>
      <c r="V49" s="1454"/>
      <c r="W49" s="1455"/>
    </row>
    <row r="50" spans="1:23" s="449" customFormat="1" ht="12" customHeight="1">
      <c r="B50" s="449" t="s">
        <v>3271</v>
      </c>
      <c r="G50" s="1422"/>
      <c r="H50" s="1423"/>
      <c r="J50" s="1422"/>
      <c r="K50" s="1423"/>
      <c r="L50" s="843"/>
      <c r="M50" s="1422"/>
      <c r="N50" s="1423"/>
      <c r="P50" s="1422"/>
      <c r="Q50" s="1423"/>
      <c r="S50" s="1422"/>
      <c r="T50" s="1423"/>
      <c r="V50" s="1454"/>
      <c r="W50" s="1455"/>
    </row>
    <row r="51" spans="1:23" s="449" customFormat="1" ht="12" customHeight="1">
      <c r="B51" s="449" t="s">
        <v>3932</v>
      </c>
      <c r="G51" s="1422"/>
      <c r="H51" s="1423"/>
      <c r="J51" s="1422"/>
      <c r="K51" s="1423"/>
      <c r="L51" s="843"/>
      <c r="M51" s="1422"/>
      <c r="N51" s="1423"/>
      <c r="P51" s="1422"/>
      <c r="Q51" s="1423"/>
      <c r="S51" s="1422"/>
      <c r="T51" s="1423"/>
      <c r="V51" s="1454"/>
      <c r="W51" s="1455"/>
    </row>
    <row r="52" spans="1:23" s="449" customFormat="1" ht="12" customHeight="1">
      <c r="B52" s="449" t="s">
        <v>1004</v>
      </c>
      <c r="G52" s="1422"/>
      <c r="H52" s="1423"/>
      <c r="J52" s="1422"/>
      <c r="K52" s="1423"/>
      <c r="L52" s="843"/>
      <c r="M52" s="1422"/>
      <c r="N52" s="1423"/>
      <c r="P52" s="1422"/>
      <c r="Q52" s="1423"/>
      <c r="S52" s="1422"/>
      <c r="T52" s="1423"/>
      <c r="V52" s="1454"/>
      <c r="W52" s="1455"/>
    </row>
    <row r="53" spans="1:23" s="449" customFormat="1" ht="12" customHeight="1">
      <c r="B53" s="449" t="s">
        <v>3272</v>
      </c>
      <c r="G53" s="1422">
        <v>30000</v>
      </c>
      <c r="H53" s="1423"/>
      <c r="J53" s="1422">
        <v>30000</v>
      </c>
      <c r="K53" s="1423"/>
      <c r="L53" s="843"/>
      <c r="M53" s="1422"/>
      <c r="N53" s="1423"/>
      <c r="P53" s="1422"/>
      <c r="Q53" s="1423"/>
      <c r="S53" s="1422"/>
      <c r="T53" s="1423"/>
      <c r="V53" s="1454"/>
      <c r="W53" s="1455"/>
    </row>
    <row r="54" spans="1:23" s="449" customFormat="1" ht="12" customHeight="1">
      <c r="B54" s="449" t="s">
        <v>345</v>
      </c>
      <c r="G54" s="1422"/>
      <c r="H54" s="1423"/>
      <c r="J54" s="1422"/>
      <c r="K54" s="1423"/>
      <c r="L54" s="843"/>
      <c r="M54" s="1422"/>
      <c r="N54" s="1423"/>
      <c r="P54" s="1422"/>
      <c r="Q54" s="1423"/>
      <c r="S54" s="1422"/>
      <c r="T54" s="1423"/>
      <c r="V54" s="1454"/>
      <c r="W54" s="1455"/>
    </row>
    <row r="55" spans="1:23" s="449" customFormat="1" ht="12" customHeight="1">
      <c r="B55" s="519" t="s">
        <v>1674</v>
      </c>
      <c r="D55" s="517"/>
      <c r="E55" s="517"/>
      <c r="F55" s="518"/>
      <c r="G55" s="1422">
        <v>55786</v>
      </c>
      <c r="H55" s="1423"/>
      <c r="I55" s="472"/>
      <c r="J55" s="1422">
        <v>55786</v>
      </c>
      <c r="K55" s="1423"/>
      <c r="L55" s="843"/>
      <c r="M55" s="1422"/>
      <c r="N55" s="1423"/>
      <c r="P55" s="1422"/>
      <c r="Q55" s="1423"/>
      <c r="S55" s="1422"/>
      <c r="T55" s="1423"/>
      <c r="V55" s="1454"/>
      <c r="W55" s="1455"/>
    </row>
    <row r="56" spans="1:23" s="449" customFormat="1" ht="12" customHeight="1" thickBot="1">
      <c r="A56" s="548" t="str">
        <f>IF(AND(G56&gt;0,OR(C56="",C56="&lt;Enter detailed description here; use Comments section if needed&gt;")),"X","")</f>
        <v/>
      </c>
      <c r="B56" s="449" t="s">
        <v>1137</v>
      </c>
      <c r="C56" s="1298" t="s">
        <v>3977</v>
      </c>
      <c r="D56" s="1298"/>
      <c r="E56" s="1298"/>
      <c r="F56" s="1299"/>
      <c r="G56" s="1460">
        <v>21880</v>
      </c>
      <c r="H56" s="1461"/>
      <c r="J56" s="1460"/>
      <c r="K56" s="1461"/>
      <c r="L56" s="843"/>
      <c r="M56" s="1460"/>
      <c r="N56" s="1461"/>
      <c r="P56" s="1460"/>
      <c r="Q56" s="1461"/>
      <c r="S56" s="1422">
        <v>21880</v>
      </c>
      <c r="T56" s="1423"/>
      <c r="U56" s="547" t="str">
        <f>IF(AND(G56&gt;0,OR(C56="",C56="&lt;Enter detailed description here; use Comments section if needed&gt;")),"NO DESCRIPTION PROVIDED - please enter detailed description in Other box at left; use Comments section below if needed.","")</f>
        <v/>
      </c>
      <c r="V56" s="1454"/>
      <c r="W56" s="1455"/>
    </row>
    <row r="57" spans="1:23" s="449" customFormat="1" ht="12" customHeight="1" thickTop="1">
      <c r="F57" s="513" t="s">
        <v>230</v>
      </c>
      <c r="G57" s="1015">
        <f>SUM(G48:H56)</f>
        <v>266541</v>
      </c>
      <c r="H57" s="1016"/>
      <c r="J57" s="1015">
        <f>SUM(J48:K56)</f>
        <v>165601</v>
      </c>
      <c r="K57" s="1016"/>
      <c r="L57" s="515"/>
      <c r="M57" s="1015">
        <f>SUM(M48:N56)</f>
        <v>0</v>
      </c>
      <c r="N57" s="1016"/>
      <c r="P57" s="1015">
        <f>SUM(P48:Q56)</f>
        <v>0</v>
      </c>
      <c r="Q57" s="1016"/>
      <c r="S57" s="1015">
        <f>SUM(S48:T56)</f>
        <v>100940</v>
      </c>
      <c r="T57" s="1016"/>
      <c r="V57" s="1458"/>
      <c r="W57" s="1459"/>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22">
        <v>195000</v>
      </c>
      <c r="H59" s="1423"/>
      <c r="J59" s="1422">
        <v>195000</v>
      </c>
      <c r="K59" s="1423"/>
      <c r="L59" s="843"/>
      <c r="M59" s="1422"/>
      <c r="N59" s="1423"/>
      <c r="P59" s="1422"/>
      <c r="Q59" s="1423"/>
      <c r="S59" s="1422"/>
      <c r="T59" s="1423"/>
      <c r="V59" s="1452"/>
      <c r="W59" s="1453"/>
    </row>
    <row r="60" spans="1:23" s="449" customFormat="1" ht="12" customHeight="1">
      <c r="B60" s="449" t="s">
        <v>663</v>
      </c>
      <c r="G60" s="1422">
        <v>55000</v>
      </c>
      <c r="H60" s="1423"/>
      <c r="J60" s="1422">
        <v>55000</v>
      </c>
      <c r="K60" s="1423"/>
      <c r="L60" s="843"/>
      <c r="M60" s="1422"/>
      <c r="N60" s="1423"/>
      <c r="P60" s="1422"/>
      <c r="Q60" s="1423"/>
      <c r="S60" s="1422"/>
      <c r="T60" s="1423"/>
      <c r="V60" s="1454"/>
      <c r="W60" s="1455"/>
    </row>
    <row r="61" spans="1:23" s="449" customFormat="1" ht="12" customHeight="1">
      <c r="B61" s="449" t="s">
        <v>1643</v>
      </c>
      <c r="G61" s="1422"/>
      <c r="H61" s="1423"/>
      <c r="J61" s="1422"/>
      <c r="K61" s="1423"/>
      <c r="L61" s="843"/>
      <c r="M61" s="1422"/>
      <c r="N61" s="1423"/>
      <c r="P61" s="1422"/>
      <c r="Q61" s="1423"/>
      <c r="S61" s="1422"/>
      <c r="T61" s="1423"/>
      <c r="V61" s="1454"/>
      <c r="W61" s="1455"/>
    </row>
    <row r="62" spans="1:23" s="449" customFormat="1" ht="12" customHeight="1">
      <c r="B62" s="449" t="s">
        <v>1644</v>
      </c>
      <c r="G62" s="1422">
        <v>25000</v>
      </c>
      <c r="H62" s="1423"/>
      <c r="J62" s="1422">
        <v>25000</v>
      </c>
      <c r="K62" s="1423"/>
      <c r="L62" s="843"/>
      <c r="M62" s="1422"/>
      <c r="N62" s="1423"/>
      <c r="P62" s="1422"/>
      <c r="Q62" s="1423"/>
      <c r="S62" s="1422"/>
      <c r="T62" s="1423"/>
      <c r="V62" s="1454"/>
      <c r="W62" s="1455"/>
    </row>
    <row r="63" spans="1:23" s="449" customFormat="1" ht="12" customHeight="1">
      <c r="B63" s="449" t="s">
        <v>1645</v>
      </c>
      <c r="G63" s="1422">
        <v>5600</v>
      </c>
      <c r="H63" s="1423"/>
      <c r="J63" s="1422">
        <v>5600</v>
      </c>
      <c r="K63" s="1423"/>
      <c r="L63" s="843"/>
      <c r="M63" s="1422"/>
      <c r="N63" s="1423"/>
      <c r="P63" s="1422"/>
      <c r="Q63" s="1423"/>
      <c r="S63" s="1422"/>
      <c r="T63" s="1423"/>
      <c r="V63" s="1454"/>
      <c r="W63" s="1455"/>
    </row>
    <row r="64" spans="1:23" s="449" customFormat="1" ht="12" customHeight="1">
      <c r="B64" s="449" t="s">
        <v>1646</v>
      </c>
      <c r="G64" s="1422">
        <v>18000</v>
      </c>
      <c r="H64" s="1423"/>
      <c r="J64" s="1422">
        <v>18000</v>
      </c>
      <c r="K64" s="1423"/>
      <c r="L64" s="843"/>
      <c r="M64" s="1422"/>
      <c r="N64" s="1423"/>
      <c r="P64" s="1422"/>
      <c r="Q64" s="1423"/>
      <c r="S64" s="1422"/>
      <c r="T64" s="1423"/>
      <c r="V64" s="1454"/>
      <c r="W64" s="1455"/>
    </row>
    <row r="65" spans="1:23" s="449" customFormat="1" ht="12" customHeight="1">
      <c r="B65" s="449" t="s">
        <v>664</v>
      </c>
      <c r="G65" s="1422">
        <v>110000</v>
      </c>
      <c r="H65" s="1423"/>
      <c r="J65" s="1422">
        <v>110000</v>
      </c>
      <c r="K65" s="1423"/>
      <c r="L65" s="843"/>
      <c r="M65" s="1422"/>
      <c r="N65" s="1423"/>
      <c r="P65" s="1422"/>
      <c r="Q65" s="1423"/>
      <c r="S65" s="1422"/>
      <c r="T65" s="1423"/>
      <c r="V65" s="1454"/>
      <c r="W65" s="1455"/>
    </row>
    <row r="66" spans="1:23" s="449" customFormat="1" ht="12" customHeight="1">
      <c r="B66" s="449" t="s">
        <v>665</v>
      </c>
      <c r="G66" s="1422">
        <v>177000</v>
      </c>
      <c r="H66" s="1423"/>
      <c r="J66" s="1422">
        <v>108333</v>
      </c>
      <c r="K66" s="1423"/>
      <c r="L66" s="843"/>
      <c r="M66" s="1422"/>
      <c r="N66" s="1423"/>
      <c r="P66" s="1422"/>
      <c r="Q66" s="1423"/>
      <c r="S66" s="1422">
        <v>68667</v>
      </c>
      <c r="T66" s="1423"/>
      <c r="V66" s="1454"/>
      <c r="W66" s="1455"/>
    </row>
    <row r="67" spans="1:23" s="449" customFormat="1" ht="12" customHeight="1">
      <c r="B67" s="449" t="s">
        <v>2934</v>
      </c>
      <c r="G67" s="1422">
        <v>27500</v>
      </c>
      <c r="H67" s="1423"/>
      <c r="J67" s="1422">
        <v>27500</v>
      </c>
      <c r="K67" s="1423"/>
      <c r="L67" s="843"/>
      <c r="M67" s="1422"/>
      <c r="N67" s="1423"/>
      <c r="P67" s="1422"/>
      <c r="Q67" s="1423"/>
      <c r="S67" s="1422"/>
      <c r="T67" s="1423"/>
      <c r="V67" s="1454"/>
      <c r="W67" s="1455"/>
    </row>
    <row r="68" spans="1:23" s="449" customFormat="1" ht="12" customHeight="1" thickBot="1">
      <c r="A68" s="548" t="str">
        <f>IF(AND(G68&gt;0,OR(C68="",C68="&lt;Enter detailed description here; use Comments section if needed&gt;")),"X","")</f>
        <v/>
      </c>
      <c r="B68" s="449" t="s">
        <v>1137</v>
      </c>
      <c r="C68" s="1298" t="s">
        <v>4087</v>
      </c>
      <c r="D68" s="1298"/>
      <c r="E68" s="1298"/>
      <c r="F68" s="1299"/>
      <c r="G68" s="1422">
        <v>12000</v>
      </c>
      <c r="H68" s="1423"/>
      <c r="J68" s="1422">
        <v>12000</v>
      </c>
      <c r="K68" s="1423"/>
      <c r="L68" s="843"/>
      <c r="M68" s="1422"/>
      <c r="N68" s="1423"/>
      <c r="P68" s="1422"/>
      <c r="Q68" s="1423"/>
      <c r="S68" s="1422"/>
      <c r="T68" s="1423"/>
      <c r="U68" s="547" t="str">
        <f>IF(AND(G68&gt;0,OR(C68="",C68="&lt;Enter detailed description here; use Comments section if needed&gt;")),"NO DESCRIPTION PROVIDED - please enter detailed description in Other box at left; use Comments section below if needed.","")</f>
        <v/>
      </c>
      <c r="V68" s="1454"/>
      <c r="W68" s="1455"/>
    </row>
    <row r="69" spans="1:23" s="449" customFormat="1" ht="12" customHeight="1" thickTop="1">
      <c r="F69" s="513" t="s">
        <v>230</v>
      </c>
      <c r="G69" s="1015">
        <f>SUM(G59:H68)</f>
        <v>625100</v>
      </c>
      <c r="H69" s="1016"/>
      <c r="J69" s="1015">
        <f>SUM(J59:K68)</f>
        <v>556433</v>
      </c>
      <c r="K69" s="1016"/>
      <c r="L69" s="515"/>
      <c r="M69" s="1015">
        <f>SUM(M59:N68)</f>
        <v>0</v>
      </c>
      <c r="N69" s="1016"/>
      <c r="P69" s="1015">
        <f>SUM(P59:Q68)</f>
        <v>0</v>
      </c>
      <c r="Q69" s="1016"/>
      <c r="S69" s="1015">
        <f>SUM(S59:T68)</f>
        <v>68667</v>
      </c>
      <c r="T69" s="1016"/>
      <c r="V69" s="1458"/>
      <c r="W69" s="1459"/>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22">
        <v>17938</v>
      </c>
      <c r="H71" s="1423"/>
      <c r="J71" s="1422">
        <v>17938</v>
      </c>
      <c r="K71" s="1423"/>
      <c r="L71" s="843"/>
      <c r="M71" s="1422"/>
      <c r="N71" s="1423"/>
      <c r="P71" s="1422"/>
      <c r="Q71" s="1423"/>
      <c r="S71" s="1422"/>
      <c r="T71" s="1423"/>
      <c r="V71" s="1465"/>
      <c r="W71" s="1466"/>
    </row>
    <row r="72" spans="1:23" s="449" customFormat="1" ht="12" customHeight="1">
      <c r="B72" s="449" t="s">
        <v>1826</v>
      </c>
      <c r="G72" s="1422">
        <v>182786</v>
      </c>
      <c r="H72" s="1423"/>
      <c r="J72" s="1422">
        <v>182786</v>
      </c>
      <c r="K72" s="1423"/>
      <c r="L72" s="843"/>
      <c r="M72" s="1422"/>
      <c r="N72" s="1423"/>
      <c r="P72" s="1422"/>
      <c r="Q72" s="1423"/>
      <c r="S72" s="1422"/>
      <c r="T72" s="1423"/>
      <c r="V72" s="1467"/>
      <c r="W72" s="1468"/>
    </row>
    <row r="73" spans="1:23" s="449" customFormat="1" ht="12" customHeight="1">
      <c r="B73" s="449" t="s">
        <v>1827</v>
      </c>
      <c r="D73" s="529" t="s">
        <v>1975</v>
      </c>
      <c r="E73" s="1469"/>
      <c r="G73" s="1422"/>
      <c r="H73" s="1423"/>
      <c r="I73" s="472"/>
      <c r="J73" s="1422"/>
      <c r="K73" s="1423"/>
      <c r="L73" s="843"/>
      <c r="M73" s="1422"/>
      <c r="N73" s="1423"/>
      <c r="P73" s="1422"/>
      <c r="Q73" s="1423"/>
      <c r="S73" s="1422"/>
      <c r="T73" s="1423"/>
      <c r="V73" s="1467"/>
      <c r="W73" s="1468"/>
    </row>
    <row r="74" spans="1:23" s="449" customFormat="1" ht="12" customHeight="1" thickBot="1">
      <c r="B74" s="449" t="s">
        <v>1828</v>
      </c>
      <c r="D74" s="529" t="s">
        <v>1975</v>
      </c>
      <c r="E74" s="1469"/>
      <c r="G74" s="1422"/>
      <c r="H74" s="1423"/>
      <c r="I74" s="472"/>
      <c r="J74" s="1422"/>
      <c r="K74" s="1423"/>
      <c r="L74" s="843"/>
      <c r="M74" s="1422"/>
      <c r="N74" s="1423"/>
      <c r="P74" s="1422"/>
      <c r="Q74" s="1423"/>
      <c r="S74" s="1422"/>
      <c r="T74" s="1423"/>
      <c r="V74" s="1467"/>
      <c r="W74" s="1468"/>
    </row>
    <row r="75" spans="1:23" s="449" customFormat="1" ht="12" customHeight="1" thickTop="1">
      <c r="F75" s="513" t="s">
        <v>230</v>
      </c>
      <c r="G75" s="1015">
        <f>SUM(G71:H74)</f>
        <v>200724</v>
      </c>
      <c r="H75" s="1016"/>
      <c r="J75" s="1015">
        <f>SUM(J71:K74)</f>
        <v>200724</v>
      </c>
      <c r="K75" s="1016"/>
      <c r="L75" s="515"/>
      <c r="M75" s="1015">
        <f>SUM(M71:N74)</f>
        <v>0</v>
      </c>
      <c r="N75" s="1016"/>
      <c r="P75" s="1015">
        <f>SUM(P71:Q74)</f>
        <v>0</v>
      </c>
      <c r="Q75" s="1016"/>
      <c r="S75" s="1015">
        <f>SUM(S71:T74)</f>
        <v>0</v>
      </c>
      <c r="T75" s="1016"/>
      <c r="V75" s="1470"/>
      <c r="W75" s="1471"/>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22">
        <v>57000</v>
      </c>
      <c r="H77" s="1423"/>
      <c r="J77" s="1009"/>
      <c r="K77" s="1009"/>
      <c r="L77" s="843"/>
      <c r="M77" s="1009"/>
      <c r="N77" s="1009"/>
      <c r="P77" s="1009"/>
      <c r="Q77" s="1009"/>
      <c r="S77" s="1422">
        <v>57000</v>
      </c>
      <c r="T77" s="1423"/>
      <c r="V77" s="1465"/>
      <c r="W77" s="1466"/>
    </row>
    <row r="78" spans="1:23" s="449" customFormat="1" ht="12" customHeight="1">
      <c r="B78" s="449" t="s">
        <v>1830</v>
      </c>
      <c r="G78" s="1422"/>
      <c r="H78" s="1423"/>
      <c r="J78" s="1027"/>
      <c r="K78" s="1027"/>
      <c r="L78" s="843"/>
      <c r="M78" s="1027"/>
      <c r="N78" s="1027"/>
      <c r="P78" s="1027"/>
      <c r="Q78" s="1027"/>
      <c r="S78" s="1422"/>
      <c r="T78" s="1423"/>
      <c r="V78" s="1467"/>
      <c r="W78" s="1468"/>
    </row>
    <row r="79" spans="1:23" s="449" customFormat="1" ht="12" customHeight="1">
      <c r="B79" s="449" t="s">
        <v>1831</v>
      </c>
      <c r="G79" s="1422">
        <v>75000</v>
      </c>
      <c r="H79" s="1423"/>
      <c r="J79" s="1422">
        <v>75000</v>
      </c>
      <c r="K79" s="1423"/>
      <c r="L79" s="843"/>
      <c r="M79" s="1422"/>
      <c r="N79" s="1423"/>
      <c r="P79" s="1422"/>
      <c r="Q79" s="1423"/>
      <c r="S79" s="1422"/>
      <c r="T79" s="1423"/>
      <c r="V79" s="1467"/>
      <c r="W79" s="1468"/>
    </row>
    <row r="80" spans="1:23" s="449" customFormat="1" ht="12" customHeight="1">
      <c r="B80" s="449" t="s">
        <v>1832</v>
      </c>
      <c r="G80" s="1422">
        <v>12500</v>
      </c>
      <c r="H80" s="1423"/>
      <c r="J80" s="1422">
        <v>12500</v>
      </c>
      <c r="K80" s="1423"/>
      <c r="L80" s="843"/>
      <c r="M80" s="1422"/>
      <c r="N80" s="1423"/>
      <c r="P80" s="1422"/>
      <c r="Q80" s="1423"/>
      <c r="S80" s="1422"/>
      <c r="T80" s="1423"/>
      <c r="V80" s="1467"/>
      <c r="W80" s="1468"/>
    </row>
    <row r="81" spans="1:23" s="449" customFormat="1" ht="12" customHeight="1">
      <c r="B81" s="449" t="s">
        <v>1833</v>
      </c>
      <c r="G81" s="1422"/>
      <c r="H81" s="1423"/>
      <c r="J81" s="1422"/>
      <c r="K81" s="1423"/>
      <c r="L81" s="843"/>
      <c r="M81" s="1422"/>
      <c r="N81" s="1423"/>
      <c r="P81" s="1422"/>
      <c r="Q81" s="1423"/>
      <c r="S81" s="1422"/>
      <c r="T81" s="1423"/>
      <c r="V81" s="1467"/>
      <c r="W81" s="1468"/>
    </row>
    <row r="82" spans="1:23" s="449" customFormat="1" ht="12" customHeight="1">
      <c r="B82" s="449" t="s">
        <v>3214</v>
      </c>
      <c r="G82" s="1422"/>
      <c r="H82" s="1423"/>
      <c r="J82" s="1422"/>
      <c r="K82" s="1423"/>
      <c r="L82" s="843"/>
      <c r="M82" s="1422"/>
      <c r="N82" s="1423"/>
      <c r="P82" s="1422"/>
      <c r="Q82" s="1423"/>
      <c r="S82" s="1422"/>
      <c r="T82" s="1423"/>
      <c r="V82" s="1467"/>
      <c r="W82" s="1468"/>
    </row>
    <row r="83" spans="1:23" s="449" customFormat="1" ht="12" customHeight="1" thickBot="1">
      <c r="A83" s="548" t="str">
        <f>IF(AND(G83&gt;0,OR(C83="",C83="&lt;Enter detailed description here; use Comments section if needed&gt;")),"X","")</f>
        <v/>
      </c>
      <c r="B83" s="449" t="s">
        <v>1137</v>
      </c>
      <c r="C83" s="1298" t="s">
        <v>4095</v>
      </c>
      <c r="D83" s="1298"/>
      <c r="E83" s="1298"/>
      <c r="F83" s="1299"/>
      <c r="G83" s="1422">
        <v>100700</v>
      </c>
      <c r="H83" s="1423"/>
      <c r="J83" s="1422">
        <v>20969</v>
      </c>
      <c r="K83" s="1423"/>
      <c r="L83" s="843"/>
      <c r="M83" s="1422"/>
      <c r="N83" s="1423"/>
      <c r="P83" s="1422"/>
      <c r="Q83" s="1423"/>
      <c r="S83" s="1422">
        <v>79731</v>
      </c>
      <c r="T83" s="1423"/>
      <c r="U83" s="547" t="str">
        <f>IF(AND(G83&gt;0,OR(C83="",C83="&lt;Enter detailed description here; use Comments section if needed&gt;")),"NO DESCRIPTION PROVIDED - please enter detailed description in Other box at left; use Comments section below if needed.","")</f>
        <v/>
      </c>
      <c r="V83" s="1467"/>
      <c r="W83" s="1468"/>
    </row>
    <row r="84" spans="1:23" s="449" customFormat="1" ht="12" customHeight="1" thickTop="1">
      <c r="F84" s="513" t="s">
        <v>230</v>
      </c>
      <c r="G84" s="1015">
        <f>SUM(G77:H83)</f>
        <v>245200</v>
      </c>
      <c r="H84" s="1016"/>
      <c r="J84" s="1015">
        <f>SUM(J79:K83)</f>
        <v>108469</v>
      </c>
      <c r="K84" s="1016"/>
      <c r="L84" s="515"/>
      <c r="M84" s="1015">
        <f>SUM(M79:N83)</f>
        <v>0</v>
      </c>
      <c r="N84" s="1016"/>
      <c r="P84" s="1015">
        <f>SUM(P79:Q83)</f>
        <v>0</v>
      </c>
      <c r="Q84" s="1016"/>
      <c r="S84" s="1015">
        <f>SUM(S77:T83)</f>
        <v>136731</v>
      </c>
      <c r="T84" s="1016"/>
      <c r="V84" s="1470"/>
      <c r="W84" s="1471"/>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3863</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22"/>
      <c r="H89" s="1423"/>
      <c r="J89" s="515"/>
      <c r="K89" s="515"/>
      <c r="L89" s="843"/>
      <c r="M89" s="515"/>
      <c r="N89" s="515"/>
      <c r="P89" s="515"/>
      <c r="Q89" s="515"/>
      <c r="S89" s="1422"/>
      <c r="T89" s="1423"/>
      <c r="V89" s="1465"/>
      <c r="W89" s="1466"/>
    </row>
    <row r="90" spans="1:23" s="449" customFormat="1" ht="12.6" customHeight="1">
      <c r="B90" s="449" t="s">
        <v>1735</v>
      </c>
      <c r="G90" s="1422">
        <v>6500</v>
      </c>
      <c r="H90" s="1423"/>
      <c r="J90" s="515"/>
      <c r="K90" s="515"/>
      <c r="L90" s="530"/>
      <c r="M90" s="515"/>
      <c r="N90" s="515"/>
      <c r="P90" s="515"/>
      <c r="Q90" s="515"/>
      <c r="S90" s="1422">
        <v>6500</v>
      </c>
      <c r="T90" s="1423"/>
      <c r="V90" s="1467"/>
      <c r="W90" s="1468"/>
    </row>
    <row r="91" spans="1:23" s="449" customFormat="1" ht="12.6" customHeight="1">
      <c r="B91" s="449" t="s">
        <v>3951</v>
      </c>
      <c r="G91" s="1422">
        <v>1000</v>
      </c>
      <c r="H91" s="1423"/>
      <c r="J91" s="515"/>
      <c r="K91" s="515"/>
      <c r="L91" s="530"/>
      <c r="M91" s="515"/>
      <c r="N91" s="515"/>
      <c r="O91" s="833"/>
      <c r="P91" s="515"/>
      <c r="Q91" s="515"/>
      <c r="S91" s="1422">
        <v>1000</v>
      </c>
      <c r="T91" s="1423"/>
      <c r="V91" s="1467"/>
      <c r="W91" s="1468"/>
    </row>
    <row r="92" spans="1:23" s="449" customFormat="1" ht="12.6" customHeight="1">
      <c r="B92" s="449" t="s">
        <v>754</v>
      </c>
      <c r="E92" s="1032">
        <f>'DCA Underwriting Assumptions'!$Q$41*$J$165</f>
        <v>57248.389451581941</v>
      </c>
      <c r="F92" s="1033"/>
      <c r="G92" s="1422">
        <v>57248</v>
      </c>
      <c r="H92" s="1423"/>
      <c r="J92" s="515"/>
      <c r="K92" s="515"/>
      <c r="L92" s="843"/>
      <c r="M92" s="515"/>
      <c r="N92" s="515"/>
      <c r="O92" s="833"/>
      <c r="P92" s="515"/>
      <c r="Q92" s="515"/>
      <c r="S92" s="1422">
        <v>57248</v>
      </c>
      <c r="T92" s="1423"/>
      <c r="V92" s="1467"/>
      <c r="W92" s="1468"/>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80000</v>
      </c>
      <c r="F93" s="1033"/>
      <c r="G93" s="1422">
        <v>80000</v>
      </c>
      <c r="H93" s="1423"/>
      <c r="J93" s="416"/>
      <c r="K93" s="416"/>
      <c r="L93" s="416"/>
      <c r="M93" s="416"/>
      <c r="N93" s="416"/>
      <c r="O93" s="416"/>
      <c r="P93" s="416"/>
      <c r="Q93" s="416"/>
      <c r="S93" s="1422">
        <v>80000</v>
      </c>
      <c r="T93" s="1423"/>
      <c r="V93" s="1467"/>
      <c r="W93" s="1468"/>
    </row>
    <row r="94" spans="1:23" s="449" customFormat="1" ht="12.6" customHeight="1">
      <c r="B94" s="449" t="s">
        <v>672</v>
      </c>
      <c r="G94" s="1422"/>
      <c r="H94" s="1423"/>
      <c r="J94" s="416"/>
      <c r="K94" s="416"/>
      <c r="L94" s="416"/>
      <c r="M94" s="416"/>
      <c r="N94" s="416"/>
      <c r="O94" s="416"/>
      <c r="P94" s="416"/>
      <c r="Q94" s="416"/>
      <c r="S94" s="1422"/>
      <c r="T94" s="1423"/>
      <c r="V94" s="1467"/>
      <c r="W94" s="1468"/>
    </row>
    <row r="95" spans="1:23" s="449" customFormat="1" ht="12.6" customHeight="1">
      <c r="B95" s="449" t="s">
        <v>3313</v>
      </c>
      <c r="G95" s="1422">
        <v>3000</v>
      </c>
      <c r="H95" s="1423"/>
      <c r="J95" s="416"/>
      <c r="K95" s="416"/>
      <c r="L95" s="416"/>
      <c r="M95" s="416"/>
      <c r="N95" s="416"/>
      <c r="O95" s="416"/>
      <c r="P95" s="416"/>
      <c r="Q95" s="416"/>
      <c r="S95" s="1422">
        <v>3000</v>
      </c>
      <c r="T95" s="1423"/>
      <c r="V95" s="1467"/>
      <c r="W95" s="1468"/>
    </row>
    <row r="96" spans="1:23" s="449" customFormat="1" ht="12.6" customHeight="1">
      <c r="A96" s="548" t="str">
        <f>IF(AND(G96&gt;0,OR(C96="",C96="&lt;Enter detailed description here; use Comments section if needed&gt;")),"X","")</f>
        <v/>
      </c>
      <c r="B96" s="449" t="s">
        <v>1137</v>
      </c>
      <c r="C96" s="1298" t="s">
        <v>3396</v>
      </c>
      <c r="D96" s="1298"/>
      <c r="E96" s="1298"/>
      <c r="F96" s="1299"/>
      <c r="G96" s="1422"/>
      <c r="H96" s="1423"/>
      <c r="J96" s="416"/>
      <c r="K96" s="416"/>
      <c r="L96" s="416"/>
      <c r="M96" s="416"/>
      <c r="N96" s="416"/>
      <c r="O96" s="416"/>
      <c r="P96" s="416"/>
      <c r="Q96" s="416"/>
      <c r="S96" s="1422"/>
      <c r="T96" s="1423"/>
      <c r="U96" s="547" t="str">
        <f>IF(AND(G96&gt;0,OR(C96="",C96="&lt;Enter detailed description here; use Comments section if needed&gt;")),"NO DESCRIPTION PROVIDED - please enter detailed description in Other box at left; use Comments section below if needed.","")</f>
        <v/>
      </c>
      <c r="V96" s="1467"/>
      <c r="W96" s="1468"/>
    </row>
    <row r="97" spans="1:23" s="449" customFormat="1" ht="12.6" customHeight="1" thickBot="1">
      <c r="A97" s="548" t="str">
        <f>IF(AND(G97&gt;0,OR(C97="",C97="&lt;Enter detailed description here; use Comments section if needed&gt;")),"X","")</f>
        <v/>
      </c>
      <c r="B97" s="449" t="s">
        <v>1137</v>
      </c>
      <c r="C97" s="1298" t="s">
        <v>3396</v>
      </c>
      <c r="D97" s="1298"/>
      <c r="E97" s="1298"/>
      <c r="F97" s="1299"/>
      <c r="G97" s="1422"/>
      <c r="H97" s="1423"/>
      <c r="J97" s="416"/>
      <c r="K97" s="416"/>
      <c r="L97" s="416"/>
      <c r="M97" s="416"/>
      <c r="N97" s="416"/>
      <c r="O97" s="416"/>
      <c r="P97" s="416"/>
      <c r="Q97" s="416"/>
      <c r="S97" s="1422"/>
      <c r="T97" s="1423"/>
      <c r="U97" s="547" t="str">
        <f>IF(AND(G97&gt;0,OR(C97="",C97="&lt;Enter detailed description here; use Comments section if needed&gt;")),"NO DESCRIPTION PROVIDED - please enter detailed description in Other box at left; use Comments section below if needed.","")</f>
        <v/>
      </c>
      <c r="V97" s="1467"/>
      <c r="W97" s="1468"/>
    </row>
    <row r="98" spans="1:23" s="449" customFormat="1" ht="12.6" customHeight="1" thickTop="1">
      <c r="F98" s="513" t="s">
        <v>230</v>
      </c>
      <c r="G98" s="1015">
        <f>SUM(G89:H97)</f>
        <v>147748</v>
      </c>
      <c r="H98" s="1016"/>
      <c r="J98" s="515"/>
      <c r="K98" s="515"/>
      <c r="L98" s="843"/>
      <c r="M98" s="515"/>
      <c r="N98" s="515"/>
      <c r="P98" s="515"/>
      <c r="Q98" s="515"/>
      <c r="S98" s="1015">
        <f>SUM(S89:T97)</f>
        <v>147748</v>
      </c>
      <c r="T98" s="1016"/>
      <c r="V98" s="1470"/>
      <c r="W98" s="1471"/>
    </row>
    <row r="99" spans="1:23" s="449" customFormat="1" ht="13.15" customHeight="1">
      <c r="B99" s="452" t="s">
        <v>3215</v>
      </c>
      <c r="J99" s="515"/>
      <c r="K99" s="515"/>
      <c r="M99" s="515"/>
      <c r="N99" s="515"/>
      <c r="O99" s="514" t="str">
        <f>B99</f>
        <v>EQUITY COSTS</v>
      </c>
      <c r="P99" s="515"/>
      <c r="Q99" s="515"/>
      <c r="S99" s="515"/>
      <c r="T99" s="515"/>
      <c r="V99" s="449" t="str">
        <f>B99</f>
        <v>EQUITY COSTS</v>
      </c>
    </row>
    <row r="100" spans="1:23" s="449" customFormat="1" ht="12.6" customHeight="1">
      <c r="B100" s="449" t="s">
        <v>344</v>
      </c>
      <c r="G100" s="1422">
        <v>18000</v>
      </c>
      <c r="H100" s="1423"/>
      <c r="J100" s="1009"/>
      <c r="K100" s="1009"/>
      <c r="L100" s="843"/>
      <c r="M100" s="1009"/>
      <c r="N100" s="1009"/>
      <c r="O100" s="833"/>
      <c r="P100" s="1009"/>
      <c r="Q100" s="1009"/>
      <c r="S100" s="1422">
        <v>18000</v>
      </c>
      <c r="T100" s="1423"/>
      <c r="V100" s="1465"/>
      <c r="W100" s="1466"/>
    </row>
    <row r="101" spans="1:23" s="449" customFormat="1" ht="12.6" customHeight="1">
      <c r="B101" s="449" t="s">
        <v>346</v>
      </c>
      <c r="G101" s="1422"/>
      <c r="H101" s="1423"/>
      <c r="J101" s="1009"/>
      <c r="K101" s="1009"/>
      <c r="L101" s="843"/>
      <c r="M101" s="1009"/>
      <c r="N101" s="1009"/>
      <c r="O101" s="833"/>
      <c r="P101" s="1009"/>
      <c r="Q101" s="1009"/>
      <c r="S101" s="1422"/>
      <c r="T101" s="1423"/>
      <c r="V101" s="1467"/>
      <c r="W101" s="1468"/>
    </row>
    <row r="102" spans="1:23" s="449" customFormat="1" ht="12.6" customHeight="1">
      <c r="B102" s="449" t="s">
        <v>3357</v>
      </c>
      <c r="G102" s="1422">
        <v>50000</v>
      </c>
      <c r="H102" s="1423"/>
      <c r="J102" s="1009"/>
      <c r="K102" s="1009"/>
      <c r="L102" s="843"/>
      <c r="M102" s="1009"/>
      <c r="N102" s="1009"/>
      <c r="O102" s="833"/>
      <c r="P102" s="1009"/>
      <c r="Q102" s="1009"/>
      <c r="S102" s="1422">
        <v>50000</v>
      </c>
      <c r="T102" s="1423"/>
      <c r="V102" s="1467"/>
      <c r="W102" s="1468"/>
    </row>
    <row r="103" spans="1:23" s="449" customFormat="1" ht="12.6" customHeight="1" thickBot="1">
      <c r="A103" s="548" t="str">
        <f>IF(AND(G103&gt;0,OR(C103="",C103="&lt;Enter detailed description here; use Comments section if needed&gt;")),"X","")</f>
        <v/>
      </c>
      <c r="B103" s="449" t="s">
        <v>1137</v>
      </c>
      <c r="C103" s="1298" t="s">
        <v>3396</v>
      </c>
      <c r="D103" s="1298"/>
      <c r="E103" s="1298"/>
      <c r="F103" s="1299"/>
      <c r="G103" s="1422"/>
      <c r="H103" s="1423"/>
      <c r="J103" s="1009"/>
      <c r="K103" s="1009"/>
      <c r="L103" s="843"/>
      <c r="M103" s="1009"/>
      <c r="N103" s="1009"/>
      <c r="O103" s="833"/>
      <c r="P103" s="1009"/>
      <c r="Q103" s="1009"/>
      <c r="S103" s="1422"/>
      <c r="T103" s="1423"/>
      <c r="U103" s="547" t="str">
        <f>IF(AND(G103&gt;0,OR(C103="",C103="&lt;Enter detailed description here; use Comments section if needed&gt;")),"NO DESCRIPTION PROVIDED - please enter detailed description in Other box at left; use Comments section below if needed.","")</f>
        <v/>
      </c>
      <c r="V103" s="1467"/>
      <c r="W103" s="1468"/>
    </row>
    <row r="104" spans="1:23" s="449" customFormat="1" ht="12.6" customHeight="1" thickTop="1">
      <c r="F104" s="513" t="s">
        <v>230</v>
      </c>
      <c r="G104" s="1015">
        <f>SUM(G100:H103)</f>
        <v>68000</v>
      </c>
      <c r="H104" s="1016"/>
      <c r="J104" s="1009"/>
      <c r="K104" s="1009"/>
      <c r="L104" s="843"/>
      <c r="M104" s="1009"/>
      <c r="N104" s="1009"/>
      <c r="O104" s="833"/>
      <c r="P104" s="1009"/>
      <c r="Q104" s="1009"/>
      <c r="S104" s="1015">
        <f>SUM(S100:T103)</f>
        <v>68000</v>
      </c>
      <c r="T104" s="1016"/>
      <c r="V104" s="1470"/>
      <c r="W104" s="1471"/>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v>
      </c>
      <c r="G106" s="1422"/>
      <c r="H106" s="1423"/>
      <c r="J106" s="1422"/>
      <c r="K106" s="1423"/>
      <c r="L106" s="514"/>
      <c r="M106" s="1422"/>
      <c r="N106" s="1423"/>
      <c r="P106" s="1422"/>
      <c r="Q106" s="1423"/>
      <c r="S106" s="1422"/>
      <c r="T106" s="1423"/>
      <c r="V106" s="1465"/>
      <c r="W106" s="1466"/>
    </row>
    <row r="107" spans="1:23" s="449" customFormat="1" ht="12.6" customHeight="1">
      <c r="B107" s="449" t="s">
        <v>2732</v>
      </c>
      <c r="F107" s="624">
        <f>G107/$G$109</f>
        <v>0</v>
      </c>
      <c r="G107" s="1422"/>
      <c r="H107" s="1423"/>
      <c r="J107" s="1422"/>
      <c r="K107" s="1423"/>
      <c r="L107" s="843"/>
      <c r="M107" s="1422"/>
      <c r="N107" s="1423"/>
      <c r="P107" s="1422"/>
      <c r="Q107" s="1423"/>
      <c r="S107" s="1422"/>
      <c r="T107" s="1423"/>
      <c r="V107" s="1467"/>
      <c r="W107" s="1468"/>
    </row>
    <row r="108" spans="1:23" s="449" customFormat="1" ht="12.6" customHeight="1" thickBot="1">
      <c r="B108" s="449" t="s">
        <v>2724</v>
      </c>
      <c r="F108" s="624">
        <f>G108/$G$109</f>
        <v>1</v>
      </c>
      <c r="G108" s="1422">
        <v>1636261</v>
      </c>
      <c r="H108" s="1423"/>
      <c r="J108" s="1422">
        <v>1636261</v>
      </c>
      <c r="K108" s="1423"/>
      <c r="L108" s="843"/>
      <c r="M108" s="1422"/>
      <c r="N108" s="1423"/>
      <c r="P108" s="1422"/>
      <c r="Q108" s="1423"/>
      <c r="S108" s="1422"/>
      <c r="T108" s="1423"/>
      <c r="V108" s="1467"/>
      <c r="W108" s="1468"/>
    </row>
    <row r="109" spans="1:23" s="449" customFormat="1" ht="12.6" customHeight="1" thickTop="1">
      <c r="C109" s="547" t="str">
        <f>IF(G109&lt;='DCA Underwriting Assumptions'!$Q$47,"","Developer Fee exceeds DCA Program Maximum !!!")</f>
        <v/>
      </c>
      <c r="F109" s="513" t="s">
        <v>230</v>
      </c>
      <c r="G109" s="1015">
        <f>SUM(G106:H108)</f>
        <v>1636261</v>
      </c>
      <c r="H109" s="1016"/>
      <c r="J109" s="1015">
        <f>SUM(J106:K108)</f>
        <v>1636261</v>
      </c>
      <c r="K109" s="1016"/>
      <c r="L109" s="843"/>
      <c r="M109" s="1015">
        <f>SUM(M106:N108)</f>
        <v>0</v>
      </c>
      <c r="N109" s="1016"/>
      <c r="P109" s="1015">
        <f>SUM(P106:Q108)</f>
        <v>0</v>
      </c>
      <c r="Q109" s="1016"/>
      <c r="S109" s="1015">
        <f>SUM(S106:T108)</f>
        <v>0</v>
      </c>
      <c r="T109" s="1016"/>
      <c r="V109" s="1470"/>
      <c r="W109" s="1471"/>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22">
        <v>43120</v>
      </c>
      <c r="H111" s="1423"/>
      <c r="J111" s="531"/>
      <c r="K111" s="531"/>
      <c r="L111" s="531"/>
      <c r="M111" s="531"/>
      <c r="N111" s="531"/>
      <c r="P111" s="531"/>
      <c r="Q111" s="531"/>
      <c r="S111" s="1422">
        <v>43120</v>
      </c>
      <c r="T111" s="1423"/>
      <c r="V111" s="1465"/>
      <c r="W111" s="1466"/>
    </row>
    <row r="112" spans="1:23" s="449" customFormat="1" ht="12.6" customHeight="1">
      <c r="B112" s="449" t="s">
        <v>2137</v>
      </c>
      <c r="G112" s="1422"/>
      <c r="H112" s="1423"/>
      <c r="J112" s="1009"/>
      <c r="K112" s="1009"/>
      <c r="L112" s="843"/>
      <c r="M112" s="1009"/>
      <c r="N112" s="1009"/>
      <c r="O112" s="833"/>
      <c r="P112" s="1009"/>
      <c r="Q112" s="1009"/>
      <c r="R112" s="833"/>
      <c r="S112" s="1422"/>
      <c r="T112" s="1423"/>
      <c r="V112" s="1467"/>
      <c r="W112" s="1468"/>
    </row>
    <row r="113" spans="1:23" s="449" customFormat="1" ht="12.6" customHeight="1">
      <c r="B113" s="449" t="s">
        <v>948</v>
      </c>
      <c r="F113" s="472"/>
      <c r="G113" s="1422">
        <v>302000</v>
      </c>
      <c r="H113" s="1423"/>
      <c r="J113" s="530"/>
      <c r="K113" s="530"/>
      <c r="L113" s="530"/>
      <c r="M113" s="530"/>
      <c r="N113" s="530"/>
      <c r="O113" s="833"/>
      <c r="P113" s="530"/>
      <c r="Q113" s="530"/>
      <c r="R113" s="833"/>
      <c r="S113" s="1422">
        <v>302000</v>
      </c>
      <c r="T113" s="1423"/>
      <c r="V113" s="1467"/>
      <c r="W113" s="1468"/>
    </row>
    <row r="114" spans="1:23" s="449" customFormat="1" ht="12.6" customHeight="1">
      <c r="B114" s="449" t="s">
        <v>1796</v>
      </c>
      <c r="G114" s="1422"/>
      <c r="H114" s="1423"/>
      <c r="J114" s="531"/>
      <c r="K114" s="531"/>
      <c r="L114" s="531"/>
      <c r="M114" s="531"/>
      <c r="N114" s="531"/>
      <c r="P114" s="531"/>
      <c r="Q114" s="531"/>
      <c r="S114" s="1422"/>
      <c r="T114" s="1423"/>
      <c r="V114" s="1467"/>
      <c r="W114" s="1468"/>
    </row>
    <row r="115" spans="1:23" s="449" customFormat="1" ht="12.6" customHeight="1">
      <c r="B115" s="449" t="s">
        <v>1797</v>
      </c>
      <c r="E115" s="449" t="s">
        <v>1370</v>
      </c>
      <c r="F115" s="792">
        <f>G115/'Part VI-Revenues &amp; Expenses'!$M$62</f>
        <v>1750</v>
      </c>
      <c r="G115" s="1422">
        <v>175000</v>
      </c>
      <c r="H115" s="1423"/>
      <c r="J115" s="1422">
        <v>175000</v>
      </c>
      <c r="K115" s="1423"/>
      <c r="L115" s="843"/>
      <c r="M115" s="1422"/>
      <c r="N115" s="1423"/>
      <c r="P115" s="1422"/>
      <c r="Q115" s="1423"/>
      <c r="S115" s="1422"/>
      <c r="T115" s="1423"/>
      <c r="V115" s="1467"/>
      <c r="W115" s="1468"/>
    </row>
    <row r="116" spans="1:23" s="449" customFormat="1" ht="12.6" customHeight="1" thickBot="1">
      <c r="A116" s="548" t="str">
        <f>IF(AND(G116&gt;0,OR(C116="",C116="&lt;Enter detailed description here; use Comments section if needed&gt;")),"X","")</f>
        <v/>
      </c>
      <c r="B116" s="449" t="s">
        <v>1137</v>
      </c>
      <c r="C116" s="1298" t="s">
        <v>4085</v>
      </c>
      <c r="D116" s="1298"/>
      <c r="E116" s="1298"/>
      <c r="F116" s="1299"/>
      <c r="G116" s="1422">
        <v>152000</v>
      </c>
      <c r="H116" s="1423"/>
      <c r="J116" s="1422"/>
      <c r="K116" s="1423"/>
      <c r="L116" s="843"/>
      <c r="M116" s="1422"/>
      <c r="N116" s="1423"/>
      <c r="P116" s="1422"/>
      <c r="Q116" s="1423"/>
      <c r="S116" s="1422">
        <v>152000</v>
      </c>
      <c r="T116" s="1423"/>
      <c r="U116" s="547" t="str">
        <f>IF(AND(G116&gt;0,OR(C116="",C116="&lt;Enter detailed description here; use Comments section if needed&gt;")),"NO DESCRIPTION PROVIDED - please enter detailed description in Other box at left; use Comments section below if needed.","")</f>
        <v/>
      </c>
      <c r="V116" s="1467"/>
      <c r="W116" s="1468"/>
    </row>
    <row r="117" spans="1:23" s="449" customFormat="1" ht="12.6" customHeight="1" thickTop="1">
      <c r="B117" s="532"/>
      <c r="F117" s="513" t="s">
        <v>230</v>
      </c>
      <c r="G117" s="1015">
        <f>SUM(G111:H116)</f>
        <v>672120</v>
      </c>
      <c r="H117" s="1016"/>
      <c r="J117" s="1015">
        <f>SUM(J115:K116)</f>
        <v>175000</v>
      </c>
      <c r="K117" s="1016"/>
      <c r="L117" s="843"/>
      <c r="M117" s="1015">
        <f>SUM(M115:N116)</f>
        <v>0</v>
      </c>
      <c r="N117" s="1016"/>
      <c r="P117" s="1015">
        <f>SUM(P115:Q116)</f>
        <v>0</v>
      </c>
      <c r="Q117" s="1016"/>
      <c r="S117" s="1015">
        <f>SUM(S111:T116)</f>
        <v>497120</v>
      </c>
      <c r="T117" s="1016"/>
      <c r="V117" s="1470"/>
      <c r="W117" s="1471"/>
    </row>
    <row r="118" spans="1:23" s="449" customFormat="1" ht="13.15" customHeight="1">
      <c r="B118" s="452" t="s">
        <v>866</v>
      </c>
      <c r="C118" s="828"/>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8"/>
      <c r="G119" s="1422"/>
      <c r="H119" s="1423"/>
      <c r="J119" s="1422"/>
      <c r="K119" s="1423"/>
      <c r="L119" s="514"/>
      <c r="M119" s="1422"/>
      <c r="N119" s="1423"/>
      <c r="P119" s="1422"/>
      <c r="Q119" s="1423"/>
      <c r="S119" s="1422"/>
      <c r="T119" s="1423"/>
      <c r="V119" s="1465"/>
      <c r="W119" s="1466"/>
    </row>
    <row r="120" spans="1:23" s="449" customFormat="1" ht="12.6" customHeight="1" thickBot="1">
      <c r="A120" s="548" t="str">
        <f>IF(AND(G120&gt;0,OR(C120="",C120="&lt;Enter detailed description here; use Comments section if needed&gt;")),"X","")</f>
        <v/>
      </c>
      <c r="B120" s="449" t="s">
        <v>1137</v>
      </c>
      <c r="C120" s="1298" t="s">
        <v>4094</v>
      </c>
      <c r="D120" s="1298"/>
      <c r="E120" s="1298"/>
      <c r="F120" s="1299"/>
      <c r="G120" s="1422">
        <v>10000</v>
      </c>
      <c r="H120" s="1423"/>
      <c r="J120" s="1422">
        <v>10000</v>
      </c>
      <c r="K120" s="1423"/>
      <c r="L120" s="843"/>
      <c r="M120" s="1422"/>
      <c r="N120" s="1423"/>
      <c r="P120" s="1422"/>
      <c r="Q120" s="1423"/>
      <c r="S120" s="1422"/>
      <c r="T120" s="1423"/>
      <c r="U120" s="547" t="str">
        <f>IF(AND(G120&gt;0,OR(C120="",C120="&lt;Enter detailed description here; use Comments section if needed&gt;")),"NO DESCRIPTION PROVIDED - please enter detailed description in Other box at left; use Comments section below if needed.","")</f>
        <v/>
      </c>
      <c r="V120" s="1467"/>
      <c r="W120" s="1468"/>
    </row>
    <row r="121" spans="1:23" s="449" customFormat="1" ht="12.6" customHeight="1" thickTop="1">
      <c r="C121" s="828"/>
      <c r="F121" s="513" t="s">
        <v>230</v>
      </c>
      <c r="G121" s="1015">
        <f>SUM(G119:H120)</f>
        <v>10000</v>
      </c>
      <c r="H121" s="1016"/>
      <c r="J121" s="1015">
        <f>SUM(J119:K120)</f>
        <v>10000</v>
      </c>
      <c r="K121" s="1016"/>
      <c r="L121" s="843"/>
      <c r="M121" s="1015">
        <f>SUM(M119:N120)</f>
        <v>0</v>
      </c>
      <c r="N121" s="1016"/>
      <c r="P121" s="1015">
        <f>SUM(P119:Q120)</f>
        <v>0</v>
      </c>
      <c r="Q121" s="1016"/>
      <c r="S121" s="1015">
        <f>SUM(S119:T120)</f>
        <v>0</v>
      </c>
      <c r="T121" s="1016"/>
      <c r="V121" s="1467"/>
      <c r="W121" s="1468"/>
    </row>
    <row r="122" spans="1:23" s="449" customFormat="1" ht="3" customHeight="1" thickBot="1">
      <c r="C122" s="828"/>
      <c r="H122" s="528"/>
      <c r="I122" s="528"/>
      <c r="L122" s="833"/>
      <c r="V122" s="1467"/>
      <c r="W122" s="1468"/>
    </row>
    <row r="123" spans="1:23" s="449" customFormat="1" ht="13.9" customHeight="1" thickBot="1">
      <c r="B123" s="456" t="s">
        <v>348</v>
      </c>
      <c r="G123" s="1048">
        <f>G17+G23+G27+G32+G36+G42+G57+G69+G75+G84+G98+G104+G109+G117+G121</f>
        <v>12999341</v>
      </c>
      <c r="H123" s="1049"/>
      <c r="J123" s="1048">
        <f>J17+J23+J27+J32+J36+J42+J57+J69+J75+J84+J98+J104+J109+J117+J121</f>
        <v>11810276.4</v>
      </c>
      <c r="K123" s="1049"/>
      <c r="M123" s="1048">
        <f>M17+M23+M27+M32+M36+M42+M57+M69+M75+M84+M98+M104+M109+M117+M121</f>
        <v>0</v>
      </c>
      <c r="N123" s="1049"/>
      <c r="P123" s="1048">
        <f>P17+P23+P27+P32+P36+P42+P57+P69+P75+P84+P98+P104+P109+P117+P121</f>
        <v>0</v>
      </c>
      <c r="Q123" s="1049"/>
      <c r="S123" s="1048">
        <f>S17+S23+S27+S32+S36+S42+S57+S69+S75+S84+S98+S104+S109+S117+S121</f>
        <v>1189064.6000000001</v>
      </c>
      <c r="T123" s="1049"/>
      <c r="V123" s="1470"/>
      <c r="W123" s="1471"/>
    </row>
    <row r="124" spans="1:23" s="449" customFormat="1" ht="3" customHeight="1" thickBot="1">
      <c r="C124" s="828"/>
      <c r="H124" s="528"/>
      <c r="I124" s="528"/>
      <c r="L124" s="833"/>
    </row>
    <row r="125" spans="1:23" s="449" customFormat="1" ht="13.9" customHeight="1" thickBot="1">
      <c r="B125" s="456" t="s">
        <v>3619</v>
      </c>
      <c r="D125" s="1074">
        <f>IF(AND($T$155 = "Yes", 'Part IX A-Scoring Criteria'!$O$246 &gt; 0),'DCA Underwriting Assumptions'!$R$13, IF(AND('Part IV-Uses of Funds'!$T$156="Yes", 'Part IX A-Scoring Criteria'!$O$67&gt;0),'DCA Underwriting Assumptions'!$R$12, 'DCA Underwriting Assumptions'!$R$11))</f>
        <v>13211820</v>
      </c>
      <c r="E125" s="1075"/>
      <c r="F125" s="452" t="s">
        <v>957</v>
      </c>
      <c r="G125" s="1053">
        <f>G123/'Part VI-Revenues &amp; Expenses'!$M$62</f>
        <v>129993.41</v>
      </c>
      <c r="H125" s="1054"/>
      <c r="I125" s="533"/>
      <c r="J125" s="456" t="s">
        <v>958</v>
      </c>
      <c r="M125" s="1053">
        <f>G123/'Part VI-Revenues &amp; Expenses'!$M$100</f>
        <v>161.2821464019851</v>
      </c>
      <c r="N125" s="1054"/>
    </row>
    <row r="126" spans="1:23" s="449" customFormat="1" ht="3" customHeight="1">
      <c r="I126" s="533"/>
      <c r="L126" s="533"/>
    </row>
    <row r="127" spans="1:23" s="449" customFormat="1" ht="3.6" customHeight="1" thickBot="1">
      <c r="D127" s="828"/>
      <c r="E127" s="828"/>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8"/>
      <c r="E130" s="828"/>
      <c r="I130" s="528"/>
      <c r="J130" s="528"/>
      <c r="K130" s="534"/>
      <c r="L130" s="455"/>
      <c r="P130" s="833"/>
    </row>
    <row r="131" spans="2:23" s="449" customFormat="1" ht="13.9" customHeight="1">
      <c r="B131" s="828" t="s">
        <v>169</v>
      </c>
      <c r="D131" s="833"/>
      <c r="E131" s="833"/>
      <c r="F131" s="833"/>
      <c r="G131" s="833"/>
      <c r="H131" s="833"/>
      <c r="I131" s="535"/>
      <c r="J131" s="1472"/>
      <c r="K131" s="1473"/>
      <c r="P131" s="1472"/>
      <c r="Q131" s="1473"/>
      <c r="V131" s="1465"/>
      <c r="W131" s="1466"/>
    </row>
    <row r="132" spans="2:23" s="449" customFormat="1" ht="13.9" customHeight="1">
      <c r="B132" s="833" t="s">
        <v>3043</v>
      </c>
      <c r="D132" s="833"/>
      <c r="E132" s="833"/>
      <c r="F132" s="833"/>
      <c r="G132" s="833"/>
      <c r="H132" s="833"/>
      <c r="I132" s="535"/>
      <c r="J132" s="1472"/>
      <c r="K132" s="1473"/>
      <c r="P132" s="1472"/>
      <c r="Q132" s="1473"/>
      <c r="V132" s="1467"/>
      <c r="W132" s="1468"/>
    </row>
    <row r="133" spans="2:23" s="449" customFormat="1" ht="13.9" customHeight="1">
      <c r="B133" s="833" t="s">
        <v>2734</v>
      </c>
      <c r="D133" s="833"/>
      <c r="E133" s="833"/>
      <c r="I133" s="535"/>
      <c r="J133" s="1472"/>
      <c r="K133" s="1473"/>
      <c r="P133" s="1472"/>
      <c r="Q133" s="1473"/>
      <c r="V133" s="1467"/>
      <c r="W133" s="1468"/>
    </row>
    <row r="134" spans="2:23" s="449" customFormat="1" ht="13.9" customHeight="1">
      <c r="B134" s="833" t="s">
        <v>2735</v>
      </c>
      <c r="D134" s="833"/>
      <c r="E134" s="833"/>
      <c r="I134" s="535"/>
      <c r="J134" s="1472"/>
      <c r="K134" s="1473"/>
      <c r="P134" s="1472"/>
      <c r="Q134" s="1473"/>
      <c r="V134" s="1467"/>
      <c r="W134" s="1468"/>
    </row>
    <row r="135" spans="2:23" s="449" customFormat="1" ht="13.9" customHeight="1">
      <c r="B135" s="833" t="s">
        <v>308</v>
      </c>
      <c r="D135" s="833"/>
      <c r="E135" s="833"/>
      <c r="I135" s="535"/>
      <c r="J135" s="1472"/>
      <c r="K135" s="1473"/>
      <c r="P135" s="1472"/>
      <c r="Q135" s="1473"/>
      <c r="V135" s="1467"/>
      <c r="W135" s="1468"/>
    </row>
    <row r="136" spans="2:23" s="449" customFormat="1" ht="13.9" customHeight="1" thickBot="1">
      <c r="B136" s="833" t="s">
        <v>2210</v>
      </c>
      <c r="C136" s="1298" t="s">
        <v>3396</v>
      </c>
      <c r="D136" s="1298"/>
      <c r="E136" s="1298"/>
      <c r="F136" s="1298"/>
      <c r="G136" s="1298"/>
      <c r="H136" s="1298"/>
      <c r="I136" s="1299"/>
      <c r="J136" s="1472"/>
      <c r="K136" s="1473"/>
      <c r="P136" s="1472"/>
      <c r="Q136" s="1473"/>
      <c r="V136" s="1467"/>
      <c r="W136" s="1468"/>
    </row>
    <row r="137" spans="2:23" s="449" customFormat="1" ht="13.9" customHeight="1" thickBot="1">
      <c r="B137" s="461" t="s">
        <v>2736</v>
      </c>
      <c r="C137" s="464"/>
      <c r="J137" s="978">
        <f>SUM(J131:K136)</f>
        <v>0</v>
      </c>
      <c r="K137" s="979"/>
      <c r="P137" s="978">
        <f>SUM(P131:Q136)</f>
        <v>0</v>
      </c>
      <c r="Q137" s="979"/>
      <c r="V137" s="1470"/>
      <c r="W137" s="1471"/>
    </row>
    <row r="138" spans="2:23" s="449" customFormat="1" ht="3" customHeight="1"/>
    <row r="139" spans="2:23" s="449" customFormat="1" ht="15" customHeight="1" thickBot="1">
      <c r="B139" s="452" t="s">
        <v>3262</v>
      </c>
      <c r="V139" s="449" t="str">
        <f>B139</f>
        <v>Eligible Basis Calculation</v>
      </c>
    </row>
    <row r="140" spans="2:23" s="449" customFormat="1" ht="13.9" customHeight="1">
      <c r="B140" s="449" t="s">
        <v>2646</v>
      </c>
      <c r="J140" s="1034">
        <f>J123</f>
        <v>11810276.4</v>
      </c>
      <c r="K140" s="1035"/>
      <c r="M140" s="1050">
        <f>M123</f>
        <v>0</v>
      </c>
      <c r="N140" s="1051"/>
      <c r="P140" s="1034">
        <f>P123</f>
        <v>0</v>
      </c>
      <c r="Q140" s="1035"/>
      <c r="V140" s="1465"/>
      <c r="W140" s="1466"/>
    </row>
    <row r="141" spans="2:23" s="449" customFormat="1" ht="13.9" customHeight="1">
      <c r="B141" s="449" t="s">
        <v>3126</v>
      </c>
      <c r="J141" s="1036">
        <f>J137</f>
        <v>0</v>
      </c>
      <c r="K141" s="1037"/>
      <c r="M141" s="1040"/>
      <c r="N141" s="1040"/>
      <c r="P141" s="1036">
        <f>P137</f>
        <v>0</v>
      </c>
      <c r="Q141" s="1037"/>
      <c r="V141" s="1467"/>
      <c r="W141" s="1468"/>
    </row>
    <row r="142" spans="2:23" s="449" customFormat="1" ht="13.9" customHeight="1">
      <c r="B142" s="449" t="s">
        <v>3127</v>
      </c>
      <c r="J142" s="1036">
        <f>J140-J141</f>
        <v>11810276.4</v>
      </c>
      <c r="K142" s="1037"/>
      <c r="M142" s="1036">
        <f>M140</f>
        <v>0</v>
      </c>
      <c r="N142" s="1037"/>
      <c r="P142" s="1036">
        <f>P140-P141</f>
        <v>0</v>
      </c>
      <c r="Q142" s="1037"/>
      <c r="V142" s="1467"/>
      <c r="W142" s="1468"/>
    </row>
    <row r="143" spans="2:23" s="449" customFormat="1" ht="13.9" customHeight="1">
      <c r="B143" s="449" t="s">
        <v>2080</v>
      </c>
      <c r="G143" s="830" t="s">
        <v>2563</v>
      </c>
      <c r="H143" s="1286" t="s">
        <v>4007</v>
      </c>
      <c r="I143" s="1287"/>
      <c r="J143" s="1474">
        <v>1</v>
      </c>
      <c r="K143" s="1475"/>
      <c r="M143" s="1052"/>
      <c r="N143" s="1052"/>
      <c r="P143" s="1474"/>
      <c r="Q143" s="1475"/>
      <c r="V143" s="1467"/>
      <c r="W143" s="1468"/>
    </row>
    <row r="144" spans="2:23" s="449" customFormat="1" ht="13.9" customHeight="1">
      <c r="B144" s="449" t="s">
        <v>2942</v>
      </c>
      <c r="J144" s="1036">
        <f>J142*J143</f>
        <v>11810276.4</v>
      </c>
      <c r="K144" s="1037"/>
      <c r="M144" s="1036">
        <f>+M142</f>
        <v>0</v>
      </c>
      <c r="N144" s="1037"/>
      <c r="P144" s="1036">
        <f>P142*P143</f>
        <v>0</v>
      </c>
      <c r="Q144" s="1037"/>
      <c r="V144" s="1467"/>
      <c r="W144" s="1468"/>
    </row>
    <row r="145" spans="1:23" s="449" customFormat="1" ht="13.9" customHeight="1">
      <c r="B145" s="449" t="s">
        <v>3564</v>
      </c>
      <c r="J145" s="1038">
        <f>MIN('Part VI-Revenues &amp; Expenses'!$M$58/'Part VI-Revenues &amp; Expenses'!$M$60,'Part VI-Revenues &amp; Expenses'!$M$96/'Part VI-Revenues &amp; Expenses'!$M$98)</f>
        <v>0.81004962779156331</v>
      </c>
      <c r="K145" s="1039"/>
      <c r="M145" s="1038">
        <f>MIN('Part VI-Revenues &amp; Expenses'!$M$58/'Part VI-Revenues &amp; Expenses'!$M$60,'Part VI-Revenues &amp; Expenses'!$M$96/'Part VI-Revenues &amp; Expenses'!$M$98)</f>
        <v>0.81004962779156331</v>
      </c>
      <c r="N145" s="1039"/>
      <c r="P145" s="1038">
        <f>MIN('Part VI-Revenues &amp; Expenses'!$M$58/'Part VI-Revenues &amp; Expenses'!$M$60,'Part VI-Revenues &amp; Expenses'!$M$96/'Part VI-Revenues &amp; Expenses'!$M$98)</f>
        <v>0.81004962779156331</v>
      </c>
      <c r="Q145" s="1039"/>
      <c r="V145" s="1467"/>
      <c r="W145" s="1468"/>
    </row>
    <row r="146" spans="1:23" s="449" customFormat="1" ht="13.9" customHeight="1">
      <c r="B146" s="449" t="s">
        <v>2930</v>
      </c>
      <c r="J146" s="1036">
        <f>J144*J145</f>
        <v>9566910.0019354839</v>
      </c>
      <c r="K146" s="1037"/>
      <c r="M146" s="1036">
        <f>M144*M145</f>
        <v>0</v>
      </c>
      <c r="N146" s="1037"/>
      <c r="P146" s="1036">
        <f>P144*P145</f>
        <v>0</v>
      </c>
      <c r="Q146" s="1037"/>
      <c r="V146" s="1467"/>
      <c r="W146" s="1468"/>
    </row>
    <row r="147" spans="1:23" s="449" customFormat="1" ht="13.9" customHeight="1">
      <c r="B147" s="449" t="s">
        <v>2931</v>
      </c>
      <c r="J147" s="1474">
        <v>7.4800000000000005E-2</v>
      </c>
      <c r="K147" s="1475"/>
      <c r="M147" s="1474"/>
      <c r="N147" s="1475"/>
      <c r="P147" s="1474"/>
      <c r="Q147" s="1475"/>
      <c r="V147" s="1467"/>
      <c r="W147" s="1468"/>
    </row>
    <row r="148" spans="1:23" s="449" customFormat="1" ht="13.9" customHeight="1" thickBot="1">
      <c r="B148" s="449" t="s">
        <v>3565</v>
      </c>
      <c r="J148" s="1046">
        <f>J146*J147</f>
        <v>715604.86814477423</v>
      </c>
      <c r="K148" s="1047"/>
      <c r="M148" s="1046">
        <f>M146*M147</f>
        <v>0</v>
      </c>
      <c r="N148" s="1047"/>
      <c r="P148" s="1046">
        <f>P146*P147</f>
        <v>0</v>
      </c>
      <c r="Q148" s="1047"/>
      <c r="V148" s="1467"/>
      <c r="W148" s="1468"/>
    </row>
    <row r="149" spans="1:23" s="449" customFormat="1" ht="13.9" customHeight="1" thickBot="1">
      <c r="B149" s="452" t="s">
        <v>2004</v>
      </c>
      <c r="J149" s="978">
        <f>J148+M148+P148</f>
        <v>715604.86814477423</v>
      </c>
      <c r="K149" s="1045"/>
      <c r="L149" s="1045"/>
      <c r="M149" s="1045"/>
      <c r="N149" s="1045"/>
      <c r="O149" s="1045"/>
      <c r="P149" s="1045"/>
      <c r="Q149" s="979"/>
      <c r="V149" s="1470"/>
      <c r="W149" s="1471"/>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12999341</v>
      </c>
      <c r="K152" s="1062"/>
      <c r="L152" s="1062"/>
      <c r="M152" s="1067" t="s">
        <v>3955</v>
      </c>
      <c r="N152" s="1068"/>
      <c r="O152" s="1068"/>
      <c r="P152" s="1068"/>
      <c r="Q152" s="1068"/>
      <c r="R152" s="1069"/>
      <c r="S152" s="1057"/>
      <c r="T152" s="1058"/>
      <c r="V152" s="1465"/>
      <c r="W152" s="1466"/>
    </row>
    <row r="153" spans="1:23" s="449" customFormat="1" ht="13.9" customHeight="1">
      <c r="B153" s="449" t="s">
        <v>2491</v>
      </c>
      <c r="J153" s="1476">
        <v>12999341</v>
      </c>
      <c r="K153" s="1477"/>
      <c r="L153" s="1477"/>
      <c r="M153" s="1067"/>
      <c r="N153" s="1068"/>
      <c r="O153" s="1068"/>
      <c r="P153" s="1068"/>
      <c r="Q153" s="1068"/>
      <c r="R153" s="1069"/>
      <c r="S153" s="1057"/>
      <c r="T153" s="1058"/>
      <c r="V153" s="1467"/>
      <c r="W153" s="1468"/>
    </row>
    <row r="154" spans="1:23" s="449" customFormat="1" ht="13.9" customHeight="1">
      <c r="B154" s="449" t="s">
        <v>320</v>
      </c>
      <c r="J154" s="1036">
        <f>'Part III A-Sources of Funds'!$H$49-'Part III A-Sources of Funds'!$H$37-'Part III A-Sources of Funds'!$H$40-'Part III A-Sources of Funds'!$H$41</f>
        <v>4677587</v>
      </c>
      <c r="K154" s="1040"/>
      <c r="L154" s="1040"/>
      <c r="M154" s="1067"/>
      <c r="N154" s="1068"/>
      <c r="O154" s="1068"/>
      <c r="P154" s="1068"/>
      <c r="Q154" s="1068"/>
      <c r="R154" s="1069"/>
      <c r="S154" s="648"/>
      <c r="T154" s="651" t="s">
        <v>322</v>
      </c>
      <c r="V154" s="1467"/>
      <c r="W154" s="1468"/>
    </row>
    <row r="155" spans="1:23" s="449" customFormat="1" ht="13.9" customHeight="1">
      <c r="B155" s="449" t="s">
        <v>3139</v>
      </c>
      <c r="J155" s="1036">
        <f>+J153-J154</f>
        <v>8321754</v>
      </c>
      <c r="K155" s="1040"/>
      <c r="L155" s="1040"/>
      <c r="M155" s="1073" t="s">
        <v>3885</v>
      </c>
      <c r="N155" s="1478"/>
      <c r="O155" s="1478"/>
      <c r="P155" s="1478"/>
      <c r="Q155" s="1478"/>
      <c r="R155" s="1479"/>
      <c r="S155" s="649" t="s">
        <v>2493</v>
      </c>
      <c r="T155" s="1480"/>
      <c r="V155" s="1467"/>
      <c r="W155" s="1468"/>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81"/>
      <c r="V156" s="1467"/>
      <c r="W156" s="1468"/>
    </row>
    <row r="157" spans="1:23" s="449" customFormat="1" ht="13.9" customHeight="1">
      <c r="B157" s="449" t="s">
        <v>1854</v>
      </c>
      <c r="J157" s="1036">
        <f>J155/10</f>
        <v>832175.4</v>
      </c>
      <c r="K157" s="1040"/>
      <c r="L157" s="1037"/>
      <c r="M157" s="472"/>
      <c r="N157" s="892" t="s">
        <v>1855</v>
      </c>
      <c r="O157" s="892"/>
      <c r="Q157" s="892" t="s">
        <v>2655</v>
      </c>
      <c r="R157" s="892"/>
      <c r="V157" s="1467"/>
      <c r="W157" s="1468"/>
    </row>
    <row r="158" spans="1:23" s="449" customFormat="1" ht="13.9" customHeight="1" thickBot="1">
      <c r="B158" s="449" t="s">
        <v>2079</v>
      </c>
      <c r="J158" s="1059">
        <f>N158+Q158</f>
        <v>1.1400000000000001</v>
      </c>
      <c r="K158" s="1060"/>
      <c r="L158" s="1061"/>
      <c r="M158" s="830" t="s">
        <v>1856</v>
      </c>
      <c r="N158" s="1482">
        <v>0.86</v>
      </c>
      <c r="O158" s="1483"/>
      <c r="P158" s="830" t="s">
        <v>868</v>
      </c>
      <c r="Q158" s="1482">
        <v>0.28000000000000003</v>
      </c>
      <c r="R158" s="1483"/>
      <c r="V158" s="1467"/>
      <c r="W158" s="1468"/>
    </row>
    <row r="159" spans="1:23" s="449" customFormat="1" ht="13.9" customHeight="1" thickBot="1">
      <c r="B159" s="452" t="s">
        <v>2005</v>
      </c>
      <c r="J159" s="978">
        <f>IF(J158=0,"",J157/J158)</f>
        <v>729978.42105263157</v>
      </c>
      <c r="K159" s="1045"/>
      <c r="L159" s="979"/>
      <c r="M159" s="472"/>
      <c r="N159" s="833"/>
      <c r="O159" s="833"/>
      <c r="V159" s="1467"/>
      <c r="W159" s="1468"/>
    </row>
    <row r="160" spans="1:23" s="449" customFormat="1" ht="9" customHeight="1">
      <c r="J160" s="538"/>
      <c r="K160" s="538"/>
      <c r="L160" s="538"/>
      <c r="M160" s="472"/>
      <c r="N160" s="839"/>
      <c r="O160" s="839"/>
      <c r="V160" s="1467"/>
      <c r="W160" s="1468"/>
    </row>
    <row r="161" spans="1:23" s="449" customFormat="1" ht="16.149999999999999" customHeight="1">
      <c r="B161" s="452" t="s">
        <v>420</v>
      </c>
      <c r="J161" s="1042">
        <f>+MIN(J149,J159,'DCA Underwriting Assumptions'!$R$6)</f>
        <v>715604.86814477423</v>
      </c>
      <c r="K161" s="1043"/>
      <c r="L161" s="1044"/>
      <c r="M161" s="472"/>
      <c r="N161" s="839"/>
      <c r="O161" s="839"/>
      <c r="V161" s="1467"/>
      <c r="W161" s="1468"/>
    </row>
    <row r="162" spans="1:23" s="449" customFormat="1" ht="9.6" customHeight="1">
      <c r="J162" s="538"/>
      <c r="K162" s="538"/>
      <c r="L162" s="538"/>
      <c r="M162" s="472"/>
      <c r="N162" s="839"/>
      <c r="O162" s="839"/>
      <c r="V162" s="1467"/>
      <c r="W162" s="1468"/>
    </row>
    <row r="163" spans="1:23" s="449" customFormat="1" ht="16.149999999999999" customHeight="1">
      <c r="B163" s="452" t="s">
        <v>421</v>
      </c>
      <c r="J163" s="1484">
        <f>J161</f>
        <v>715604.86814477423</v>
      </c>
      <c r="K163" s="1485"/>
      <c r="L163" s="1486"/>
      <c r="M163" s="539" t="str">
        <f>IF(J161=0,"",IF(J163&gt;J161,"ALLOCATION CANNOT EXCEED MAXIMUM - REVISE REQUEST!",""))</f>
        <v/>
      </c>
      <c r="N163" s="839"/>
      <c r="O163" s="839"/>
      <c r="V163" s="1467"/>
      <c r="W163" s="1468"/>
    </row>
    <row r="164" spans="1:23" s="449" customFormat="1" ht="9.6" customHeight="1">
      <c r="J164" s="538"/>
      <c r="K164" s="538"/>
      <c r="L164" s="538"/>
      <c r="M164" s="472"/>
      <c r="N164" s="839"/>
      <c r="O164" s="839"/>
      <c r="V164" s="1467"/>
      <c r="W164" s="1468"/>
    </row>
    <row r="165" spans="1:23" s="449" customFormat="1" ht="16.149999999999999" customHeight="1">
      <c r="A165" s="685" t="s">
        <v>2648</v>
      </c>
      <c r="B165" s="685" t="s">
        <v>3668</v>
      </c>
      <c r="D165" s="472"/>
      <c r="E165" s="472"/>
      <c r="F165" s="455"/>
      <c r="J165" s="1042">
        <f>IF(J163="",0,+MIN(J161,J163))</f>
        <v>715604.86814477423</v>
      </c>
      <c r="K165" s="1043"/>
      <c r="L165" s="1044"/>
      <c r="N165" s="1487"/>
      <c r="O165" s="1487"/>
      <c r="P165" s="1487"/>
      <c r="Q165" s="1487"/>
      <c r="R165" s="1487"/>
      <c r="S165" s="1487"/>
      <c r="T165" s="1487"/>
      <c r="V165" s="1470"/>
      <c r="W165" s="1471"/>
    </row>
    <row r="166" spans="1:23" ht="3" customHeight="1"/>
    <row r="167" spans="1:23" ht="6" customHeight="1"/>
    <row r="168" spans="1:23" ht="12" customHeight="1">
      <c r="A168" s="452" t="s">
        <v>2650</v>
      </c>
      <c r="B168" s="481" t="s">
        <v>815</v>
      </c>
      <c r="K168" s="452" t="s">
        <v>765</v>
      </c>
      <c r="L168" s="452" t="s">
        <v>85</v>
      </c>
    </row>
    <row r="169" spans="1:23" ht="218.45" customHeight="1">
      <c r="A169" s="1488" t="s">
        <v>4103</v>
      </c>
      <c r="B169" s="1489"/>
      <c r="C169" s="1489"/>
      <c r="D169" s="1489"/>
      <c r="E169" s="1489"/>
      <c r="F169" s="1489"/>
      <c r="G169" s="1489"/>
      <c r="H169" s="1489"/>
      <c r="I169" s="1489"/>
      <c r="J169" s="1490"/>
      <c r="K169" s="1491"/>
      <c r="L169" s="1489"/>
      <c r="M169" s="1489"/>
      <c r="N169" s="1489"/>
      <c r="O169" s="1489"/>
      <c r="P169" s="1489"/>
      <c r="Q169" s="1489"/>
      <c r="R169" s="1489"/>
      <c r="S169" s="1489"/>
      <c r="T169" s="1490"/>
      <c r="V169" s="952" t="s">
        <v>3964</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2" priority="5" stopIfTrue="1" operator="greaterThan">
      <formula>$F34</formula>
    </cfRule>
  </conditionalFormatting>
  <conditionalFormatting sqref="J152">
    <cfRule type="cellIs" dxfId="11" priority="6" stopIfTrue="1" operator="lessThan">
      <formula>$J$153</formula>
    </cfRule>
  </conditionalFormatting>
  <conditionalFormatting sqref="J165:L165">
    <cfRule type="cellIs" dxfId="10" priority="7" stopIfTrue="1" operator="greaterThan">
      <formula>$J$161</formula>
    </cfRule>
  </conditionalFormatting>
  <conditionalFormatting sqref="G35">
    <cfRule type="cellIs" dxfId="9" priority="8" stopIfTrue="1" operator="greaterThan">
      <formula>#REF!</formula>
    </cfRule>
  </conditionalFormatting>
  <conditionalFormatting sqref="G33">
    <cfRule type="cellIs" priority="9" stopIfTrue="1" operator="equal">
      <formula>"""Exceeds the limit! Re-check amounts."""</formula>
    </cfRule>
  </conditionalFormatting>
  <conditionalFormatting sqref="J153:L153">
    <cfRule type="cellIs" dxfId="8" priority="10" stopIfTrue="1" operator="greaterThan">
      <formula>$J$152</formula>
    </cfRule>
  </conditionalFormatting>
  <conditionalFormatting sqref="J34:K34 M34:N34 P34:Q34">
    <cfRule type="cellIs" dxfId="7" priority="4" operator="greaterThan">
      <formula>$G$34</formula>
    </cfRule>
  </conditionalFormatting>
  <conditionalFormatting sqref="J35:K35 M35:N35 P35:Q35">
    <cfRule type="cellIs" dxfId="6" priority="3" operator="greaterThan">
      <formula>$G$35</formula>
    </cfRule>
  </conditionalFormatting>
  <conditionalFormatting sqref="J34">
    <cfRule type="cellIs" dxfId="5" priority="2" stopIfTrue="1" operator="greaterThan">
      <formula>$F34</formula>
    </cfRule>
  </conditionalFormatting>
  <conditionalFormatting sqref="J35">
    <cfRule type="cellIs" dxfId="4" priority="1" stopIfTrue="1" operator="greaterThan">
      <formula>#REF!</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2012-028 Veranda at Groveway, Roswell, Fulton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3134</v>
      </c>
      <c r="F5" s="9" t="s">
        <v>3530</v>
      </c>
      <c r="I5" s="1492" t="s">
        <v>4093</v>
      </c>
      <c r="J5" s="1493"/>
      <c r="K5" s="1493"/>
      <c r="L5" s="1493"/>
      <c r="M5" s="1494"/>
    </row>
    <row r="6" spans="1:20" s="9" customFormat="1" ht="13.15" customHeight="1">
      <c r="A6" s="16"/>
      <c r="F6" s="9" t="s">
        <v>895</v>
      </c>
      <c r="H6" s="31"/>
      <c r="I6" s="1495">
        <v>40695</v>
      </c>
      <c r="J6" s="1496"/>
      <c r="K6" s="74" t="s">
        <v>776</v>
      </c>
      <c r="L6" s="1497" t="s">
        <v>4008</v>
      </c>
      <c r="M6" s="1494"/>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98" t="s">
        <v>4006</v>
      </c>
      <c r="E10" s="1499"/>
      <c r="F10" s="1500" t="s">
        <v>612</v>
      </c>
      <c r="G10" s="1500"/>
      <c r="H10" s="343"/>
      <c r="I10" s="1501"/>
      <c r="J10" s="1501">
        <v>7</v>
      </c>
      <c r="K10" s="1501">
        <v>9</v>
      </c>
      <c r="L10" s="1501"/>
      <c r="M10" s="1501"/>
    </row>
    <row r="11" spans="1:20" s="9" customFormat="1">
      <c r="B11" s="344" t="s">
        <v>644</v>
      </c>
      <c r="C11" s="345"/>
      <c r="D11" s="344" t="s">
        <v>2204</v>
      </c>
      <c r="E11" s="345"/>
      <c r="F11" s="1502" t="s">
        <v>612</v>
      </c>
      <c r="G11" s="1502"/>
      <c r="H11" s="346"/>
      <c r="I11" s="1503"/>
      <c r="J11" s="1503">
        <v>32</v>
      </c>
      <c r="K11" s="1503">
        <v>41</v>
      </c>
      <c r="L11" s="1504"/>
      <c r="M11" s="1504"/>
    </row>
    <row r="12" spans="1:20" s="9" customFormat="1">
      <c r="B12" s="344" t="s">
        <v>2205</v>
      </c>
      <c r="C12" s="345"/>
      <c r="D12" s="1505" t="s">
        <v>2204</v>
      </c>
      <c r="E12" s="1506"/>
      <c r="F12" s="1502" t="s">
        <v>612</v>
      </c>
      <c r="G12" s="1502"/>
      <c r="H12" s="346"/>
      <c r="I12" s="1503"/>
      <c r="J12" s="1503">
        <v>9</v>
      </c>
      <c r="K12" s="1503">
        <v>12</v>
      </c>
      <c r="L12" s="1504"/>
      <c r="M12" s="1504"/>
    </row>
    <row r="13" spans="1:20" s="9" customFormat="1">
      <c r="B13" s="344" t="s">
        <v>2206</v>
      </c>
      <c r="C13" s="345"/>
      <c r="D13" s="1505" t="s">
        <v>2204</v>
      </c>
      <c r="E13" s="1506"/>
      <c r="F13" s="1502" t="s">
        <v>612</v>
      </c>
      <c r="G13" s="1502"/>
      <c r="H13" s="346"/>
      <c r="I13" s="1503"/>
      <c r="J13" s="1503">
        <v>28</v>
      </c>
      <c r="K13" s="1503">
        <v>36</v>
      </c>
      <c r="L13" s="1504"/>
      <c r="M13" s="1504"/>
    </row>
    <row r="14" spans="1:20" s="9" customFormat="1">
      <c r="B14" s="344" t="s">
        <v>2207</v>
      </c>
      <c r="C14" s="345"/>
      <c r="D14" s="344" t="s">
        <v>2204</v>
      </c>
      <c r="E14" s="347"/>
      <c r="F14" s="1502" t="s">
        <v>612</v>
      </c>
      <c r="G14" s="1502"/>
      <c r="H14" s="346"/>
      <c r="I14" s="1503"/>
      <c r="J14" s="1503">
        <v>26</v>
      </c>
      <c r="K14" s="1503">
        <v>33</v>
      </c>
      <c r="L14" s="1504"/>
      <c r="M14" s="1504"/>
    </row>
    <row r="15" spans="1:20" s="9" customFormat="1">
      <c r="B15" s="344" t="s">
        <v>1938</v>
      </c>
      <c r="C15" s="345"/>
      <c r="D15" s="344" t="s">
        <v>3133</v>
      </c>
      <c r="E15" s="1507" t="s">
        <v>3974</v>
      </c>
      <c r="F15" s="1502" t="s">
        <v>612</v>
      </c>
      <c r="G15" s="1502"/>
      <c r="H15" s="346"/>
      <c r="I15" s="1503"/>
      <c r="J15" s="1503">
        <v>50</v>
      </c>
      <c r="K15" s="1503">
        <v>64</v>
      </c>
      <c r="L15" s="1504"/>
      <c r="M15" s="1504"/>
    </row>
    <row r="16" spans="1:20" s="9" customFormat="1">
      <c r="B16" s="348" t="s">
        <v>2722</v>
      </c>
      <c r="C16" s="349"/>
      <c r="D16" s="348"/>
      <c r="E16" s="315"/>
      <c r="F16" s="1508"/>
      <c r="G16" s="1508"/>
      <c r="H16" s="350"/>
      <c r="I16" s="1509"/>
      <c r="J16" s="1509"/>
      <c r="K16" s="1509"/>
      <c r="L16" s="1510"/>
      <c r="M16" s="1510"/>
    </row>
    <row r="17" spans="1:19" s="9" customFormat="1">
      <c r="B17" s="338" t="s">
        <v>1526</v>
      </c>
      <c r="D17" s="31"/>
      <c r="E17" s="31"/>
      <c r="F17" s="108"/>
      <c r="G17" s="108"/>
      <c r="I17" s="847">
        <f>SUM(I10:I16)</f>
        <v>0</v>
      </c>
      <c r="J17" s="847">
        <f>SUM(J10:J16)</f>
        <v>152</v>
      </c>
      <c r="K17" s="847">
        <f>SUM(K10:K16)</f>
        <v>195</v>
      </c>
      <c r="L17" s="847">
        <f>SUM(L10:L16)</f>
        <v>0</v>
      </c>
      <c r="M17" s="847">
        <f>SUM(M10:M16)</f>
        <v>0</v>
      </c>
    </row>
    <row r="18" spans="1:19" s="9" customFormat="1" ht="11.25" customHeight="1">
      <c r="M18" s="31"/>
      <c r="N18" s="31"/>
      <c r="O18" s="31"/>
      <c r="P18" s="31"/>
      <c r="Q18" s="31"/>
      <c r="R18" s="31"/>
      <c r="S18" s="31"/>
    </row>
    <row r="19" spans="1:19" s="9" customFormat="1">
      <c r="A19" s="16" t="s">
        <v>1136</v>
      </c>
      <c r="B19" s="16" t="s">
        <v>3135</v>
      </c>
      <c r="F19" s="9" t="s">
        <v>3530</v>
      </c>
      <c r="I19" s="1497"/>
      <c r="J19" s="1493"/>
      <c r="K19" s="1493"/>
      <c r="L19" s="1493"/>
      <c r="M19" s="1494"/>
    </row>
    <row r="20" spans="1:19" s="9" customFormat="1" ht="13.15" customHeight="1">
      <c r="A20" s="16"/>
      <c r="B20" s="16"/>
      <c r="F20" s="9" t="s">
        <v>895</v>
      </c>
      <c r="H20" s="31"/>
      <c r="I20" s="1495"/>
      <c r="J20" s="1496"/>
      <c r="K20" s="74" t="s">
        <v>776</v>
      </c>
      <c r="L20" s="1497"/>
      <c r="M20" s="1494"/>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98" t="s">
        <v>2684</v>
      </c>
      <c r="E24" s="1499"/>
      <c r="F24" s="1500"/>
      <c r="G24" s="1500"/>
      <c r="H24" s="343"/>
      <c r="I24" s="1501"/>
      <c r="J24" s="1501"/>
      <c r="K24" s="1501"/>
      <c r="L24" s="1501"/>
      <c r="M24" s="1501"/>
    </row>
    <row r="25" spans="1:19" s="9" customFormat="1">
      <c r="B25" s="344" t="s">
        <v>644</v>
      </c>
      <c r="C25" s="345"/>
      <c r="D25" s="344" t="s">
        <v>2204</v>
      </c>
      <c r="E25" s="345"/>
      <c r="F25" s="1502"/>
      <c r="G25" s="1502"/>
      <c r="H25" s="346"/>
      <c r="I25" s="1503"/>
      <c r="J25" s="1503"/>
      <c r="K25" s="1503"/>
      <c r="L25" s="1504"/>
      <c r="M25" s="1504"/>
    </row>
    <row r="26" spans="1:19" s="9" customFormat="1">
      <c r="B26" s="344" t="s">
        <v>2205</v>
      </c>
      <c r="C26" s="345"/>
      <c r="D26" s="1505" t="s">
        <v>2684</v>
      </c>
      <c r="E26" s="1506"/>
      <c r="F26" s="1502"/>
      <c r="G26" s="1502"/>
      <c r="H26" s="346"/>
      <c r="I26" s="1503"/>
      <c r="J26" s="1503"/>
      <c r="K26" s="1503"/>
      <c r="L26" s="1504"/>
      <c r="M26" s="1504"/>
    </row>
    <row r="27" spans="1:19" s="9" customFormat="1">
      <c r="B27" s="344" t="s">
        <v>2206</v>
      </c>
      <c r="C27" s="345"/>
      <c r="D27" s="1505" t="s">
        <v>2684</v>
      </c>
      <c r="E27" s="1506"/>
      <c r="F27" s="1502"/>
      <c r="G27" s="1502"/>
      <c r="H27" s="346"/>
      <c r="I27" s="1503"/>
      <c r="J27" s="1503"/>
      <c r="K27" s="1503"/>
      <c r="L27" s="1504"/>
      <c r="M27" s="1504"/>
    </row>
    <row r="28" spans="1:19" s="9" customFormat="1">
      <c r="B28" s="344" t="s">
        <v>2207</v>
      </c>
      <c r="C28" s="345"/>
      <c r="D28" s="344" t="s">
        <v>2204</v>
      </c>
      <c r="E28" s="347"/>
      <c r="F28" s="1502"/>
      <c r="G28" s="1502"/>
      <c r="H28" s="346"/>
      <c r="I28" s="1503"/>
      <c r="J28" s="1503"/>
      <c r="K28" s="1503"/>
      <c r="L28" s="1504"/>
      <c r="M28" s="1504"/>
    </row>
    <row r="29" spans="1:19" s="9" customFormat="1">
      <c r="B29" s="344" t="s">
        <v>1938</v>
      </c>
      <c r="C29" s="345"/>
      <c r="D29" s="344" t="s">
        <v>3133</v>
      </c>
      <c r="E29" s="1507" t="s">
        <v>240</v>
      </c>
      <c r="F29" s="1502"/>
      <c r="G29" s="1502"/>
      <c r="H29" s="346"/>
      <c r="I29" s="1503"/>
      <c r="J29" s="1503"/>
      <c r="K29" s="1503"/>
      <c r="L29" s="1504"/>
      <c r="M29" s="1504"/>
    </row>
    <row r="30" spans="1:19" s="9" customFormat="1">
      <c r="B30" s="348" t="s">
        <v>2722</v>
      </c>
      <c r="C30" s="349"/>
      <c r="D30" s="348"/>
      <c r="E30" s="315"/>
      <c r="F30" s="1508"/>
      <c r="G30" s="1508"/>
      <c r="H30" s="350"/>
      <c r="I30" s="1509"/>
      <c r="J30" s="1509"/>
      <c r="K30" s="1509"/>
      <c r="L30" s="1510"/>
      <c r="M30" s="1510"/>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11" t="s">
        <v>4049</v>
      </c>
      <c r="C36" s="1512"/>
      <c r="D36" s="1512"/>
      <c r="E36" s="1512"/>
      <c r="F36" s="1512"/>
      <c r="G36" s="1512"/>
      <c r="H36" s="1512"/>
      <c r="I36" s="1512"/>
      <c r="J36" s="1512"/>
      <c r="K36" s="1512"/>
      <c r="L36" s="1512"/>
      <c r="M36" s="1513"/>
      <c r="N36" s="31"/>
      <c r="O36" s="886" t="s">
        <v>3964</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14"/>
      <c r="C39" s="1515"/>
      <c r="D39" s="1515"/>
      <c r="E39" s="1515"/>
      <c r="F39" s="1515"/>
      <c r="G39" s="1515"/>
      <c r="H39" s="1515"/>
      <c r="I39" s="1515"/>
      <c r="J39" s="1515"/>
      <c r="K39" s="1515"/>
      <c r="L39" s="1515"/>
      <c r="M39" s="1516"/>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2012-06-14T12:31:01Z</cp:lastPrinted>
  <dcterms:created xsi:type="dcterms:W3CDTF">2005-09-15T20:51:37Z</dcterms:created>
  <dcterms:modified xsi:type="dcterms:W3CDTF">2012-08-02T21:53:06Z</dcterms:modified>
</cp:coreProperties>
</file>