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0" yWindow="405" windowWidth="16335" windowHeight="9435" tabRatio="821"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P108" i="15"/>
  <c r="P106"/>
  <c r="P142" i="36" l="1"/>
  <c r="F163"/>
  <c r="B28" i="8" l="1"/>
  <c r="C28" s="1"/>
  <c r="D28" s="1"/>
  <c r="E28" s="1"/>
  <c r="F28" s="1"/>
  <c r="G28" s="1"/>
  <c r="H28" s="1"/>
  <c r="I28" s="1"/>
  <c r="J28" s="1"/>
  <c r="K28" s="1"/>
  <c r="B58" s="1"/>
  <c r="C58" s="1"/>
  <c r="D58" s="1"/>
  <c r="E58" s="1"/>
  <c r="F58" s="1"/>
  <c r="G58" s="1"/>
  <c r="H58" s="1"/>
  <c r="I58" s="1"/>
  <c r="K58" s="1"/>
  <c r="B88" s="1"/>
  <c r="C88" s="1"/>
  <c r="D88" s="1"/>
  <c r="E88" s="1"/>
  <c r="F88" s="1"/>
  <c r="G88" s="1"/>
  <c r="H88" s="1"/>
  <c r="I88" s="1"/>
  <c r="J88" s="1"/>
  <c r="K88" s="1"/>
  <c r="F157" i="36"/>
  <c r="F159"/>
  <c r="K159"/>
  <c r="P74" i="15"/>
  <c r="P73"/>
  <c r="P71"/>
  <c r="P67"/>
  <c r="P66"/>
  <c r="P65"/>
  <c r="P63"/>
  <c r="P62"/>
  <c r="P61"/>
  <c r="P60"/>
  <c r="P59"/>
  <c r="P55"/>
  <c r="P53"/>
  <c r="P52"/>
  <c r="P51"/>
  <c r="P49"/>
  <c r="P48"/>
  <c r="P34"/>
  <c r="P30"/>
  <c r="S19"/>
  <c r="P25"/>
  <c r="P80"/>
  <c r="P12"/>
  <c r="P14"/>
  <c r="P10"/>
  <c r="P9"/>
  <c r="P8"/>
  <c r="F161" i="36" l="1"/>
  <c r="F144"/>
  <c r="F142"/>
  <c r="S113" i="15"/>
  <c r="S112"/>
  <c r="S111"/>
  <c r="S101"/>
  <c r="S100"/>
  <c r="S93"/>
  <c r="S92"/>
  <c r="S91"/>
  <c r="S90"/>
  <c r="S89"/>
  <c r="G35"/>
  <c r="P35" s="1"/>
  <c r="S22"/>
  <c r="G66" l="1"/>
  <c r="S6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P218" i="11"/>
  <c r="D40" i="8"/>
  <c r="C70"/>
  <c r="C100"/>
  <c r="O273" i="11"/>
  <c r="P273"/>
  <c r="D100" i="8" l="1"/>
  <c r="D70"/>
  <c r="E40"/>
  <c r="M291" i="11"/>
  <c r="M6" s="1"/>
  <c r="L277"/>
  <c r="A265"/>
  <c r="P246"/>
  <c r="O246"/>
  <c r="L233"/>
  <c r="K221"/>
  <c r="P242" l="1"/>
  <c r="O242"/>
  <c r="F40" i="8"/>
  <c r="E70"/>
  <c r="E100"/>
  <c r="O218" i="11"/>
  <c r="O264"/>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3" l="1"/>
  <c r="H40"/>
  <c r="G70"/>
  <c r="G100"/>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48" s="1"/>
  <c r="I56" s="1"/>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48" s="1"/>
  <c r="H59" s="1"/>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B48" s="1"/>
  <c r="J64" s="1"/>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A64" i="8"/>
  <c r="A94" s="1"/>
  <c r="A63"/>
  <c r="A93" s="1"/>
  <c r="A62"/>
  <c r="A92" s="1"/>
  <c r="A61"/>
  <c r="A91" s="1"/>
  <c r="A56"/>
  <c r="A86" s="1"/>
  <c r="A55"/>
  <c r="A85" s="1"/>
  <c r="A54"/>
  <c r="A84" s="1"/>
  <c r="A53"/>
  <c r="A83" s="1"/>
  <c r="R218" i="11"/>
  <c r="L182"/>
  <c r="R163"/>
  <c r="R162"/>
  <c r="L228"/>
  <c r="G133"/>
  <c r="M37" i="3"/>
  <c r="M36"/>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1"/>
  <c r="L11" s="1"/>
  <c r="K15"/>
  <c r="L15" s="1"/>
  <c r="K16"/>
  <c r="L16" s="1"/>
  <c r="K18"/>
  <c r="L18" s="1"/>
  <c r="K19"/>
  <c r="L19"/>
  <c r="K20"/>
  <c r="L20" s="1"/>
  <c r="K21"/>
  <c r="L21" s="1"/>
  <c r="K22"/>
  <c r="L22" s="1"/>
  <c r="K23"/>
  <c r="L23"/>
  <c r="K24"/>
  <c r="L24" s="1"/>
  <c r="K25"/>
  <c r="L25" s="1"/>
  <c r="K26"/>
  <c r="L26" s="1"/>
  <c r="K27"/>
  <c r="L27"/>
  <c r="K28"/>
  <c r="L28" s="1"/>
  <c r="K29"/>
  <c r="L29" s="1"/>
  <c r="K30"/>
  <c r="L30" s="1"/>
  <c r="K31"/>
  <c r="L31"/>
  <c r="K32"/>
  <c r="L32" s="1"/>
  <c r="K33"/>
  <c r="L33" s="1"/>
  <c r="K34"/>
  <c r="L34" s="1"/>
  <c r="K35"/>
  <c r="L35"/>
  <c r="K36"/>
  <c r="L36" s="1"/>
  <c r="K37"/>
  <c r="L37" s="1"/>
  <c r="K38"/>
  <c r="L38" s="1"/>
  <c r="K39"/>
  <c r="L39"/>
  <c r="K40"/>
  <c r="L40" s="1"/>
  <c r="K41"/>
  <c r="L41" s="1"/>
  <c r="K42"/>
  <c r="L42" s="1"/>
  <c r="K43"/>
  <c r="L43"/>
  <c r="K44"/>
  <c r="L44" s="1"/>
  <c r="K45"/>
  <c r="L45" s="1"/>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I48" s="1"/>
  <c r="L87" s="1"/>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V48" i="36" l="1"/>
  <c r="AM48"/>
  <c r="J59" s="1"/>
  <c r="X48"/>
  <c r="J56" s="1"/>
  <c r="FT48"/>
  <c r="L90" s="1"/>
  <c r="CT48"/>
  <c r="CS48"/>
  <c r="AU48"/>
  <c r="H65" s="1"/>
  <c r="AY48"/>
  <c r="L65" s="1"/>
  <c r="BC48"/>
  <c r="K64" s="1"/>
  <c r="AS48"/>
  <c r="AZ48"/>
  <c r="H64" s="1"/>
  <c r="H66" s="1"/>
  <c r="AX48"/>
  <c r="K65" s="1"/>
  <c r="L26" i="3"/>
  <c r="L27" s="1"/>
  <c r="Z48" i="36"/>
  <c r="L56" s="1"/>
  <c r="V48"/>
  <c r="H56" s="1"/>
  <c r="AO48"/>
  <c r="L59" s="1"/>
  <c r="Y48"/>
  <c r="K56" s="1"/>
  <c r="K58" s="1"/>
  <c r="AV48"/>
  <c r="I65" s="1"/>
  <c r="BD48"/>
  <c r="L64" s="1"/>
  <c r="L66" s="1"/>
  <c r="G29" i="8"/>
  <c r="D29"/>
  <c r="E29"/>
  <c r="I29"/>
  <c r="F29"/>
  <c r="J29"/>
  <c r="K29"/>
  <c r="H29"/>
  <c r="F106" i="15"/>
  <c r="E17" i="8"/>
  <c r="K17"/>
  <c r="D17"/>
  <c r="J18"/>
  <c r="F18"/>
  <c r="D18"/>
  <c r="I84"/>
  <c r="E84"/>
  <c r="K54"/>
  <c r="G54"/>
  <c r="C54"/>
  <c r="I24"/>
  <c r="E24"/>
  <c r="H84"/>
  <c r="D84"/>
  <c r="J54"/>
  <c r="F54"/>
  <c r="B54"/>
  <c r="H24"/>
  <c r="D24"/>
  <c r="J84"/>
  <c r="F84"/>
  <c r="H54"/>
  <c r="F24"/>
  <c r="B24"/>
  <c r="K84"/>
  <c r="G84"/>
  <c r="C84"/>
  <c r="I54"/>
  <c r="E54"/>
  <c r="K24"/>
  <c r="G24"/>
  <c r="C24"/>
  <c r="B84"/>
  <c r="D54"/>
  <c r="J24"/>
  <c r="FW48" i="36"/>
  <c r="J85" s="1"/>
  <c r="J17" i="8"/>
  <c r="G17"/>
  <c r="C17"/>
  <c r="K85"/>
  <c r="G85"/>
  <c r="C85"/>
  <c r="I55"/>
  <c r="E55"/>
  <c r="K25"/>
  <c r="G25"/>
  <c r="C25"/>
  <c r="J85"/>
  <c r="F85"/>
  <c r="B85"/>
  <c r="H55"/>
  <c r="D55"/>
  <c r="J25"/>
  <c r="F25"/>
  <c r="B25"/>
  <c r="H85"/>
  <c r="J55"/>
  <c r="F55"/>
  <c r="D25"/>
  <c r="I85"/>
  <c r="E85"/>
  <c r="K55"/>
  <c r="G55"/>
  <c r="C55"/>
  <c r="I25"/>
  <c r="E25"/>
  <c r="D85"/>
  <c r="B55"/>
  <c r="H25"/>
  <c r="F107" i="15"/>
  <c r="AW48" i="36"/>
  <c r="J65" s="1"/>
  <c r="J66" s="1"/>
  <c r="BA48"/>
  <c r="I64" s="1"/>
  <c r="L254" i="11"/>
  <c r="H17" i="8"/>
  <c r="B18"/>
  <c r="H18"/>
  <c r="CU48" i="36"/>
  <c r="GG48"/>
  <c r="J87" s="1"/>
  <c r="I17" i="8"/>
  <c r="F17"/>
  <c r="B17"/>
  <c r="K18"/>
  <c r="I18"/>
  <c r="G18"/>
  <c r="E18"/>
  <c r="C18"/>
  <c r="CW48" i="36"/>
  <c r="I86" i="8"/>
  <c r="E86"/>
  <c r="K56"/>
  <c r="G56"/>
  <c r="C56"/>
  <c r="I26"/>
  <c r="E26"/>
  <c r="H86"/>
  <c r="D86"/>
  <c r="J56"/>
  <c r="F56"/>
  <c r="B56"/>
  <c r="H26"/>
  <c r="D26"/>
  <c r="H56"/>
  <c r="J26"/>
  <c r="B26"/>
  <c r="K86"/>
  <c r="G86"/>
  <c r="C86"/>
  <c r="I56"/>
  <c r="E56"/>
  <c r="K26"/>
  <c r="G26"/>
  <c r="C26"/>
  <c r="J86"/>
  <c r="F86"/>
  <c r="B86"/>
  <c r="D56"/>
  <c r="F26"/>
  <c r="GS48" i="36"/>
  <c r="FB48"/>
  <c r="I89" s="1"/>
  <c r="EX48"/>
  <c r="FN48"/>
  <c r="K91" s="1"/>
  <c r="GZ48"/>
  <c r="HL48"/>
  <c r="FP48"/>
  <c r="H90" s="1"/>
  <c r="GO48"/>
  <c r="BG48"/>
  <c r="BY48"/>
  <c r="H94" s="1"/>
  <c r="AN48"/>
  <c r="K59" s="1"/>
  <c r="AL48"/>
  <c r="I59" s="1"/>
  <c r="AE48"/>
  <c r="L57" s="1"/>
  <c r="AD48"/>
  <c r="K57" s="1"/>
  <c r="AC48"/>
  <c r="J57" s="1"/>
  <c r="AB48"/>
  <c r="I57" s="1"/>
  <c r="I58" s="1"/>
  <c r="I60" s="1"/>
  <c r="AA48"/>
  <c r="H57" s="1"/>
  <c r="FH48"/>
  <c r="J92" s="1"/>
  <c r="GH48"/>
  <c r="K87" s="1"/>
  <c r="GF48"/>
  <c r="I87" s="1"/>
  <c r="HF48"/>
  <c r="FY48"/>
  <c r="L85" s="1"/>
  <c r="AT48"/>
  <c r="AR48"/>
  <c r="AP48"/>
  <c r="B36" i="8"/>
  <c r="J154" i="15"/>
  <c r="J155" s="1"/>
  <c r="J157" s="1"/>
  <c r="J159" s="1"/>
  <c r="B39"/>
  <c r="F42" s="1"/>
  <c r="F108"/>
  <c r="F34"/>
  <c r="C109"/>
  <c r="M123"/>
  <c r="M140" s="1"/>
  <c r="M142" s="1"/>
  <c r="M144" s="1"/>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FR48"/>
  <c r="J90" s="1"/>
  <c r="HH48"/>
  <c r="BE48"/>
  <c r="BI48"/>
  <c r="J5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CL48"/>
  <c r="AI48"/>
  <c r="HA48"/>
  <c r="HG48"/>
  <c r="HM48"/>
  <c r="HI48"/>
  <c r="GP48"/>
  <c r="GV48"/>
  <c r="BO48"/>
  <c r="H68" s="1"/>
  <c r="BL48"/>
  <c r="J69" s="1"/>
  <c r="BQ48"/>
  <c r="J68" s="1"/>
  <c r="D23" i="8"/>
  <c r="J63"/>
  <c r="F23"/>
  <c r="J23"/>
  <c r="B32"/>
  <c r="K92"/>
  <c r="E23"/>
  <c r="G23"/>
  <c r="I23"/>
  <c r="K23"/>
  <c r="GN48" i="36"/>
  <c r="L88" s="1"/>
  <c r="GL48"/>
  <c r="J88" s="1"/>
  <c r="GJ48"/>
  <c r="H88" s="1"/>
  <c r="GD48"/>
  <c r="L86" s="1"/>
  <c r="GB48"/>
  <c r="J86" s="1"/>
  <c r="FZ48"/>
  <c r="H86" s="1"/>
  <c r="FX48"/>
  <c r="K85" s="1"/>
  <c r="FV48"/>
  <c r="I85" s="1"/>
  <c r="FO48"/>
  <c r="L91" s="1"/>
  <c r="FM48"/>
  <c r="J91" s="1"/>
  <c r="FI48"/>
  <c r="K92" s="1"/>
  <c r="FG48"/>
  <c r="I92" s="1"/>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F62" i="8" l="1"/>
  <c r="B63"/>
  <c r="B33"/>
  <c r="D63"/>
  <c r="M56" i="36"/>
  <c r="M64"/>
  <c r="J60"/>
  <c r="J62" s="1"/>
  <c r="H58"/>
  <c r="H60" s="1"/>
  <c r="H62" s="1"/>
  <c r="M90"/>
  <c r="Q90" s="1"/>
  <c r="I66"/>
  <c r="K66"/>
  <c r="M65"/>
  <c r="M89"/>
  <c r="Q89" s="1"/>
  <c r="M59"/>
  <c r="L58"/>
  <c r="L60" s="1"/>
  <c r="L62" s="1"/>
  <c r="I77"/>
  <c r="M87"/>
  <c r="K60"/>
  <c r="K62" s="1"/>
  <c r="K80"/>
  <c r="M72"/>
  <c r="Q72" s="1"/>
  <c r="H74"/>
  <c r="K77"/>
  <c r="M79"/>
  <c r="Q79" s="1"/>
  <c r="F63" i="8"/>
  <c r="D92"/>
  <c r="I84" i="36"/>
  <c r="J70"/>
  <c r="L70"/>
  <c r="M99"/>
  <c r="M57"/>
  <c r="D93" i="8"/>
  <c r="H32"/>
  <c r="H70" i="36"/>
  <c r="H33" i="8"/>
  <c r="I80" i="36"/>
  <c r="M75"/>
  <c r="Q75" s="1"/>
  <c r="M76"/>
  <c r="Q76" s="1"/>
  <c r="L77"/>
  <c r="M78"/>
  <c r="Q78" s="1"/>
  <c r="K70"/>
  <c r="J80"/>
  <c r="L80"/>
  <c r="J77"/>
  <c r="M61"/>
  <c r="M91"/>
  <c r="Q91" s="1"/>
  <c r="M69"/>
  <c r="Q69" s="1"/>
  <c r="M73"/>
  <c r="Q73" s="1"/>
  <c r="B41" i="8"/>
  <c r="J282" i="11"/>
  <c r="J40" i="8"/>
  <c r="I70"/>
  <c r="I100"/>
  <c r="F33"/>
  <c r="I70" i="36"/>
  <c r="H80"/>
  <c r="K84"/>
  <c r="M68"/>
  <c r="Q68" s="1"/>
  <c r="H77"/>
  <c r="I74"/>
  <c r="H50" i="3"/>
  <c r="O42" s="1"/>
  <c r="I213" i="11"/>
  <c r="I214" s="1"/>
  <c r="M85" i="36"/>
  <c r="J84"/>
  <c r="H84"/>
  <c r="L84"/>
  <c r="M88"/>
  <c r="M86"/>
  <c r="J74"/>
  <c r="L74"/>
  <c r="I62"/>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Q65"/>
  <c r="Q56"/>
  <c r="H51" i="7"/>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59" l="1"/>
  <c r="M66"/>
  <c r="Q66" s="1"/>
  <c r="H52" i="7"/>
  <c r="Q64" i="36"/>
  <c r="I51" i="7"/>
  <c r="I50"/>
  <c r="Q99" i="36"/>
  <c r="M58"/>
  <c r="M60"/>
  <c r="Q60" s="1"/>
  <c r="M70"/>
  <c r="Q70" s="1"/>
  <c r="Q61"/>
  <c r="Q97"/>
  <c r="H54" i="7"/>
  <c r="P52"/>
  <c r="Q11" i="36"/>
  <c r="Q12"/>
  <c r="Q13"/>
  <c r="H50" i="7"/>
  <c r="H49" s="1"/>
  <c r="Q57" i="36"/>
  <c r="L214" i="11"/>
  <c r="P201" s="1"/>
  <c r="M80" i="36"/>
  <c r="M84"/>
  <c r="Q84" s="1"/>
  <c r="M77"/>
  <c r="C41" i="8"/>
  <c r="J100"/>
  <c r="J70"/>
  <c r="K40"/>
  <c r="O201" i="11"/>
  <c r="Q58" i="36"/>
  <c r="P50" i="7"/>
  <c r="O41" i="3"/>
  <c r="O43" s="1"/>
  <c r="H51"/>
  <c r="M74" i="36"/>
  <c r="C36" i="8"/>
  <c r="M62" i="36"/>
  <c r="R13" i="24"/>
  <c r="R11"/>
  <c r="D125" i="15" s="1"/>
  <c r="R12" i="24"/>
  <c r="M96" i="36"/>
  <c r="H98"/>
  <c r="H53" i="7" l="1"/>
  <c r="H55" s="1"/>
  <c r="P141"/>
  <c r="L32" i="11"/>
  <c r="P140" i="7"/>
  <c r="L31" i="11"/>
  <c r="Q80" i="36"/>
  <c r="F45" i="7"/>
  <c r="F44"/>
  <c r="Q77" i="36"/>
  <c r="D41" i="8"/>
  <c r="D36"/>
  <c r="O193" i="11"/>
  <c r="P193"/>
  <c r="K70" i="8"/>
  <c r="K100"/>
  <c r="J177" i="11"/>
  <c r="L177" s="1"/>
  <c r="E93" i="15"/>
  <c r="F42" i="7"/>
  <c r="Q74" i="36"/>
  <c r="J158"/>
  <c r="J157"/>
  <c r="P71" i="7"/>
  <c r="P69"/>
  <c r="Q62" i="36"/>
  <c r="G125" i="15"/>
  <c r="J159" i="36"/>
  <c r="P67" i="7"/>
  <c r="F115" i="15"/>
  <c r="P160" i="36"/>
  <c r="D38" i="15"/>
  <c r="M98" i="36"/>
  <c r="Q98" s="1"/>
  <c r="H100"/>
  <c r="M100" s="1"/>
  <c r="P49" i="7"/>
  <c r="P51" s="1"/>
  <c r="P53" s="1"/>
  <c r="P58" s="1"/>
  <c r="Q96" i="36"/>
  <c r="P30" i="11" l="1"/>
  <c r="P291" s="1"/>
  <c r="P6" s="1"/>
  <c r="O30"/>
  <c r="J145" i="15"/>
  <c r="J146" s="1"/>
  <c r="J148" s="1"/>
  <c r="E41" i="8"/>
  <c r="E36"/>
  <c r="P145" i="15"/>
  <c r="P146" s="1"/>
  <c r="P148" s="1"/>
  <c r="M145"/>
  <c r="M146" s="1"/>
  <c r="M148" s="1"/>
  <c r="J152"/>
  <c r="M151"/>
  <c r="B21" i="8"/>
  <c r="Q100" i="36"/>
  <c r="Q53" s="1"/>
  <c r="D39" i="15"/>
  <c r="M125"/>
  <c r="R30" i="11" l="1"/>
  <c r="O291"/>
  <c r="O292" s="1"/>
  <c r="L30"/>
  <c r="F41" i="8"/>
  <c r="F36"/>
  <c r="J149" i="15"/>
  <c r="J161" s="1"/>
  <c r="P292" i="11"/>
  <c r="B81" i="8"/>
  <c r="J81"/>
  <c r="H81"/>
  <c r="F81"/>
  <c r="D81"/>
  <c r="C81"/>
  <c r="K51"/>
  <c r="I51"/>
  <c r="G51"/>
  <c r="E51"/>
  <c r="C51"/>
  <c r="D21"/>
  <c r="F21"/>
  <c r="H21"/>
  <c r="J21"/>
  <c r="K81"/>
  <c r="G81"/>
  <c r="J51"/>
  <c r="F51"/>
  <c r="E21"/>
  <c r="I81"/>
  <c r="E81"/>
  <c r="B51"/>
  <c r="H51"/>
  <c r="D51"/>
  <c r="C21"/>
  <c r="G21"/>
  <c r="I21"/>
  <c r="K21"/>
  <c r="O6" i="11" l="1"/>
  <c r="M163" i="15"/>
  <c r="J165"/>
  <c r="J40" i="3" s="1"/>
  <c r="L40" s="1"/>
  <c r="G41" i="8"/>
  <c r="G36"/>
  <c r="E92" i="15" l="1"/>
  <c r="J41" i="3"/>
  <c r="L41" s="1"/>
  <c r="J6" i="7"/>
  <c r="H41" i="8"/>
  <c r="H36"/>
  <c r="I41" l="1"/>
  <c r="I36"/>
  <c r="J41" l="1"/>
  <c r="J36"/>
  <c r="K41" l="1"/>
  <c r="K36"/>
  <c r="B71" l="1"/>
  <c r="B66"/>
  <c r="C71" l="1"/>
  <c r="C66"/>
  <c r="D71" l="1"/>
  <c r="D66"/>
  <c r="E71" l="1"/>
  <c r="E66"/>
  <c r="F71" l="1"/>
  <c r="F66"/>
  <c r="G71" l="1"/>
  <c r="G66"/>
  <c r="H71" l="1"/>
  <c r="H66"/>
  <c r="I71" l="1"/>
  <c r="I66"/>
  <c r="J71" l="1"/>
  <c r="J66"/>
  <c r="K71" l="1"/>
  <c r="K66"/>
  <c r="B101" l="1"/>
  <c r="B96"/>
  <c r="C101" l="1"/>
  <c r="C96"/>
  <c r="D101" l="1"/>
  <c r="D96"/>
  <c r="E101" l="1"/>
  <c r="E96"/>
  <c r="F101" l="1"/>
  <c r="F96"/>
  <c r="G101" l="1"/>
  <c r="G96"/>
  <c r="H101" l="1"/>
  <c r="H96"/>
  <c r="I101" l="1"/>
  <c r="I96"/>
  <c r="J101" l="1"/>
  <c r="J96"/>
  <c r="K101" l="1"/>
  <c r="K96"/>
  <c r="P10" i="36"/>
  <c r="Q10"/>
  <c r="A10"/>
  <c r="A48" s="1"/>
  <c r="A7" s="1"/>
  <c r="K10"/>
  <c r="L10" s="1"/>
  <c r="L48" s="1"/>
  <c r="L49" s="1"/>
  <c r="B14" i="8" s="1"/>
  <c r="I14" l="1"/>
  <c r="C44"/>
  <c r="B74"/>
  <c r="H14"/>
  <c r="I44"/>
  <c r="I74"/>
  <c r="F74"/>
  <c r="D74"/>
  <c r="J14"/>
  <c r="B15"/>
  <c r="B16" s="1"/>
  <c r="E44"/>
  <c r="H44"/>
  <c r="C14"/>
  <c r="B44"/>
  <c r="D14"/>
  <c r="F44"/>
  <c r="K74"/>
  <c r="E14"/>
  <c r="C74"/>
  <c r="G14"/>
  <c r="K14"/>
  <c r="G74"/>
  <c r="K44"/>
  <c r="J74"/>
  <c r="H74"/>
  <c r="D44"/>
  <c r="O104" i="36"/>
  <c r="E74" i="8"/>
  <c r="J44"/>
  <c r="G44"/>
  <c r="F14"/>
  <c r="B20" l="1"/>
  <c r="P147" i="36" s="1"/>
  <c r="K6" i="8"/>
  <c r="K7"/>
  <c r="K5"/>
  <c r="B75"/>
  <c r="B76" s="1"/>
  <c r="G75"/>
  <c r="G76" s="1"/>
  <c r="J15"/>
  <c r="J16" s="1"/>
  <c r="E75"/>
  <c r="E76" s="1"/>
  <c r="K75"/>
  <c r="K76" s="1"/>
  <c r="D15"/>
  <c r="F75"/>
  <c r="F76" s="1"/>
  <c r="D45"/>
  <c r="I15"/>
  <c r="J45"/>
  <c r="J46" s="1"/>
  <c r="I75"/>
  <c r="E45"/>
  <c r="G15"/>
  <c r="G16" s="1"/>
  <c r="B45"/>
  <c r="I45"/>
  <c r="I46" s="1"/>
  <c r="D75"/>
  <c r="D76" s="1"/>
  <c r="F45"/>
  <c r="F46" s="1"/>
  <c r="H15"/>
  <c r="H16" s="1"/>
  <c r="F15"/>
  <c r="F16" s="1"/>
  <c r="H45"/>
  <c r="H46" s="1"/>
  <c r="C45"/>
  <c r="J75"/>
  <c r="C75"/>
  <c r="C76" s="1"/>
  <c r="C15"/>
  <c r="K15"/>
  <c r="E15"/>
  <c r="G45"/>
  <c r="G46" s="1"/>
  <c r="K45"/>
  <c r="K46" s="1"/>
  <c r="H75"/>
  <c r="H76" s="1"/>
  <c r="D80" l="1"/>
  <c r="J50"/>
  <c r="I50"/>
  <c r="B80"/>
  <c r="C80"/>
  <c r="H20"/>
  <c r="G80"/>
  <c r="G50"/>
  <c r="K80"/>
  <c r="H50"/>
  <c r="G20"/>
  <c r="P157" i="36"/>
  <c r="N149"/>
  <c r="N148"/>
  <c r="F20" i="8"/>
  <c r="J20"/>
  <c r="H80"/>
  <c r="F80"/>
  <c r="K50"/>
  <c r="F50"/>
  <c r="E80"/>
  <c r="C46"/>
  <c r="K16"/>
  <c r="K20" s="1"/>
  <c r="B46"/>
  <c r="E46"/>
  <c r="D46"/>
  <c r="D50" s="1"/>
  <c r="C16"/>
  <c r="E16"/>
  <c r="I76"/>
  <c r="J76"/>
  <c r="J80" s="1"/>
  <c r="D16"/>
  <c r="I16"/>
  <c r="B19" l="1"/>
  <c r="N157" i="36"/>
  <c r="P165"/>
  <c r="I20" i="8"/>
  <c r="D20"/>
  <c r="C50"/>
  <c r="E20"/>
  <c r="C20"/>
  <c r="E50"/>
  <c r="B50"/>
  <c r="I80"/>
  <c r="C65" l="1"/>
  <c r="E49"/>
  <c r="G19"/>
  <c r="J49"/>
  <c r="H79"/>
  <c r="H19"/>
  <c r="C49"/>
  <c r="I49"/>
  <c r="C79"/>
  <c r="D49"/>
  <c r="G49"/>
  <c r="G79"/>
  <c r="J19"/>
  <c r="K19"/>
  <c r="E19"/>
  <c r="F49"/>
  <c r="D79"/>
  <c r="J79"/>
  <c r="F19"/>
  <c r="I79"/>
  <c r="K79"/>
  <c r="I19"/>
  <c r="H49"/>
  <c r="B79"/>
  <c r="F79"/>
  <c r="E79"/>
  <c r="C19"/>
  <c r="K49"/>
  <c r="D19"/>
  <c r="B49"/>
  <c r="B65" s="1"/>
  <c r="B35"/>
  <c r="B22"/>
  <c r="E35"/>
  <c r="C35" l="1"/>
  <c r="C22"/>
  <c r="H52"/>
  <c r="H65"/>
  <c r="F22"/>
  <c r="F35"/>
  <c r="E22"/>
  <c r="G52"/>
  <c r="G65"/>
  <c r="C52"/>
  <c r="G35"/>
  <c r="G22"/>
  <c r="B31"/>
  <c r="B30"/>
  <c r="K52"/>
  <c r="K65"/>
  <c r="B95"/>
  <c r="B82"/>
  <c r="I95"/>
  <c r="I82"/>
  <c r="F52"/>
  <c r="F65"/>
  <c r="G82"/>
  <c r="G95"/>
  <c r="I52"/>
  <c r="I65"/>
  <c r="J65"/>
  <c r="J52"/>
  <c r="D22"/>
  <c r="D35"/>
  <c r="F82"/>
  <c r="F95"/>
  <c r="K95"/>
  <c r="K82"/>
  <c r="D95"/>
  <c r="D82"/>
  <c r="J22"/>
  <c r="J35"/>
  <c r="C95"/>
  <c r="C82"/>
  <c r="H82"/>
  <c r="H95"/>
  <c r="B52"/>
  <c r="E82"/>
  <c r="E95"/>
  <c r="I22"/>
  <c r="I35"/>
  <c r="J95"/>
  <c r="J82"/>
  <c r="K35"/>
  <c r="K22"/>
  <c r="D65"/>
  <c r="D52"/>
  <c r="H22"/>
  <c r="H35"/>
  <c r="E65"/>
  <c r="E52"/>
  <c r="D91" l="1"/>
  <c r="D90"/>
  <c r="E91"/>
  <c r="E90"/>
  <c r="G61"/>
  <c r="G60"/>
  <c r="H61"/>
  <c r="H60"/>
  <c r="D61"/>
  <c r="D60"/>
  <c r="J61"/>
  <c r="J60"/>
  <c r="I91"/>
  <c r="I90"/>
  <c r="K30"/>
  <c r="K31"/>
  <c r="B60"/>
  <c r="B61"/>
  <c r="K91"/>
  <c r="K90"/>
  <c r="F90"/>
  <c r="F91"/>
  <c r="G91"/>
  <c r="G90"/>
  <c r="B91"/>
  <c r="B90"/>
  <c r="K61"/>
  <c r="K60"/>
  <c r="G31"/>
  <c r="G30"/>
  <c r="E31"/>
  <c r="E30"/>
  <c r="C30"/>
  <c r="C31"/>
  <c r="H91"/>
  <c r="H90"/>
  <c r="I61"/>
  <c r="I60"/>
  <c r="E61"/>
  <c r="E60"/>
  <c r="H31"/>
  <c r="H30"/>
  <c r="J90"/>
  <c r="J91"/>
  <c r="I30"/>
  <c r="I31"/>
  <c r="C91"/>
  <c r="C90"/>
  <c r="J31"/>
  <c r="J30"/>
  <c r="D31"/>
  <c r="D30"/>
  <c r="F61"/>
  <c r="F60"/>
  <c r="C60"/>
  <c r="C61"/>
  <c r="F30"/>
  <c r="F31"/>
</calcChain>
</file>

<file path=xl/sharedStrings.xml><?xml version="1.0" encoding="utf-8"?>
<sst xmlns="http://schemas.openxmlformats.org/spreadsheetml/2006/main" count="7884" uniqueCount="4100">
  <si>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</si>
  <si>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</si>
  <si>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</si>
  <si>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</si>
  <si>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</si>
  <si>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</si>
  <si>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</si>
  <si>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</si>
  <si>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</si>
  <si>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</si>
  <si>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</si>
  <si>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</si>
  <si>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</si>
  <si>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</si>
  <si>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</si>
  <si>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</si>
  <si>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</si>
  <si>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</si>
  <si>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</si>
  <si>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</si>
  <si>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</si>
  <si>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</si>
  <si>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</si>
  <si>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</si>
  <si>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</si>
  <si>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</si>
  <si>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</si>
  <si>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</si>
  <si>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</si>
  <si>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</si>
  <si>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</si>
  <si>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</si>
  <si>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</si>
  <si>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</si>
  <si>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</si>
  <si>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</si>
  <si>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</si>
  <si>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</si>
  <si>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</si>
  <si>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</si>
  <si>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</si>
  <si>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</si>
  <si>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</si>
  <si>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</si>
  <si>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</si>
  <si>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</si>
  <si>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</si>
  <si>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</si>
  <si>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</si>
  <si>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</si>
  <si>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</si>
  <si>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</si>
  <si>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</si>
  <si>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</si>
  <si>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</si>
  <si>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</si>
  <si>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</si>
  <si>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</si>
  <si>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</si>
  <si>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</si>
  <si>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</si>
  <si>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</si>
  <si>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</si>
  <si>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</si>
  <si>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</si>
  <si>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</si>
  <si>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</si>
  <si>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</si>
  <si>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</si>
  <si>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</si>
  <si>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</si>
  <si>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</si>
  <si>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</si>
  <si>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</si>
  <si>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</si>
  <si>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</si>
  <si>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</si>
  <si>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</si>
  <si>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</si>
  <si>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</si>
  <si>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</si>
  <si>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</si>
  <si>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</si>
  <si>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</si>
  <si>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</si>
  <si>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</si>
  <si>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</si>
  <si>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</si>
  <si>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</si>
  <si>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</si>
  <si>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</si>
  <si>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</si>
  <si>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</si>
  <si>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</si>
  <si>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</si>
  <si>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</si>
  <si>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</si>
  <si>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</si>
  <si>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</si>
  <si>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</si>
  <si>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</si>
  <si>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</si>
  <si>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</si>
  <si>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</si>
  <si>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</si>
  <si>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</si>
  <si>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</si>
  <si>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</si>
  <si>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</si>
  <si>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</si>
  <si>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</si>
  <si>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</si>
  <si>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</si>
  <si>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</si>
  <si>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</si>
  <si>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</si>
  <si>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</si>
  <si>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</si>
  <si>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</si>
  <si>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</si>
  <si>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</si>
  <si>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</si>
  <si>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</si>
  <si>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</si>
  <si>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</si>
  <si>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</si>
  <si>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</si>
  <si>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</si>
  <si>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</si>
  <si>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</si>
  <si>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</si>
  <si>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</si>
  <si>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</si>
  <si>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</si>
  <si>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</si>
  <si>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</si>
  <si>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</si>
  <si>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</si>
  <si>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</si>
  <si>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</si>
  <si>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</si>
  <si>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</si>
  <si>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</si>
  <si>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</si>
  <si>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</si>
  <si>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</si>
  <si>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</si>
  <si>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</si>
  <si>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</si>
  <si>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</si>
  <si>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</si>
  <si>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</si>
  <si>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</si>
  <si>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</si>
  <si>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</si>
  <si>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</si>
  <si>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</si>
  <si>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</si>
  <si>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</si>
  <si>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</si>
  <si>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</si>
  <si>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</si>
  <si>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</si>
  <si>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</si>
  <si>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</si>
  <si>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</si>
  <si>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</si>
  <si>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</si>
  <si>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</si>
  <si>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</si>
  <si>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</si>
  <si>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</si>
  <si>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</si>
  <si>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</si>
  <si>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</si>
  <si>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</si>
  <si>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</si>
  <si>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</si>
  <si>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</si>
  <si>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</si>
  <si>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</si>
  <si>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</si>
  <si>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</si>
  <si>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</si>
  <si>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</si>
  <si>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</si>
  <si>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</si>
  <si>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</si>
  <si>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</si>
  <si>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</si>
  <si>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</si>
  <si>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</si>
  <si>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</si>
  <si>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</si>
  <si>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</si>
  <si>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</si>
  <si>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</si>
  <si>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</si>
  <si>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</si>
  <si>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</si>
  <si>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</si>
  <si>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</si>
  <si>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</si>
  <si>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</si>
  <si>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</si>
  <si>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</si>
  <si>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</si>
  <si>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</si>
  <si>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</si>
  <si>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</si>
  <si>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</si>
  <si>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</si>
  <si>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</si>
  <si>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</si>
  <si>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</si>
  <si>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</si>
  <si>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</si>
  <si>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</si>
  <si>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</si>
  <si>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</si>
  <si>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</si>
  <si>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</si>
  <si>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</si>
  <si>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</si>
  <si>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</si>
  <si>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</si>
  <si>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</si>
  <si>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</si>
  <si>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</si>
  <si>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</si>
  <si>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</si>
  <si>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</si>
  <si>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</si>
  <si>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</si>
  <si>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</si>
  <si>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</si>
  <si>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</si>
  <si>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</si>
  <si>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</si>
  <si>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</si>
  <si>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</si>
  <si>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</si>
  <si>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</si>
  <si>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</si>
  <si>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</si>
  <si>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</si>
  <si>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</si>
  <si>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</si>
  <si>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</si>
  <si>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</si>
  <si>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</si>
  <si>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</si>
  <si>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</si>
  <si>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</si>
  <si>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</si>
  <si>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</si>
  <si>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</si>
  <si>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</si>
  <si>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</si>
  <si>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</si>
  <si>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</si>
  <si>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</si>
  <si>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</si>
  <si>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</si>
  <si>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</si>
  <si>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</si>
  <si>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</si>
  <si>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</si>
  <si>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</si>
  <si>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</si>
  <si>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</si>
  <si>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</si>
  <si>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</si>
  <si>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</si>
  <si>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</si>
  <si>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</si>
  <si>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</si>
  <si>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</si>
  <si>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</si>
  <si>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</si>
  <si>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</si>
  <si>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</si>
  <si>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</si>
  <si>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</si>
  <si>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</si>
  <si>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</si>
  <si>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</si>
  <si>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</si>
  <si>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</si>
  <si>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</si>
  <si>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</si>
  <si>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</si>
  <si>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</si>
  <si>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</si>
  <si>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</si>
  <si>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</si>
  <si>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</si>
  <si>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</si>
  <si>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</si>
  <si>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</si>
  <si>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</si>
  <si>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</si>
  <si>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</si>
  <si>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</si>
  <si>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</si>
  <si>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</si>
  <si>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</si>
  <si>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</si>
  <si>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</si>
  <si>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</si>
  <si>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</si>
  <si>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</si>
  <si>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</si>
  <si>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</si>
  <si>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</si>
  <si>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</si>
  <si>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</si>
  <si>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</si>
  <si>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</si>
  <si>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</si>
  <si>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</si>
  <si>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</si>
  <si>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</si>
  <si>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</si>
  <si>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</si>
  <si>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</si>
  <si>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</si>
  <si>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</si>
  <si>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</si>
  <si>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</si>
  <si>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</si>
  <si>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</si>
  <si>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</si>
  <si>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</si>
  <si>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</si>
  <si>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</si>
  <si>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</si>
  <si>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</si>
  <si>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</si>
  <si>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</si>
  <si>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</si>
  <si>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</si>
  <si>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</si>
  <si>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</si>
  <si>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</si>
  <si>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</si>
  <si>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</si>
  <si>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</si>
  <si>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</si>
  <si>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</si>
  <si>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</si>
  <si>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</si>
  <si>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</si>
  <si>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</si>
  <si>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</si>
  <si>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</si>
  <si>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</si>
  <si>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</si>
  <si>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</si>
  <si>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</si>
  <si>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</si>
  <si>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</si>
  <si>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</si>
  <si>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</si>
  <si>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</si>
  <si>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</si>
  <si>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</si>
  <si>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</si>
  <si>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</si>
  <si>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</si>
  <si>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</si>
  <si>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</si>
  <si>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</si>
  <si>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</si>
  <si>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</si>
  <si>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</si>
  <si>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</si>
  <si>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</si>
  <si>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</si>
  <si>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</si>
  <si>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</si>
  <si>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</si>
  <si>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</si>
  <si>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</si>
  <si>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</si>
  <si>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</si>
  <si>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</si>
  <si>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</si>
  <si>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</si>
  <si>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</si>
  <si>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</si>
  <si>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</si>
  <si>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</si>
  <si>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</si>
  <si>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</si>
  <si>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</si>
  <si>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</si>
  <si>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</si>
  <si>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</si>
  <si>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</si>
  <si>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</si>
  <si>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</si>
  <si>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</si>
  <si>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</si>
  <si>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</si>
  <si>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</si>
  <si>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</si>
  <si>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</si>
  <si>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</si>
  <si>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</si>
  <si>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</si>
  <si>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</si>
  <si>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</si>
  <si>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</si>
  <si>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</si>
  <si>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</si>
  <si>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</si>
  <si>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</si>
  <si>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</si>
  <si>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</si>
  <si>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</si>
  <si>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</si>
  <si>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</si>
  <si>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</si>
  <si>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</si>
  <si>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</si>
  <si>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</si>
  <si>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</si>
  <si>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</si>
  <si>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</si>
  <si>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</si>
  <si>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</si>
  <si>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</si>
  <si>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</si>
  <si>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</si>
  <si>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</si>
  <si>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</si>
  <si>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</si>
  <si>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</si>
  <si>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</si>
  <si>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</si>
  <si>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</si>
  <si>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</si>
  <si>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</si>
  <si>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</si>
  <si>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</si>
  <si>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</si>
  <si>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</si>
  <si>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</si>
  <si>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</si>
  <si>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</si>
  <si>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</si>
  <si>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</si>
  <si>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</si>
  <si>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</si>
  <si>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</si>
  <si>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</si>
  <si>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</si>
  <si>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</si>
  <si>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</si>
  <si>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</si>
  <si>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</si>
  <si>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</si>
  <si>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</si>
  <si>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</si>
  <si>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</si>
  <si>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</si>
  <si>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</si>
  <si>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</si>
  <si>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</si>
  <si>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</si>
  <si>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</si>
  <si>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</si>
  <si>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</si>
  <si>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</si>
  <si>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</si>
  <si>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</si>
  <si>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</si>
  <si>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</si>
  <si>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</si>
  <si>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</si>
  <si>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</si>
  <si>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</si>
  <si>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</si>
  <si>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</si>
  <si>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</si>
  <si>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</si>
  <si>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</si>
  <si>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</si>
  <si>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</si>
  <si>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</si>
  <si>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</si>
  <si>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</si>
  <si>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</si>
  <si>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</si>
  <si>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</si>
  <si>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</si>
  <si>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</si>
  <si>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</si>
  <si>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</si>
  <si>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</si>
  <si>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</si>
  <si>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</si>
  <si>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</si>
  <si>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</si>
  <si>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</si>
  <si>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</si>
  <si>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</si>
  <si>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</si>
  <si>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</si>
  <si>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</si>
  <si>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</si>
  <si>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</si>
  <si>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</si>
  <si>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</si>
  <si>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</si>
  <si>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</si>
  <si>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</si>
  <si>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</si>
  <si>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</si>
  <si>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</si>
  <si>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</si>
  <si>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</si>
  <si>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</si>
  <si>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</si>
  <si>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</si>
  <si>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</si>
  <si>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</si>
  <si>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</si>
  <si>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</si>
  <si>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</si>
  <si>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</si>
  <si>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</si>
  <si>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</si>
  <si>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</si>
  <si>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</si>
  <si>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</si>
  <si>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</si>
  <si>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</si>
  <si>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</si>
  <si>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</si>
  <si>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</si>
  <si>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</si>
  <si>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</si>
  <si>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</si>
  <si>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</si>
  <si>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</si>
  <si>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</si>
  <si>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</si>
  <si>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</si>
  <si>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</si>
  <si>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</si>
  <si>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</si>
  <si>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</si>
  <si>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</si>
  <si>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</si>
  <si>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</si>
  <si>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</si>
  <si>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</si>
  <si>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</si>
  <si>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</si>
  <si>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</si>
  <si>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</si>
  <si>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</si>
  <si>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</si>
  <si>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</si>
  <si>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</si>
  <si>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</si>
  <si>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</si>
  <si>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</si>
  <si>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</si>
  <si>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</si>
  <si>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</si>
  <si>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</si>
  <si>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</si>
  <si>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</si>
  <si>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</si>
  <si>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</si>
  <si>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</si>
  <si>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</si>
  <si>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</si>
  <si>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</si>
  <si>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</si>
  <si>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</si>
  <si>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</si>
  <si>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</si>
  <si>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</si>
  <si>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</si>
  <si>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</si>
  <si>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</si>
  <si>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</si>
  <si>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</si>
  <si>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</si>
  <si>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</si>
  <si>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</si>
  <si>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</si>
  <si>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</si>
  <si>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</si>
  <si>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</si>
  <si>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</si>
  <si>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</si>
  <si>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</si>
  <si>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</si>
  <si>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</si>
  <si>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</si>
  <si>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</si>
  <si>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</si>
  <si>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</si>
  <si>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</si>
  <si>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</si>
  <si>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</si>
  <si>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</si>
  <si>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</si>
  <si>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</si>
  <si>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</si>
  <si>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</si>
  <si>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</si>
  <si>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</si>
  <si>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</si>
  <si>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</si>
  <si>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</si>
  <si>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</si>
  <si>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</si>
  <si>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</si>
  <si>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</si>
  <si>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</si>
  <si>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</si>
  <si>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</si>
  <si>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</si>
  <si>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</si>
  <si>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</si>
  <si>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</si>
  <si>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</si>
  <si>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</si>
  <si>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</si>
  <si>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</si>
  <si>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</si>
  <si>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</si>
  <si>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</si>
  <si>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</si>
  <si>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</si>
  <si>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</si>
  <si>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</si>
  <si>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</si>
  <si>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</si>
  <si>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</si>
  <si>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</si>
  <si>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</si>
  <si>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</si>
  <si>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</si>
  <si>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</si>
  <si>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</si>
  <si>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</si>
  <si>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</si>
  <si>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</si>
  <si>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</si>
  <si>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</si>
  <si>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</si>
  <si>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</si>
  <si>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</si>
  <si>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</si>
  <si>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</si>
  <si>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</si>
  <si>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</si>
  <si>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</si>
  <si>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</si>
  <si>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</si>
  <si>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</si>
  <si>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</si>
  <si>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</si>
  <si>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</si>
  <si>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</si>
  <si>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</si>
  <si>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</si>
  <si>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</si>
  <si>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</si>
  <si>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</si>
  <si>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</si>
  <si>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</si>
  <si>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</si>
  <si>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</si>
  <si>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</si>
  <si>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</si>
  <si>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</si>
  <si>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</si>
  <si>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</si>
  <si>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</si>
  <si>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</si>
  <si>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</si>
  <si>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</si>
  <si>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</si>
  <si>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</si>
  <si>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</si>
  <si>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</si>
  <si>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</si>
  <si>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</si>
  <si>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</si>
  <si>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</si>
  <si>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</si>
  <si>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</si>
  <si>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</si>
  <si>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</si>
  <si>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</si>
  <si>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</si>
  <si>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</si>
  <si>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</si>
  <si>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</si>
  <si>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</si>
  <si>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</si>
  <si>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</si>
  <si>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</si>
  <si>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</si>
  <si>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</si>
  <si>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</si>
  <si>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</si>
  <si>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</si>
  <si>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</si>
  <si>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</si>
  <si>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</si>
  <si>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</si>
  <si>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</si>
  <si>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</si>
  <si>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</si>
  <si>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</si>
  <si>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</si>
  <si>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</si>
  <si>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</si>
  <si>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</si>
  <si>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</si>
  <si>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</si>
  <si>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</si>
  <si>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</si>
  <si>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</si>
  <si>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</si>
  <si>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</si>
  <si>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</si>
  <si>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</si>
  <si>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</si>
  <si>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</si>
  <si>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</si>
  <si>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</si>
  <si>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</si>
  <si>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</si>
  <si>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</si>
  <si>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</si>
  <si>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</si>
  <si>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</si>
  <si>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</si>
  <si>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</si>
  <si>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</si>
  <si>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</si>
  <si>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</si>
  <si>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</si>
  <si>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</si>
  <si>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</si>
  <si>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</si>
  <si>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</si>
  <si>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</si>
  <si>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</si>
  <si>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</si>
  <si>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</si>
  <si>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</si>
  <si>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</si>
  <si>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</si>
  <si>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</si>
  <si>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</si>
  <si>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</si>
  <si>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</si>
  <si>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</si>
  <si>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</si>
  <si>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</si>
  <si>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</si>
  <si>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</si>
  <si>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</si>
  <si>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</si>
  <si>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</si>
  <si>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</si>
  <si>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</si>
  <si>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</si>
  <si>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</si>
  <si>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</si>
  <si>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</si>
  <si>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</si>
  <si>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</si>
  <si>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</si>
  <si>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</si>
  <si>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</si>
  <si>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</si>
  <si>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</si>
  <si>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</si>
  <si>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</si>
  <si>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</si>
  <si>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</si>
  <si>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</si>
  <si>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</si>
  <si>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</si>
  <si>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</si>
  <si>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</si>
  <si>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</si>
  <si>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</si>
  <si>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</si>
  <si>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</si>
  <si>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</si>
  <si>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</si>
  <si>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</si>
  <si>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</si>
  <si>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</si>
  <si>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</si>
  <si>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</si>
  <si>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</si>
  <si>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</si>
  <si>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</si>
  <si>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</si>
  <si>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</si>
  <si>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</si>
  <si>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</si>
  <si>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</si>
  <si>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</si>
  <si>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</si>
  <si>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</si>
  <si>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</si>
  <si>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</si>
  <si>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</si>
  <si>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</si>
  <si>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</si>
  <si>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</si>
  <si>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</si>
  <si>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</si>
  <si>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</si>
  <si>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</si>
  <si>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</si>
  <si>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</si>
  <si>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</si>
  <si>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</si>
  <si>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</si>
  <si>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</si>
  <si>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</si>
  <si>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</si>
  <si>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</si>
  <si>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</si>
  <si>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</si>
  <si>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</si>
  <si>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</si>
  <si>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</si>
  <si>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</si>
  <si>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</si>
  <si>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</si>
  <si>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</si>
  <si>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</si>
  <si>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</si>
  <si>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</si>
  <si>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</si>
  <si>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</si>
  <si>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</si>
  <si>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</si>
  <si>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</si>
  <si>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</si>
  <si>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</si>
  <si>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</si>
  <si>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</si>
  <si>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</si>
  <si>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</si>
  <si>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</si>
  <si>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</si>
  <si>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</si>
  <si>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</si>
  <si>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</si>
  <si>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</si>
  <si>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</si>
  <si>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</si>
  <si>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</si>
  <si>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</si>
  <si>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</si>
  <si>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</si>
  <si>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</si>
  <si>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</si>
  <si>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</si>
  <si>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</si>
  <si>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</si>
  <si>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</si>
  <si>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</si>
  <si>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</si>
  <si>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</si>
  <si>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</si>
  <si>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</si>
  <si>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</si>
  <si>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</si>
  <si>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</si>
  <si>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</si>
  <si>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</si>
  <si>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</si>
  <si>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</si>
  <si>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</si>
  <si>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</si>
  <si>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</si>
  <si>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</si>
  <si>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</si>
  <si>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</si>
  <si>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</si>
  <si>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</si>
  <si>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</si>
  <si>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</si>
  <si>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</si>
  <si>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</si>
  <si>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</si>
  <si>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</si>
  <si>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</si>
  <si>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</si>
  <si>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</si>
  <si>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</si>
  <si>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</si>
  <si>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</si>
  <si>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</si>
  <si>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</si>
  <si>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</si>
  <si>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</si>
  <si>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</si>
  <si>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</si>
  <si>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</si>
  <si>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</si>
  <si>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</si>
  <si>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</si>
  <si>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</si>
  <si>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</si>
  <si>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</si>
  <si>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</si>
  <si>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</si>
  <si>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</si>
  <si>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</si>
  <si>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</si>
  <si>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</si>
  <si>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</si>
  <si>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</si>
  <si>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</si>
  <si>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</si>
  <si>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</si>
  <si>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</si>
  <si>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</si>
  <si>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</si>
  <si>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</si>
  <si>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</si>
  <si>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</si>
  <si>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</si>
  <si>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</si>
  <si>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</si>
  <si>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</si>
  <si>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</si>
  <si>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</si>
  <si>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</si>
  <si>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</si>
  <si>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</si>
  <si>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</si>
  <si>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</si>
  <si>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</si>
  <si>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</si>
  <si>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</si>
  <si>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</si>
  <si>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</si>
  <si>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</si>
  <si>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</si>
  <si>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</si>
  <si>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</si>
  <si>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</si>
  <si>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</si>
  <si>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</si>
  <si>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</si>
  <si>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</si>
  <si>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</si>
  <si>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</si>
  <si>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</si>
  <si>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</si>
  <si>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</si>
  <si>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</si>
  <si>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</si>
  <si>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</si>
  <si>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</si>
  <si>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</si>
  <si>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</si>
  <si>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</si>
  <si>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</si>
  <si>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</si>
  <si>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</si>
  <si>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</si>
  <si>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</si>
  <si>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</si>
  <si>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</si>
  <si>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</si>
  <si>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</si>
  <si>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</si>
  <si>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</si>
  <si>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</si>
  <si>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</si>
  <si>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</si>
  <si>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</si>
  <si>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</si>
  <si>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</si>
  <si>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</si>
  <si>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</si>
  <si>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</si>
  <si>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</si>
  <si>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</si>
  <si>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</si>
  <si>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</si>
  <si>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</si>
  <si>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</si>
  <si>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</si>
  <si>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</si>
  <si>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</si>
  <si>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</si>
  <si>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</si>
  <si>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</si>
  <si>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</si>
  <si>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</si>
  <si>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</si>
  <si>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</si>
  <si>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</si>
  <si>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</si>
  <si>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</si>
  <si>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</si>
  <si>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</si>
  <si>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</si>
  <si>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</si>
  <si>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</si>
  <si>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</si>
  <si>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</si>
  <si>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</si>
  <si>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</si>
  <si>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</si>
  <si>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</si>
  <si>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</si>
  <si>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</si>
  <si>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</si>
  <si>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</si>
  <si>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</si>
  <si>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</si>
  <si>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</si>
  <si>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</si>
  <si>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</si>
  <si>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</si>
  <si>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</si>
  <si>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</si>
  <si>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</si>
  <si>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</si>
  <si>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</si>
  <si>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</si>
  <si>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</si>
  <si>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</si>
  <si>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</si>
  <si>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</si>
  <si>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</si>
  <si>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</si>
  <si>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</si>
  <si>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</si>
  <si>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</si>
  <si>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</si>
  <si>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</si>
  <si>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</si>
  <si>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</si>
  <si>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</si>
  <si>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</si>
  <si>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</si>
  <si>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</si>
  <si>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</si>
  <si>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</si>
  <si>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</si>
  <si>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</si>
  <si>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</si>
  <si>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</si>
  <si>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</si>
  <si>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</si>
  <si>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</si>
  <si>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</si>
  <si>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</si>
  <si>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</si>
  <si>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</si>
  <si>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</si>
  <si>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</si>
  <si>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</si>
  <si>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</si>
  <si>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</si>
  <si>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</si>
  <si>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</si>
  <si>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</si>
  <si>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</si>
  <si>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</si>
  <si>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</si>
  <si>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</si>
  <si>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</si>
  <si>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</si>
  <si>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</si>
  <si>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</si>
  <si>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</si>
  <si>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</si>
  <si>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</si>
  <si>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</si>
  <si>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</si>
  <si>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</si>
  <si>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</si>
  <si>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</si>
  <si>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</si>
  <si>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</si>
  <si>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</si>
  <si>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</si>
  <si>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</si>
  <si>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</si>
  <si>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</si>
  <si>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</si>
  <si>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</si>
  <si>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</si>
  <si>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</si>
  <si>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</si>
  <si>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</si>
  <si>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</si>
  <si>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</si>
  <si>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</si>
  <si>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</si>
  <si>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</si>
  <si>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</si>
  <si>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</si>
  <si>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</si>
  <si>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</si>
  <si>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</si>
  <si>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</si>
  <si>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</si>
  <si>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</si>
  <si>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</si>
  <si>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</si>
  <si>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</si>
  <si>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</si>
  <si>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</si>
  <si>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</si>
  <si>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</si>
  <si>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</si>
  <si>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</si>
  <si>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</si>
  <si>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</si>
  <si>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</si>
  <si>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</si>
  <si>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</si>
  <si>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</si>
  <si>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</si>
  <si>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</si>
  <si>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</si>
  <si>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</si>
  <si>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</si>
  <si>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</si>
  <si>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</si>
  <si>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</si>
  <si>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</si>
  <si>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</si>
  <si>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</si>
  <si>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</si>
  <si>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</si>
  <si>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</si>
  <si>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</si>
  <si>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</si>
  <si>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</si>
  <si>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</si>
  <si>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</si>
  <si>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</si>
  <si>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</si>
  <si>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</si>
  <si>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</si>
  <si>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</si>
  <si>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</si>
  <si>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</si>
  <si>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</si>
  <si>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</si>
  <si>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</si>
  <si>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</si>
  <si>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</si>
  <si>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</si>
  <si>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</si>
  <si>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</si>
  <si>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</si>
  <si>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</si>
  <si>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</si>
  <si>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</si>
  <si>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</si>
  <si>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</si>
  <si>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</si>
  <si>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</si>
  <si>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</si>
  <si>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</si>
  <si>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</si>
  <si>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</si>
  <si>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</si>
  <si>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</si>
  <si>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</si>
  <si>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</si>
  <si>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</si>
  <si>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</si>
  <si>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</si>
  <si>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</si>
  <si>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</si>
  <si>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</si>
  <si>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</si>
  <si>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</si>
  <si>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</si>
  <si>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</si>
  <si>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</si>
  <si>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</si>
  <si>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</si>
  <si>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</si>
  <si>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</si>
  <si>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</si>
  <si>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</si>
  <si>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</si>
  <si>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</si>
  <si>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</si>
  <si>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</si>
  <si>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</si>
  <si>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</si>
  <si>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</si>
  <si>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</si>
  <si>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</si>
  <si>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</si>
  <si>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</si>
  <si>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</si>
  <si>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</si>
  <si>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</si>
  <si>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</si>
  <si>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</si>
  <si>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</si>
  <si>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</si>
  <si>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</si>
  <si>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</si>
  <si>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</si>
  <si>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</si>
  <si>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</si>
  <si>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</si>
  <si>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</si>
  <si>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</si>
  <si>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</si>
  <si>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</si>
  <si>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</si>
  <si>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</si>
  <si>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</si>
  <si>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</si>
  <si>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</si>
  <si>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</si>
  <si>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</si>
  <si>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</si>
  <si>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</si>
  <si>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</si>
  <si>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</si>
  <si>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</si>
  <si>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</si>
  <si>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</si>
  <si>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</si>
  <si>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</si>
  <si>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</si>
  <si>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</si>
  <si>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</si>
  <si>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</si>
  <si>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</si>
  <si>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</si>
  <si>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</si>
  <si>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</si>
  <si>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</si>
  <si>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</si>
  <si>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</si>
  <si>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</si>
  <si>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</si>
  <si>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</si>
  <si>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</si>
  <si>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</si>
  <si>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</si>
  <si>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</si>
  <si>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</si>
  <si>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</si>
  <si>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</si>
  <si>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</si>
  <si>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</si>
  <si>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</si>
  <si>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</si>
  <si>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</si>
  <si>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</si>
  <si>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</si>
  <si>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</si>
  <si>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</si>
  <si>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</si>
  <si>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</si>
  <si>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</si>
  <si>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</si>
  <si>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</si>
  <si>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</si>
  <si>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</si>
  <si>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</si>
  <si>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</si>
  <si>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</si>
  <si>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</si>
  <si>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</si>
  <si>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</si>
  <si>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</si>
  <si>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</si>
  <si>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</si>
  <si>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</si>
  <si>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</si>
  <si>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</si>
  <si>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</si>
  <si>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</si>
  <si>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</si>
  <si>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</si>
  <si>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</si>
  <si>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</si>
  <si>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</si>
  <si>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</si>
  <si>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</si>
  <si>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</si>
  <si>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</si>
  <si>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</si>
  <si>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</si>
  <si>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</si>
  <si>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</si>
  <si>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</si>
  <si>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</si>
  <si>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</si>
  <si>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</si>
  <si>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</si>
  <si>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</si>
  <si>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</si>
  <si>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</si>
  <si>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</si>
  <si>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</si>
  <si>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</si>
  <si>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</si>
  <si>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</si>
  <si>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</si>
  <si>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</si>
  <si>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</si>
  <si>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</si>
  <si>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</si>
  <si>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</si>
  <si>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</si>
  <si>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</si>
  <si>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</si>
  <si>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</si>
  <si>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</si>
  <si>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</si>
  <si>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</si>
  <si>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</si>
  <si>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</si>
  <si>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</si>
  <si>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</si>
  <si>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</si>
  <si>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</si>
  <si>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</si>
  <si>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</si>
  <si>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</si>
  <si>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</si>
  <si>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</si>
  <si>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</si>
  <si>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</si>
  <si>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</si>
  <si>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</si>
  <si>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</si>
  <si>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</si>
  <si>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</si>
  <si>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</si>
  <si>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</si>
  <si>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</si>
  <si>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</si>
  <si>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</si>
  <si>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</si>
  <si>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</si>
  <si>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</si>
  <si>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</si>
  <si>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</si>
  <si>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</si>
  <si>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</si>
  <si>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</si>
  <si>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</si>
  <si>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</si>
  <si>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</si>
  <si>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</si>
  <si>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</si>
  <si>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</si>
  <si>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</si>
  <si>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</si>
  <si>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</si>
  <si>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</si>
  <si>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</si>
  <si>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</si>
  <si>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</si>
  <si>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</si>
  <si>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</si>
  <si>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</si>
  <si>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</si>
  <si>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</si>
  <si>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</si>
  <si>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</si>
  <si>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</si>
  <si>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</si>
  <si>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</si>
  <si>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</si>
  <si>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</si>
  <si>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</si>
  <si>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</si>
  <si>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</si>
  <si>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</si>
  <si>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</si>
  <si>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</si>
  <si>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</si>
  <si>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</si>
  <si>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</si>
  <si>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</si>
  <si>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</si>
  <si>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</si>
  <si>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</si>
  <si>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</si>
  <si>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</si>
  <si>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</si>
  <si>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</si>
  <si>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</si>
  <si>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</si>
  <si>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</si>
  <si>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</si>
  <si>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</si>
  <si>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</si>
  <si>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</si>
  <si>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</si>
  <si>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</si>
  <si>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</si>
  <si>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</si>
  <si>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</si>
  <si>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</si>
  <si>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</si>
  <si>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</si>
  <si>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</si>
  <si>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</si>
  <si>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</si>
  <si>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</si>
  <si>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</si>
  <si>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</si>
  <si>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</si>
  <si>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</si>
  <si>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</si>
  <si>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</si>
  <si>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</si>
  <si>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</si>
  <si>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</si>
  <si>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</si>
  <si>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</si>
  <si>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</si>
  <si>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</si>
  <si>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</si>
  <si>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</si>
  <si>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</si>
  <si>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</si>
  <si>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</si>
  <si>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</si>
  <si>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</si>
  <si>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</si>
  <si>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</si>
  <si>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</si>
  <si>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</si>
  <si>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</si>
  <si>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</si>
  <si>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</si>
  <si>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</si>
  <si>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</si>
  <si>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</si>
  <si>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</si>
  <si>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</si>
  <si>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</si>
  <si>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</si>
  <si>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</si>
  <si>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</si>
  <si>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</si>
  <si>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</si>
  <si>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</si>
  <si>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</si>
  <si>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</si>
  <si>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</si>
  <si>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</si>
  <si>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</si>
  <si>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</si>
  <si>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</si>
  <si>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</si>
  <si>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</si>
  <si>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</si>
  <si>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</si>
  <si>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</si>
  <si>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</si>
  <si>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</si>
  <si>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</si>
  <si>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</si>
  <si>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</si>
  <si>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</si>
  <si>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</si>
  <si>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</si>
  <si>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</si>
  <si>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</si>
  <si>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</si>
  <si>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</si>
  <si>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</si>
  <si>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</si>
  <si>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</si>
  <si>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</si>
  <si>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</si>
  <si>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</si>
  <si>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</si>
  <si>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</si>
  <si>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</si>
  <si>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</si>
  <si>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</si>
  <si>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</si>
  <si>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</si>
  <si>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</si>
  <si>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</si>
  <si>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</si>
  <si>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</si>
  <si>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</si>
  <si>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</si>
  <si>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</si>
  <si>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</si>
  <si>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</si>
  <si>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</si>
  <si>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</si>
  <si>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</si>
  <si>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</si>
  <si>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</si>
  <si>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</si>
  <si>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</si>
  <si>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</si>
  <si>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</si>
  <si>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</si>
  <si>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</si>
  <si>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</si>
  <si>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</si>
  <si>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</si>
  <si>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</si>
  <si>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</si>
  <si>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</si>
  <si>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</si>
  <si>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</si>
  <si>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</si>
  <si>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</si>
  <si>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</si>
  <si>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</si>
  <si>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</si>
  <si>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</si>
  <si>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</si>
  <si>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</si>
  <si>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</si>
  <si>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</si>
  <si>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</si>
  <si>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</si>
  <si>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</si>
  <si>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</si>
  <si>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</si>
  <si>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</si>
  <si>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</si>
  <si>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</si>
  <si>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</si>
  <si>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</si>
  <si>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</si>
  <si>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</si>
  <si>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</si>
  <si>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</si>
  <si>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</si>
  <si>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</si>
  <si>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</si>
  <si>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</si>
  <si>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</si>
  <si>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</si>
  <si>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</si>
  <si>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</si>
  <si>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</si>
  <si>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</si>
  <si>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</si>
  <si>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</si>
  <si>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</si>
  <si>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</si>
  <si>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</si>
  <si>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</si>
  <si>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</si>
  <si>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</si>
  <si>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</si>
  <si>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</si>
  <si>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</si>
  <si>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</si>
  <si>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</si>
  <si>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</si>
  <si>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</si>
  <si>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</si>
  <si>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</si>
  <si>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</si>
  <si>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</si>
  <si>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</si>
  <si>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</si>
  <si>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</si>
  <si>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</si>
  <si>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</si>
  <si>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</si>
  <si>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</si>
  <si>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</si>
  <si>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</si>
  <si>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</si>
  <si>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</si>
  <si>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</si>
  <si>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</si>
  <si>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</si>
  <si>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</si>
  <si>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</si>
  <si>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</si>
  <si>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</si>
  <si>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</si>
  <si>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</si>
  <si>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</si>
  <si>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</si>
  <si>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</si>
  <si>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</si>
  <si>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</si>
  <si>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</si>
  <si>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</si>
  <si>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</si>
  <si>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</si>
  <si>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</si>
  <si>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</si>
  <si>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</si>
  <si>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</si>
  <si>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</si>
  <si>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</si>
  <si>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</si>
  <si>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</si>
  <si>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</si>
  <si>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</si>
  <si>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</si>
  <si>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</si>
  <si>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</si>
  <si>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</si>
  <si>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</si>
  <si>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</si>
  <si>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</si>
  <si>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</si>
  <si>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</si>
  <si>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</si>
  <si>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</si>
  <si>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</si>
  <si>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</si>
  <si>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</si>
  <si>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</si>
  <si>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</si>
  <si>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</si>
  <si>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</si>
  <si>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</si>
  <si>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</si>
  <si>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</si>
  <si>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</si>
  <si>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</si>
  <si>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</si>
  <si>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</si>
  <si>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</si>
  <si>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</si>
  <si>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</si>
  <si>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</si>
  <si>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</si>
  <si>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</si>
  <si>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</si>
  <si>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</si>
  <si>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</si>
  <si>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</si>
  <si>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</si>
  <si>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</si>
  <si>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</si>
  <si>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</si>
  <si>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</si>
  <si>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</si>
  <si>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</si>
  <si>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</si>
  <si>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</si>
  <si>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</si>
  <si>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</si>
  <si>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</si>
  <si>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</si>
  <si>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</si>
  <si>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</si>
  <si>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</si>
  <si>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</si>
  <si>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</si>
  <si>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</si>
  <si>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</si>
  <si>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</si>
  <si>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</si>
  <si>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</si>
  <si>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</si>
  <si>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</si>
  <si>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</si>
  <si>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</si>
  <si>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</si>
  <si>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</si>
  <si>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</si>
  <si>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</si>
  <si>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</si>
  <si>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</si>
  <si>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</si>
  <si>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</si>
  <si>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</si>
  <si>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</si>
  <si>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</si>
  <si>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</si>
  <si>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</si>
  <si>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</si>
  <si>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</si>
  <si>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</si>
  <si>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</si>
  <si>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</si>
  <si>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</si>
  <si>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</si>
  <si>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</si>
  <si>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</si>
  <si>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</si>
  <si>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</si>
  <si>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</si>
  <si>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</si>
  <si>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</si>
  <si>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</si>
  <si>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</si>
  <si>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</si>
  <si>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</si>
  <si>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</si>
  <si>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</si>
  <si>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</si>
  <si>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</si>
  <si>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</si>
  <si>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</si>
  <si>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</si>
  <si>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</si>
  <si>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</si>
  <si>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</si>
  <si>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</si>
  <si>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</si>
  <si>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</si>
  <si>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</si>
  <si>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</si>
  <si>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</si>
  <si>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</si>
  <si>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</si>
  <si>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</si>
  <si>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</si>
  <si>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</si>
  <si>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</si>
  <si>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</si>
  <si>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</si>
  <si>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</si>
  <si>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</si>
  <si>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</si>
  <si>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</si>
  <si>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</si>
  <si>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</si>
  <si>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</si>
  <si>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</si>
  <si>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</si>
  <si>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</si>
  <si>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</si>
  <si>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</si>
  <si>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</si>
  <si>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</si>
  <si>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</si>
  <si>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</si>
  <si>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</si>
  <si>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</si>
  <si>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</si>
  <si>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</si>
  <si>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</si>
  <si>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</si>
  <si>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</si>
  <si>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</si>
  <si>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</si>
  <si>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</si>
  <si>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</si>
  <si>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</si>
  <si>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</si>
  <si>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</si>
  <si>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</si>
  <si>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</si>
  <si>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</si>
  <si>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</si>
  <si>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</si>
  <si>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</si>
  <si>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</si>
  <si>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</si>
  <si>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</si>
  <si>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</si>
  <si>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</si>
  <si>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</si>
  <si>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</si>
  <si>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</si>
  <si>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</si>
  <si>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</si>
  <si>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</si>
  <si>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</si>
  <si>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</si>
  <si>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</si>
  <si>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</si>
  <si>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</si>
  <si>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</si>
  <si>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</si>
  <si>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</si>
  <si>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</si>
  <si>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</si>
  <si>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</si>
  <si>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</si>
  <si>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</si>
  <si>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</si>
  <si>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</si>
  <si>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</si>
  <si>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</si>
  <si>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</si>
  <si>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</si>
  <si>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</si>
  <si>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</si>
  <si>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</si>
  <si>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</si>
  <si>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</si>
  <si>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</si>
  <si>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</si>
  <si>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</si>
  <si>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</si>
  <si>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</si>
  <si>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</si>
  <si>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</si>
  <si>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</si>
  <si>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</si>
  <si>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</si>
  <si>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</si>
  <si>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</si>
  <si>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</si>
  <si>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</si>
  <si>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</si>
  <si>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</si>
  <si>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</si>
  <si>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</si>
  <si>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</si>
  <si>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</si>
  <si>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</si>
  <si>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</si>
  <si>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</si>
  <si>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</si>
  <si>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</si>
  <si>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</si>
  <si>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</si>
  <si>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</si>
  <si>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</si>
  <si>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</si>
  <si>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</si>
  <si>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</si>
  <si>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</si>
  <si>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</si>
  <si>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</si>
  <si>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</si>
  <si>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</si>
  <si>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</si>
  <si>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</si>
  <si>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</si>
  <si>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</si>
  <si>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</si>
  <si>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</si>
  <si>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</si>
  <si>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</si>
  <si>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</si>
  <si>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</si>
  <si>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</si>
  <si>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</si>
  <si>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</si>
  <si>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</si>
  <si>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</si>
  <si>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</si>
  <si>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</si>
  <si>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</si>
  <si>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</si>
  <si>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</si>
  <si>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</si>
  <si>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</si>
  <si>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</si>
  <si>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</si>
  <si>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</si>
  <si>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</si>
  <si>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</si>
  <si>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</si>
  <si>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</si>
  <si>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</si>
  <si>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</si>
  <si>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</si>
  <si>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</si>
  <si>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</si>
  <si>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</si>
  <si>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</si>
  <si>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</si>
  <si>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</si>
  <si>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</si>
  <si>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</si>
  <si>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</si>
  <si>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</si>
  <si>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</si>
  <si>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</si>
  <si>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</si>
  <si>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</si>
  <si>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</si>
  <si>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</si>
  <si>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</si>
  <si>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</si>
  <si>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</si>
  <si>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</si>
  <si>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</si>
  <si>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</si>
  <si>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</si>
  <si>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</si>
  <si>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</si>
  <si>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</si>
  <si>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</si>
  <si>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</si>
  <si>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</si>
  <si>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</si>
  <si>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</si>
  <si>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</si>
  <si>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</si>
  <si>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</si>
  <si>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</si>
  <si>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</si>
  <si>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</si>
  <si>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</si>
  <si>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</si>
  <si>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</si>
  <si>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</si>
  <si>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</si>
  <si>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</si>
  <si>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</si>
  <si>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</si>
  <si>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</si>
  <si>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</si>
  <si>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</si>
  <si>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</si>
  <si>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</si>
  <si>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</si>
  <si>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</si>
  <si>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</si>
  <si>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</si>
  <si>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</si>
  <si>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</si>
  <si>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</si>
  <si>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</si>
  <si>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</si>
  <si>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</si>
  <si>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</si>
  <si>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</si>
  <si>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</si>
  <si>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</si>
  <si>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</si>
  <si>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</si>
  <si>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</si>
  <si>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</si>
  <si>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</si>
  <si>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</si>
  <si>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</si>
  <si>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</si>
  <si>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</si>
  <si>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</si>
  <si>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</si>
  <si>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</si>
  <si>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</si>
  <si>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</si>
  <si>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</si>
  <si>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</si>
  <si>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</si>
  <si>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</si>
  <si>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</si>
  <si>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</si>
  <si>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</si>
  <si>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</si>
  <si>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</si>
  <si>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</si>
  <si>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</si>
  <si>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</si>
  <si>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</si>
  <si>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</si>
  <si>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</si>
  <si>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</si>
  <si>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</si>
  <si>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</si>
  <si>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</si>
  <si>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</si>
  <si>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</si>
  <si>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</si>
  <si>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</si>
  <si>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</si>
  <si>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</si>
  <si>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</si>
  <si>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</si>
  <si>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</si>
  <si>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</si>
  <si>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</si>
  <si>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</si>
  <si>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</si>
  <si>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</si>
  <si>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</si>
  <si>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</si>
  <si>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</si>
  <si>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</si>
  <si>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</si>
  <si>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</si>
  <si>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</si>
  <si>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</si>
  <si>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</si>
  <si>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</si>
  <si>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</si>
  <si>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</si>
  <si>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</si>
  <si>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</si>
  <si>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</si>
  <si>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</si>
  <si>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</si>
  <si>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</si>
  <si>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</si>
  <si>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</si>
  <si>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</si>
  <si>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</si>
  <si>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</si>
  <si>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</si>
  <si>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</si>
  <si>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</si>
  <si>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</si>
  <si>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</si>
  <si>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</si>
  <si>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</si>
  <si>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</si>
  <si>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</si>
  <si>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</si>
  <si>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</si>
  <si>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</si>
  <si>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</si>
  <si>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</si>
  <si>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</si>
  <si>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</si>
  <si>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</si>
  <si>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</si>
  <si>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</si>
  <si>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</si>
  <si>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</si>
  <si>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</si>
  <si>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</si>
  <si>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</si>
  <si>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</si>
  <si>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</si>
  <si>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</si>
  <si>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</si>
  <si>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</si>
  <si>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</si>
  <si>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</si>
  <si>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</si>
  <si>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</si>
  <si>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</si>
  <si>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</si>
  <si>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</si>
  <si>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</si>
  <si>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</si>
  <si>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</si>
  <si>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</si>
  <si>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</si>
  <si>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</si>
  <si>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</si>
  <si>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</si>
  <si>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</si>
  <si>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</si>
  <si>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</si>
  <si>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</si>
  <si>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</si>
  <si>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</si>
  <si>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</si>
  <si>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</si>
  <si>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</si>
  <si>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</si>
  <si>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</si>
  <si>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</si>
  <si>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</si>
  <si>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</si>
  <si>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</si>
  <si>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</si>
  <si>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</si>
  <si>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</si>
  <si>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</si>
  <si>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</si>
  <si>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</si>
  <si>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</si>
  <si>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</si>
  <si>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</si>
  <si>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</si>
  <si>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</si>
  <si>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</si>
  <si>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</si>
  <si>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</si>
  <si>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</si>
  <si>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</si>
  <si>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</si>
  <si>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</si>
  <si>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</si>
  <si>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</si>
  <si>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</si>
  <si>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</si>
  <si>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</si>
  <si>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</si>
  <si>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</si>
  <si>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</si>
  <si>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</si>
  <si>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</si>
  <si>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</si>
  <si>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</si>
  <si>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</si>
  <si>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</si>
  <si>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</si>
  <si>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</si>
  <si>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</si>
  <si>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</si>
  <si>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</si>
  <si>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</si>
  <si>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</si>
  <si>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</si>
  <si>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</si>
  <si>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</si>
  <si>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</si>
  <si>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</si>
  <si>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</si>
  <si>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</si>
  <si>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</si>
  <si>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</si>
  <si>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</si>
  <si>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</si>
  <si>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</si>
  <si>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</si>
  <si>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</si>
  <si>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</si>
  <si>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</si>
  <si>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</si>
  <si>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</si>
  <si>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</si>
  <si>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</si>
  <si>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</si>
  <si>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</si>
  <si>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</si>
  <si>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</si>
  <si>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</si>
  <si>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</si>
  <si>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</si>
  <si>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</si>
  <si>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</si>
  <si>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</si>
  <si>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</si>
  <si>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</si>
  <si>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</si>
  <si>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</si>
  <si>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</si>
  <si>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</si>
  <si>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</si>
  <si>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</si>
  <si>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</si>
  <si>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</si>
  <si>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</si>
  <si>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</si>
  <si>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</si>
  <si>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</si>
  <si>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</si>
  <si>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</si>
  <si>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</si>
  <si>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</si>
  <si>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</si>
  <si>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</si>
  <si>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</si>
  <si>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</si>
  <si>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</si>
  <si>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</si>
  <si>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</si>
  <si>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</si>
  <si>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</si>
  <si>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</si>
  <si>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</si>
  <si>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</si>
  <si>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</si>
  <si>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</si>
  <si>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</si>
  <si>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</si>
  <si>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</si>
  <si>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</si>
  <si>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</si>
  <si>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</si>
  <si>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</si>
  <si>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</si>
  <si>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</si>
  <si>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</si>
  <si>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</si>
  <si>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</si>
  <si>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</si>
  <si>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</si>
  <si>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</si>
  <si>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</si>
  <si>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</si>
  <si>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</si>
  <si>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</si>
  <si>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</si>
  <si>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</si>
  <si>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</si>
  <si>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</si>
  <si>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</si>
  <si>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</si>
  <si>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</si>
  <si>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</si>
  <si>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</si>
  <si>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</si>
  <si>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</si>
  <si>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</si>
  <si>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</si>
  <si>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</si>
  <si>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</si>
  <si>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</si>
  <si>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</si>
  <si>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</si>
  <si>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</si>
  <si>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</si>
  <si>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</si>
  <si>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</si>
  <si>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</si>
  <si>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</si>
  <si>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</si>
  <si>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</si>
  <si>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</si>
  <si>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</si>
  <si>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</si>
  <si>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</si>
  <si>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</si>
  <si>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</si>
  <si>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</si>
  <si>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</si>
  <si>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</si>
  <si>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</si>
  <si>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</si>
  <si>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</si>
  <si>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</si>
  <si>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</si>
  <si>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</si>
  <si>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</si>
  <si>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</si>
  <si>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</si>
  <si>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</si>
  <si>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</si>
  <si>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</si>
  <si>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</si>
  <si>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</si>
  <si>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</si>
  <si>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</si>
  <si>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</si>
  <si>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</si>
  <si>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</si>
  <si>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</si>
  <si>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</si>
  <si>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</si>
  <si>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</si>
  <si>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</si>
  <si>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</si>
  <si>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</si>
  <si>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</si>
  <si>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</si>
  <si>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</si>
  <si>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</si>
  <si>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</si>
  <si>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</si>
  <si>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</si>
  <si>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</si>
  <si>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</si>
  <si>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</si>
  <si>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</si>
  <si>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</si>
  <si>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</si>
  <si>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</si>
  <si>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</si>
  <si>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</si>
  <si>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</si>
  <si>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</si>
  <si>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</si>
  <si>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</si>
  <si>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</si>
  <si>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</si>
  <si>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</si>
  <si>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</si>
  <si>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</si>
  <si>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</si>
  <si>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</si>
  <si>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</si>
  <si>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</si>
  <si>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</si>
  <si>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</si>
  <si>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</si>
  <si>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</si>
  <si>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</si>
  <si>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</si>
  <si>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</si>
  <si>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</si>
  <si>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</si>
  <si>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</si>
  <si>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</si>
  <si>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</si>
  <si>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</si>
  <si>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</si>
  <si>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</si>
  <si>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</si>
  <si>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</si>
  <si>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</si>
  <si>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</si>
  <si>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</si>
  <si>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</si>
  <si>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</si>
  <si>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</si>
  <si>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</si>
  <si>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</si>
  <si>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</si>
  <si>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</si>
  <si>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</si>
  <si>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</si>
  <si>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</si>
  <si>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</si>
  <si>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</si>
  <si>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</si>
  <si>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</si>
  <si>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</si>
  <si>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</si>
  <si>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</si>
  <si>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</si>
  <si>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</si>
  <si>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</si>
  <si>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</si>
  <si>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</si>
  <si>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</si>
  <si>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</si>
  <si>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</si>
  <si>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</si>
  <si>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</si>
  <si>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</si>
  <si>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</si>
  <si>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</si>
  <si>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</si>
  <si>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</si>
  <si>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</si>
  <si>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</si>
  <si>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</si>
  <si>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</si>
  <si>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</si>
  <si>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</si>
  <si>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</si>
  <si>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</si>
  <si>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</si>
  <si>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</si>
  <si>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</si>
  <si>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</si>
  <si>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</si>
  <si>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</si>
  <si>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</si>
  <si>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</si>
  <si>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</si>
  <si>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</si>
  <si>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</si>
  <si>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</si>
  <si>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</si>
  <si>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</si>
  <si>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</si>
  <si>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</si>
  <si>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</si>
  <si>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</si>
  <si>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</si>
  <si>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</si>
  <si>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</si>
  <si>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</si>
  <si>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</si>
  <si>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</si>
  <si>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</si>
  <si>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</si>
  <si>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</si>
  <si>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</si>
  <si>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</si>
  <si>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</si>
  <si>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</si>
  <si>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</si>
  <si>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</si>
  <si>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</si>
  <si>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</si>
  <si>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</si>
  <si>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</si>
  <si>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</si>
  <si>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</si>
  <si>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</si>
  <si>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</si>
  <si>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</si>
  <si>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</si>
  <si>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</si>
  <si>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</si>
  <si>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</si>
  <si>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</si>
  <si>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</si>
  <si>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</si>
  <si>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</si>
  <si>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</si>
  <si>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</si>
  <si>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</si>
  <si>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</si>
  <si>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</si>
  <si>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</si>
  <si>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</si>
  <si>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</si>
  <si>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</si>
  <si>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</si>
  <si>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</si>
  <si>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</si>
  <si>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</si>
  <si>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</si>
  <si>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</si>
  <si>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</si>
  <si>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</si>
  <si>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</si>
  <si>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</si>
  <si>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</si>
  <si>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</si>
  <si>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</si>
  <si>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</si>
  <si>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</si>
  <si>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</si>
  <si>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</si>
  <si>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</si>
  <si>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</si>
  <si>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</si>
  <si>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</si>
  <si>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</si>
  <si>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</si>
  <si>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</si>
  <si>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</si>
  <si>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</si>
  <si>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</si>
  <si>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</si>
  <si>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</si>
  <si>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</si>
  <si>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</si>
  <si>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</si>
  <si>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</si>
  <si>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</si>
  <si>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</si>
  <si>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</si>
  <si>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</si>
  <si>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</si>
  <si>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</si>
  <si>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</si>
  <si>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</si>
  <si>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</si>
  <si>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</si>
  <si>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</si>
  <si>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</si>
  <si>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</si>
  <si>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</si>
  <si>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</si>
  <si>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</si>
  <si>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</si>
  <si>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</si>
  <si>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</si>
  <si>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</si>
  <si>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</si>
  <si>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</si>
  <si>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</si>
  <si>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</si>
  <si>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</si>
  <si>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</si>
  <si>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</si>
  <si>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</si>
  <si>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</si>
  <si>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</si>
  <si>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</si>
  <si>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</si>
  <si>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</si>
  <si>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</si>
  <si>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</si>
  <si>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</si>
  <si>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</si>
  <si>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</si>
  <si>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</si>
  <si>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</si>
  <si>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</si>
  <si>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</si>
  <si>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</si>
  <si>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</si>
  <si>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</si>
  <si>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</si>
  <si>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</si>
  <si>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</si>
  <si>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</si>
  <si>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</si>
  <si>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</si>
  <si>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</si>
  <si>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</si>
  <si>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</si>
  <si>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</si>
  <si>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</si>
  <si>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</si>
  <si>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</si>
  <si>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</si>
  <si>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</si>
  <si>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</si>
  <si>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</si>
  <si>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</si>
  <si>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</si>
  <si>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</si>
  <si>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</si>
  <si>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</si>
  <si>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</si>
  <si>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</si>
  <si>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</si>
  <si>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</si>
  <si>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</si>
  <si>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</si>
  <si>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</si>
  <si>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</si>
  <si>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</si>
  <si>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</si>
  <si>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</si>
  <si>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</si>
  <si>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</si>
  <si>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</si>
  <si>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</si>
  <si>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</si>
  <si>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</si>
  <si>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</si>
  <si>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</si>
  <si>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</si>
  <si>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</si>
  <si>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</si>
  <si>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</si>
  <si>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</si>
  <si>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</si>
  <si>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</si>
  <si>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</si>
  <si>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</si>
  <si>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</si>
  <si>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</si>
  <si>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</si>
  <si>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</si>
  <si>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</si>
  <si>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</si>
  <si>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</si>
  <si>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</si>
  <si>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</si>
  <si>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</si>
  <si>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</si>
  <si>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</si>
  <si>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</si>
  <si>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</si>
  <si>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</si>
  <si>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</si>
  <si>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</si>
  <si>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</si>
  <si>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</si>
  <si>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</si>
  <si>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</si>
  <si>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</si>
  <si>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</si>
  <si>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</si>
  <si>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</si>
  <si>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</si>
  <si>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</si>
  <si>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</si>
  <si>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</si>
  <si>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</si>
  <si>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</si>
  <si>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</si>
  <si>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</si>
  <si>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</si>
  <si>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</si>
  <si>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</si>
  <si>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</si>
  <si>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</si>
  <si>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</si>
  <si>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</si>
  <si>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</si>
  <si>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</si>
  <si>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</si>
  <si>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</si>
  <si>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</si>
  <si>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</si>
  <si>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</si>
  <si>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</si>
  <si>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</si>
  <si>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</si>
  <si>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</si>
  <si>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</si>
  <si>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</si>
  <si>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</si>
  <si>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</si>
  <si>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</si>
  <si>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</si>
  <si>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</si>
  <si>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</si>
  <si>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</si>
  <si>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</si>
  <si>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</si>
  <si>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</si>
  <si>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</si>
  <si>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</si>
  <si>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</si>
  <si>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</si>
  <si>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</si>
  <si>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</si>
  <si>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</si>
  <si>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</si>
  <si>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</si>
  <si>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</si>
  <si>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</si>
  <si>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</si>
  <si>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</si>
  <si>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</si>
  <si>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</si>
  <si>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</si>
  <si>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</si>
  <si>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</si>
  <si>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</si>
  <si>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</si>
  <si>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</si>
  <si>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</si>
  <si>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</si>
  <si>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</si>
  <si>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</si>
  <si>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</si>
  <si>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</si>
  <si>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</si>
  <si>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</si>
  <si>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</si>
  <si>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</si>
  <si>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</si>
  <si>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</si>
  <si>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</si>
  <si>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</si>
  <si>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</si>
  <si>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</si>
  <si>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</si>
  <si>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</si>
  <si>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</si>
  <si>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</si>
  <si>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</si>
  <si>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</si>
  <si>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</si>
  <si>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</si>
  <si>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</si>
  <si>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</si>
  <si>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</si>
  <si>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</si>
  <si>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</si>
  <si>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</si>
  <si>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</si>
  <si>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</si>
  <si>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</si>
  <si>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</si>
  <si>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</si>
  <si>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</si>
  <si>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</si>
  <si>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</si>
  <si>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</si>
  <si>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</si>
  <si>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</si>
  <si>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</si>
  <si>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</si>
  <si>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</si>
  <si>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</si>
  <si>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</si>
  <si>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</si>
  <si>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</si>
  <si>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</si>
  <si>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</si>
  <si>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</si>
  <si>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</si>
  <si>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</si>
  <si>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</si>
  <si>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</si>
  <si>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</si>
  <si>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</si>
  <si>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</si>
  <si>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</si>
  <si>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</si>
  <si>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</si>
  <si>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</si>
  <si>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</si>
  <si>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</si>
  <si>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</si>
  <si>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</si>
  <si>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</si>
  <si>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</si>
  <si>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</si>
  <si>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</si>
  <si>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</si>
  <si>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</si>
  <si>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</si>
  <si>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</si>
  <si>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</si>
  <si>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</si>
  <si>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</si>
  <si>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</si>
  <si>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</si>
  <si>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</si>
  <si>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</si>
  <si>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</si>
  <si>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</si>
  <si>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</si>
  <si>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</si>
  <si>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</si>
  <si>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</si>
  <si>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</si>
  <si>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</si>
  <si>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</si>
  <si>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</si>
  <si>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</si>
  <si>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</si>
  <si>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</si>
  <si>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</si>
  <si>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</si>
  <si>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</si>
  <si>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</si>
  <si>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</si>
  <si>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</si>
  <si>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</si>
  <si>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</si>
  <si>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</si>
  <si>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</si>
  <si>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</si>
  <si>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</si>
  <si>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</si>
  <si>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</si>
  <si>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</si>
  <si>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</si>
  <si>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</si>
  <si>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</si>
  <si>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</si>
  <si>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</si>
  <si>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</si>
  <si>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</si>
  <si>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</si>
  <si>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</si>
  <si>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</si>
  <si>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</si>
  <si>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</si>
  <si>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</si>
  <si>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</si>
  <si>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</si>
  <si>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</si>
  <si>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</si>
  <si>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</si>
  <si>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</si>
  <si>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</si>
  <si>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</si>
  <si>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</si>
  <si>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</si>
  <si>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</si>
  <si>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</si>
  <si>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</si>
  <si>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</si>
  <si>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</si>
  <si>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</si>
  <si>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</si>
  <si>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</si>
  <si>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</si>
  <si>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</si>
  <si>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</si>
  <si>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</si>
  <si>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</si>
  <si>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</si>
  <si>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</si>
  <si>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</si>
  <si>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</si>
  <si>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</si>
  <si>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</si>
  <si>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</si>
  <si>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</si>
  <si>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</si>
  <si>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</si>
  <si>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</si>
  <si>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</si>
  <si>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</si>
  <si>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</si>
  <si>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</si>
  <si>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</si>
  <si>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</si>
  <si>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</si>
  <si>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</si>
  <si>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</si>
  <si>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</si>
  <si>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</si>
  <si>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</si>
  <si>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</si>
  <si>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</si>
  <si>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</si>
  <si>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</si>
  <si>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</si>
  <si>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</si>
  <si>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</si>
  <si>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</si>
  <si>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</si>
  <si>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</si>
  <si>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</si>
  <si>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</si>
  <si>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</si>
  <si>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</si>
  <si>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</si>
  <si>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</si>
  <si>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</si>
  <si>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</si>
  <si>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</si>
  <si>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</si>
  <si>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</si>
  <si>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</si>
  <si>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</si>
  <si>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</si>
  <si>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</si>
  <si>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</si>
  <si>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</si>
  <si>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</si>
  <si>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</si>
  <si>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</si>
  <si>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</si>
  <si>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</si>
  <si>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</si>
  <si>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</si>
  <si>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</si>
  <si>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</si>
  <si>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</si>
  <si>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</si>
  <si>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</si>
  <si>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</si>
  <si>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</si>
  <si>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</si>
  <si>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</si>
  <si>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</si>
  <si>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</si>
  <si>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</si>
  <si>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</si>
  <si>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</si>
  <si>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</si>
  <si>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</si>
  <si>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</si>
  <si>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</si>
  <si>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</si>
  <si>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</si>
  <si>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</si>
  <si>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</si>
  <si>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</si>
  <si>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</si>
  <si>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</si>
  <si>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</si>
  <si>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</si>
  <si>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</si>
  <si>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</si>
  <si>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</si>
  <si>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</si>
  <si>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</si>
  <si>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</si>
  <si>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</si>
  <si>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</si>
  <si>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</si>
  <si>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</si>
  <si>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</si>
  <si>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</si>
  <si>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</si>
  <si>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</si>
  <si>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</si>
  <si>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</si>
  <si>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</si>
  <si>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</si>
  <si>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</si>
  <si>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</si>
  <si>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</si>
  <si>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</si>
  <si>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</si>
  <si>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</si>
  <si>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</si>
  <si>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</si>
  <si>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</si>
  <si>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</si>
  <si>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</si>
  <si>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</si>
  <si>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</si>
  <si>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</si>
  <si>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</si>
  <si>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</si>
  <si>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</si>
  <si>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</si>
  <si>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</si>
  <si>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</si>
  <si>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</si>
  <si>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</si>
  <si>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</si>
  <si>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</si>
  <si>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</si>
  <si>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</si>
  <si>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</si>
  <si>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</si>
  <si>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</si>
  <si>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</si>
  <si>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</si>
  <si>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</si>
  <si>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</si>
  <si>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</si>
  <si>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</si>
  <si>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</si>
  <si>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</si>
  <si>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</si>
  <si>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</si>
  <si>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</si>
  <si>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</si>
  <si>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</si>
  <si>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</si>
  <si>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</si>
  <si>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</si>
  <si>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</si>
  <si>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</si>
  <si>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</si>
  <si>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</si>
  <si>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</si>
  <si>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</si>
  <si>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</si>
  <si>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</si>
  <si>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</si>
  <si>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</si>
  <si>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</si>
  <si>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</si>
  <si>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</si>
  <si>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</si>
  <si>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</si>
  <si>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</si>
  <si>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</si>
  <si>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</si>
  <si>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</si>
  <si>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</si>
  <si>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</si>
  <si>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</si>
  <si>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</si>
  <si>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</si>
  <si>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</si>
  <si>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</si>
  <si>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</si>
  <si>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</si>
  <si>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</si>
  <si>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</si>
  <si>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</si>
  <si>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</si>
  <si>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</si>
  <si>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</si>
  <si>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</si>
  <si>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</si>
  <si>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</si>
  <si>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</si>
  <si>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</si>
  <si>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</si>
  <si>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</si>
  <si>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</si>
  <si>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</si>
  <si>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</si>
  <si>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</si>
  <si>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</si>
  <si>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</si>
  <si>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</si>
  <si>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</si>
  <si>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</si>
  <si>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</si>
  <si>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</si>
  <si>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</si>
  <si>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</si>
  <si>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</si>
  <si>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</si>
  <si>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</si>
  <si>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</si>
  <si>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</si>
  <si>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</si>
  <si>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</si>
  <si>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</si>
  <si>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</si>
  <si>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</si>
  <si>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</si>
  <si>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</si>
  <si>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</si>
  <si>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</si>
  <si>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</si>
  <si>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</si>
  <si>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</si>
  <si>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</si>
  <si>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</si>
  <si>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</si>
  <si>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</si>
  <si>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</si>
  <si>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</si>
  <si>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</si>
  <si>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</si>
  <si>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</si>
  <si>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</si>
  <si>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</si>
  <si>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</si>
  <si>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</si>
  <si>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</si>
  <si>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</si>
  <si>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</si>
  <si>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</si>
  <si>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</si>
  <si>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</si>
  <si>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</si>
  <si>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</si>
  <si>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</si>
  <si>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</si>
  <si>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</si>
  <si>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</si>
  <si>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</si>
  <si>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</si>
  <si>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</si>
  <si>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</si>
  <si>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</si>
  <si>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</si>
  <si>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</si>
  <si>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</si>
  <si>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</si>
  <si>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</si>
  <si>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</si>
  <si>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</si>
  <si>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</si>
  <si>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</si>
  <si>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</si>
  <si>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</si>
  <si>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</si>
  <si>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</si>
  <si>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</si>
  <si>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</si>
  <si>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</si>
  <si>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</si>
  <si>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</si>
  <si>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</si>
  <si>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</si>
  <si>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</si>
  <si>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</si>
  <si>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</si>
  <si>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</si>
  <si>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</si>
  <si>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</si>
  <si>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</si>
  <si>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</si>
  <si>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</si>
  <si>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</si>
  <si>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</si>
  <si>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</si>
  <si>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</si>
  <si>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</si>
  <si>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</si>
  <si>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</si>
  <si>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</si>
  <si>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</si>
  <si>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</si>
  <si>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</si>
  <si>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</si>
  <si>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</si>
  <si>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</si>
  <si>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</si>
  <si>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</si>
  <si>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</si>
  <si>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</si>
  <si>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</si>
  <si>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</si>
  <si>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</si>
  <si>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</si>
  <si>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</si>
  <si>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</si>
  <si>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</si>
  <si>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</si>
  <si>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</si>
  <si>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</si>
  <si>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</si>
  <si>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</si>
  <si>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</si>
  <si>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</si>
  <si>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</si>
  <si>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</si>
  <si>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</si>
  <si>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</si>
  <si>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</si>
  <si>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</si>
  <si>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</si>
  <si>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</si>
  <si>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</si>
  <si>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</si>
  <si>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</si>
  <si>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</si>
  <si>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</si>
  <si>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</si>
  <si>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</si>
  <si>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</si>
  <si>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</si>
  <si>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</si>
  <si>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</si>
  <si>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</si>
  <si>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</si>
  <si>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</si>
  <si>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</si>
  <si>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</si>
  <si>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</si>
  <si>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</si>
  <si>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</si>
  <si>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</si>
  <si>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</si>
  <si>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</si>
  <si>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</si>
  <si>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</si>
  <si>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</si>
  <si>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</si>
  <si>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</si>
  <si>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</si>
  <si>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</si>
  <si>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</si>
  <si>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</si>
  <si>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</si>
  <si>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</si>
  <si>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</si>
  <si>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</si>
  <si>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</si>
  <si>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</si>
  <si>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</si>
  <si>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</si>
  <si>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</si>
  <si>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</si>
  <si>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</si>
  <si>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</si>
  <si>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</si>
  <si>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</si>
  <si>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</si>
  <si>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</si>
  <si>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</si>
  <si>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</si>
  <si>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</si>
  <si>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</si>
  <si>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</si>
  <si>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</si>
  <si>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</si>
  <si>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</si>
  <si>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</si>
  <si>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</si>
  <si>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</si>
  <si>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</si>
  <si>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</si>
  <si>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</si>
  <si>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</si>
  <si>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</si>
  <si>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</si>
  <si>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</si>
  <si>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</si>
  <si>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</si>
  <si>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</si>
  <si>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</si>
  <si>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</si>
  <si>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</si>
  <si>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</si>
  <si>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</si>
  <si>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</si>
  <si>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</si>
  <si>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</si>
  <si>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</si>
  <si>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</si>
  <si>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</si>
  <si>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</si>
  <si>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</si>
  <si>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</si>
  <si>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</si>
  <si>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</si>
  <si>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</si>
  <si>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</si>
  <si>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</si>
  <si>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</si>
  <si>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</si>
  <si>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</si>
  <si>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</si>
  <si>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</si>
  <si>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</si>
  <si>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</si>
  <si>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</si>
  <si>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</si>
  <si>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</si>
  <si>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</si>
  <si>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</si>
  <si>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</si>
  <si>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</si>
  <si>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</si>
  <si>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</si>
  <si>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</si>
  <si>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</si>
  <si>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</si>
  <si>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</si>
  <si>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</si>
  <si>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</si>
  <si>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</si>
  <si>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</si>
  <si>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</si>
  <si>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</si>
  <si>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</si>
  <si>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</si>
  <si>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</si>
  <si>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</si>
  <si>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</si>
  <si>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</si>
  <si>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</si>
  <si>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</si>
  <si>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</si>
  <si>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</si>
  <si>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</si>
  <si>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</si>
  <si>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</si>
  <si>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</si>
  <si>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</si>
  <si>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</si>
  <si>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</si>
  <si>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</si>
  <si>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</si>
  <si>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</si>
  <si>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</si>
  <si>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</si>
  <si>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</si>
  <si>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</si>
  <si>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</si>
  <si>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</si>
  <si>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</si>
  <si>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</si>
  <si>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</si>
  <si>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</si>
  <si>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</si>
  <si>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</si>
  <si>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</si>
  <si>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</si>
  <si>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</si>
  <si>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</si>
  <si>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</si>
  <si>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</si>
  <si>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</si>
  <si>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</si>
  <si>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</si>
  <si>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</si>
  <si>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</si>
  <si>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</si>
  <si>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</si>
  <si>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</si>
  <si>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</si>
  <si>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</si>
  <si>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</si>
  <si>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</si>
  <si>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</si>
  <si>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</si>
  <si>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</si>
  <si>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</si>
  <si>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</si>
  <si>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</si>
  <si>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</si>
  <si>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</si>
  <si>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</si>
  <si>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</si>
  <si>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</si>
  <si>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</si>
  <si>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</si>
  <si>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</si>
  <si>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</si>
  <si>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</si>
  <si>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</si>
  <si>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</si>
  <si>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</si>
  <si>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</si>
  <si>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</si>
  <si>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</si>
  <si>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</si>
  <si>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</si>
  <si>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</si>
  <si>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</si>
  <si>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</si>
  <si>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</si>
  <si>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</si>
  <si>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</si>
  <si>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</si>
  <si>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</si>
  <si>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</si>
  <si>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</si>
  <si>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</si>
  <si>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</si>
  <si>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</si>
  <si>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</si>
  <si>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</si>
  <si>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</si>
  <si>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</si>
  <si>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</si>
  <si>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</si>
  <si>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</si>
  <si>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</si>
  <si>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</si>
  <si>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</si>
  <si>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</si>
  <si>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</si>
  <si>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</si>
  <si>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</si>
  <si>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</si>
  <si>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</si>
  <si>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</si>
  <si>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</si>
  <si>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</si>
  <si>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</si>
  <si>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</si>
  <si>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</si>
  <si>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</si>
  <si>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</si>
  <si>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</si>
  <si>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</si>
  <si>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</si>
  <si>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</si>
  <si>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</si>
  <si>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</si>
  <si>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</si>
  <si>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</si>
  <si>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</si>
  <si>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</si>
  <si>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</si>
  <si>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</si>
  <si>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</si>
  <si>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</si>
  <si>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</si>
  <si>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</si>
  <si>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</si>
  <si>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</si>
  <si>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</si>
  <si>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</si>
  <si>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</si>
  <si>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</si>
  <si>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</si>
  <si>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</si>
  <si>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</si>
  <si>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</si>
  <si>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</si>
  <si>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</si>
  <si>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</si>
  <si>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</si>
  <si>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</si>
  <si>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</si>
  <si>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</si>
  <si>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</si>
  <si>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</si>
  <si>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</si>
  <si>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</si>
  <si>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</si>
  <si>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</si>
  <si>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</si>
  <si>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</si>
  <si>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</si>
  <si>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</si>
  <si>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</si>
  <si>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</si>
  <si>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</si>
  <si>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</si>
  <si>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</si>
  <si>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</si>
  <si>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</si>
  <si>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</si>
  <si>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</si>
  <si>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</si>
  <si>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</si>
  <si>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</si>
  <si>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</si>
  <si>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</si>
  <si>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</si>
  <si>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</si>
  <si>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</si>
  <si>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</si>
  <si>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</si>
  <si>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</si>
  <si>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</si>
  <si>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</si>
  <si>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</si>
  <si>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</si>
  <si>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</si>
  <si>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</si>
  <si>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</si>
  <si>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</si>
  <si>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</si>
  <si>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</si>
  <si>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</si>
  <si>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</si>
  <si>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</si>
  <si>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</si>
  <si>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</si>
  <si>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</si>
  <si>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</si>
  <si>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</si>
  <si>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</si>
  <si>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</si>
  <si>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</si>
  <si>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</si>
  <si>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</si>
  <si>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</si>
  <si>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</si>
  <si>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</si>
  <si>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</si>
  <si>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</si>
  <si>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</si>
  <si>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</si>
  <si>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</si>
  <si>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</si>
  <si>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</si>
  <si>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</si>
  <si>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</si>
  <si>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</si>
  <si>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</si>
  <si>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</si>
  <si>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</si>
  <si>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</si>
  <si>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</si>
  <si>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</si>
  <si>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</si>
  <si>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</si>
  <si>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</si>
  <si>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</si>
  <si>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</si>
  <si>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</si>
  <si>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</si>
  <si>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</si>
  <si>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</si>
  <si>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</si>
  <si>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</si>
  <si>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</si>
  <si>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</si>
  <si>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</si>
  <si>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</si>
  <si>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</si>
  <si>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</si>
  <si>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</si>
  <si>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</si>
  <si>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</si>
  <si>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</si>
  <si>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</si>
  <si>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</si>
  <si>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</si>
  <si>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</si>
  <si>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</si>
  <si>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</si>
  <si>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</si>
  <si>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</si>
  <si>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</si>
  <si>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</si>
  <si>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</si>
  <si>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</si>
  <si>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</si>
  <si>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</si>
  <si>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</si>
  <si>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</si>
  <si>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</si>
  <si>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</si>
  <si>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</si>
  <si>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</si>
  <si>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</si>
  <si>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</si>
  <si>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</si>
  <si>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</si>
  <si>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</si>
  <si>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</si>
  <si>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</si>
  <si>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</si>
  <si>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</si>
  <si>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</si>
  <si>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</si>
  <si>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</si>
  <si>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</si>
  <si>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</si>
  <si>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</si>
  <si>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</si>
  <si>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</si>
  <si>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</si>
  <si>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</si>
  <si>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</si>
  <si>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</si>
  <si>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</si>
  <si>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</si>
  <si>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</si>
  <si>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</si>
  <si>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</si>
  <si>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</si>
  <si>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</si>
  <si>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</si>
  <si>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</si>
  <si>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</si>
  <si>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</si>
  <si>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</si>
  <si>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</si>
  <si>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</si>
  <si>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</si>
  <si>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</si>
  <si>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</si>
  <si>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</si>
  <si>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</si>
  <si>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</si>
  <si>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</si>
  <si>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</si>
  <si>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</si>
  <si>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</si>
  <si>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</si>
  <si>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</si>
  <si>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</si>
  <si>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</si>
  <si>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</si>
  <si>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</si>
  <si>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</si>
  <si>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</si>
  <si>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</si>
  <si>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</si>
  <si>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</si>
  <si>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</si>
  <si>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</si>
  <si>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</si>
  <si>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</si>
  <si>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</si>
  <si>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</si>
  <si>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</si>
  <si>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</si>
  <si>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</si>
  <si>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</si>
  <si>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</si>
  <si>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</si>
  <si>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</si>
  <si>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</si>
  <si>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</si>
  <si>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</si>
  <si>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</si>
  <si>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</si>
  <si>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</si>
  <si>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</si>
  <si>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</si>
  <si>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</si>
  <si>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</si>
  <si>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</si>
  <si>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</si>
  <si>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</si>
  <si>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</si>
  <si>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</si>
  <si>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</si>
  <si>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</si>
  <si>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</si>
  <si>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</si>
  <si>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</si>
  <si>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</si>
  <si>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</si>
  <si>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</si>
  <si>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</si>
  <si>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</si>
  <si>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</si>
  <si>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</si>
  <si>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</si>
  <si>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</si>
  <si>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</si>
  <si>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</si>
  <si>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</si>
  <si>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</si>
  <si>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</si>
  <si>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</si>
  <si>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</si>
  <si>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</si>
  <si>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</si>
  <si>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</si>
  <si>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</si>
  <si>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</si>
  <si>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</si>
  <si>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</si>
  <si>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</si>
  <si>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</si>
  <si>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</si>
  <si>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</si>
  <si>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</si>
  <si>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</si>
  <si>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</si>
  <si>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</si>
  <si>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</si>
  <si>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</si>
  <si>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</si>
  <si>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</si>
  <si>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</si>
  <si>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</si>
  <si>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</si>
  <si>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</si>
  <si>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</si>
  <si>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</si>
  <si>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</si>
  <si>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</si>
  <si>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</si>
  <si>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</si>
  <si>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</si>
  <si>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</si>
  <si>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</si>
  <si>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</si>
  <si>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</si>
  <si>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</si>
  <si>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</si>
  <si>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</si>
  <si>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</si>
  <si>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</si>
  <si>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</si>
  <si>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</si>
  <si>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</si>
  <si>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</si>
  <si>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</si>
  <si>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</si>
  <si>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</si>
  <si>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</si>
  <si>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</si>
  <si>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</si>
  <si>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</si>
  <si>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</si>
  <si>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</si>
  <si>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</si>
  <si>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</si>
  <si>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</si>
  <si>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</si>
  <si>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</si>
  <si>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</si>
  <si>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</si>
  <si>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</si>
  <si>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</si>
  <si>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</si>
  <si>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</si>
  <si>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</si>
  <si>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</si>
  <si>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</si>
  <si>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</si>
  <si>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</si>
  <si>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</si>
  <si>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</si>
  <si>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</si>
  <si>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</si>
  <si>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</si>
  <si>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</si>
  <si>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</si>
  <si>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</si>
  <si>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</si>
  <si>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</si>
  <si>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</si>
  <si>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</si>
  <si>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</si>
  <si>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</si>
  <si>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</si>
  <si>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</si>
  <si>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</si>
  <si>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</si>
  <si>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</si>
  <si>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</si>
  <si>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</si>
  <si>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</si>
  <si>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</si>
  <si>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</si>
  <si>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</si>
  <si>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</si>
  <si>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</si>
  <si>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</si>
  <si>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</si>
  <si>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</si>
  <si>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</si>
  <si>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</si>
  <si>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</si>
  <si>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</si>
  <si>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</si>
  <si>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</si>
  <si>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</si>
  <si>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</si>
  <si>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</si>
  <si>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</si>
  <si>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</si>
  <si>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</si>
  <si>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</si>
  <si>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</si>
  <si>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</si>
  <si>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</si>
  <si>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</si>
  <si>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</si>
  <si>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</si>
  <si>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</si>
  <si>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</si>
  <si>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</si>
  <si>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</si>
  <si>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</si>
  <si>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</si>
  <si>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</si>
  <si>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</si>
  <si>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</si>
  <si>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</si>
  <si>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</si>
  <si>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</si>
  <si>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</si>
  <si>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</si>
  <si>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</si>
  <si>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</si>
  <si>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</si>
  <si>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</si>
  <si>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</si>
  <si>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</si>
  <si>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</si>
  <si>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</si>
  <si>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</si>
  <si>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</si>
  <si>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</si>
  <si>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</si>
  <si>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</si>
  <si>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</si>
  <si>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</si>
  <si>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</si>
  <si>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</si>
  <si>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</si>
  <si>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</si>
  <si>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</si>
  <si>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</si>
  <si>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</si>
  <si>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</si>
  <si>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</si>
  <si>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</si>
  <si>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</si>
  <si>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</si>
  <si>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</si>
  <si>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</si>
  <si>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</si>
  <si>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</si>
  <si>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</si>
  <si>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</si>
  <si>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</si>
  <si>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</si>
  <si>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</si>
  <si>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</si>
  <si>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</si>
  <si>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</si>
  <si>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</si>
  <si>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</si>
  <si>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</si>
  <si>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</si>
  <si>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</si>
  <si>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</si>
  <si>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</si>
  <si>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</si>
  <si>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</si>
  <si>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</si>
  <si>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</si>
  <si>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</si>
  <si>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</si>
  <si>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</si>
  <si>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</si>
  <si>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</si>
  <si>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</si>
  <si>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</si>
  <si>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</si>
  <si>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</si>
  <si>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</si>
  <si>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</si>
  <si>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</si>
  <si>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</si>
  <si>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</si>
  <si>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</si>
  <si>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</si>
  <si>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</si>
  <si>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</si>
  <si>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</si>
  <si>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</si>
  <si>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</si>
  <si>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</si>
  <si>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</si>
  <si>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</si>
  <si>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</si>
  <si>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</si>
  <si>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</si>
  <si>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</si>
  <si>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</si>
  <si>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</si>
  <si>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</si>
  <si>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</si>
  <si>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</si>
  <si>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</si>
  <si>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</si>
  <si>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</si>
  <si>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</si>
  <si>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</si>
  <si>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</si>
  <si>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</si>
  <si>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</si>
  <si>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</si>
  <si>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</si>
  <si>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</si>
  <si>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</si>
  <si>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</si>
  <si>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</si>
  <si>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</si>
  <si>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</si>
  <si>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</si>
  <si>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</si>
  <si>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</si>
  <si>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</si>
  <si>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</si>
  <si>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</si>
  <si>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</si>
  <si>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</si>
  <si>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</si>
  <si>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</si>
  <si>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</si>
  <si>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</si>
  <si>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</si>
  <si>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</si>
  <si>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</si>
  <si>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</si>
  <si>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</si>
  <si>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</si>
  <si>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</si>
  <si>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</si>
  <si>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</si>
  <si>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</si>
  <si>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</si>
  <si>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</si>
  <si>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</si>
  <si>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</si>
  <si>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</si>
  <si>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</si>
  <si>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</si>
  <si>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</si>
  <si>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</si>
  <si>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</si>
  <si>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</si>
  <si>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</si>
  <si>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</si>
  <si>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</si>
  <si>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</si>
  <si>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</si>
  <si>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</si>
  <si>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</si>
  <si>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</si>
  <si>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</si>
  <si>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</si>
  <si>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</si>
  <si>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</si>
  <si>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</si>
  <si>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</si>
  <si>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</si>
  <si>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</si>
  <si>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</si>
  <si>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</si>
  <si>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</si>
  <si>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</si>
  <si>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</si>
  <si>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</si>
  <si>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</si>
  <si>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</si>
  <si>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</si>
  <si>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</si>
  <si>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</si>
  <si>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</si>
  <si>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</si>
  <si>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</si>
  <si>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</si>
  <si>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</si>
  <si>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</si>
  <si>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</si>
  <si>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</si>
  <si>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</si>
  <si>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</si>
  <si>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</si>
  <si>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</si>
  <si>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</si>
  <si>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</si>
  <si>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</si>
  <si>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</si>
  <si>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</si>
  <si>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</si>
  <si>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</si>
  <si>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</si>
  <si>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</si>
  <si>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</si>
  <si>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</si>
  <si>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</si>
  <si>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</si>
  <si>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</si>
  <si>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</si>
  <si>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</si>
  <si>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</si>
  <si>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</si>
  <si>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</si>
  <si>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</si>
  <si>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</si>
  <si>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</si>
  <si>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</si>
  <si>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</si>
  <si>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</si>
  <si>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</si>
  <si>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</si>
  <si>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</si>
  <si>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</si>
  <si>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</si>
  <si>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</si>
  <si>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</si>
  <si>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</si>
  <si>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</si>
  <si>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</si>
  <si>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</si>
  <si>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</si>
  <si>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</si>
  <si>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</si>
  <si>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</si>
  <si>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</si>
  <si>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</si>
  <si>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</si>
  <si>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</si>
  <si>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</si>
  <si>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</si>
  <si>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</si>
  <si>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</si>
  <si>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</si>
  <si>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</si>
  <si>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</si>
  <si>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</si>
  <si>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</si>
  <si>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</si>
  <si>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</si>
  <si>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</si>
  <si>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</si>
  <si>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</si>
  <si>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</si>
  <si>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</si>
  <si>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</si>
  <si>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</si>
  <si>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</si>
  <si>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</si>
  <si>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</si>
  <si>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</si>
  <si>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</si>
  <si>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</si>
  <si>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</si>
  <si>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</si>
  <si>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</si>
  <si>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</si>
  <si>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</si>
  <si>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</si>
  <si>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</si>
  <si>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</si>
  <si>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</si>
  <si>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</si>
  <si>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</si>
  <si>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</si>
  <si>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</si>
  <si>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</si>
  <si>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</si>
  <si>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</si>
  <si>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</si>
  <si>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</si>
  <si>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</si>
  <si>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</si>
  <si>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</si>
  <si>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</si>
  <si>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</si>
  <si>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</si>
  <si>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</si>
  <si>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</si>
  <si>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</si>
  <si>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</si>
  <si>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</si>
  <si>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</si>
  <si>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</si>
  <si>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</si>
  <si>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</si>
  <si>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</si>
  <si>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</si>
  <si>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</si>
  <si>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</si>
  <si>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</si>
  <si>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</si>
  <si>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</si>
  <si>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</si>
  <si>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</si>
  <si>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</si>
  <si>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</si>
  <si>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</si>
  <si>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</si>
  <si>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</si>
  <si>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</si>
  <si>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HOME Consent</t>
  </si>
  <si>
    <t>Richard C. Angino</t>
  </si>
  <si>
    <t>President</t>
  </si>
  <si>
    <t>406 East Fourth Street</t>
  </si>
  <si>
    <t>Winston Salem</t>
  </si>
  <si>
    <t>devadmin@landmarkdevelopment.biz</t>
  </si>
  <si>
    <t>Monroe Elementary Apartments</t>
  </si>
  <si>
    <t>No</t>
  </si>
  <si>
    <t>203 Bold Springs Avenue</t>
  </si>
  <si>
    <t>Yes</t>
  </si>
  <si>
    <t>City of Monroe</t>
  </si>
  <si>
    <t>Greg Thompson</t>
  </si>
  <si>
    <t>Mayor</t>
  </si>
  <si>
    <t>215 North Broad Street</t>
  </si>
  <si>
    <t>HFOP</t>
  </si>
  <si>
    <t>Landmark Asset Services, Inc.</t>
  </si>
  <si>
    <t>Cherokee Mill Lofts</t>
  </si>
  <si>
    <t>Archetypes, LLC</t>
  </si>
  <si>
    <t>Calhoun Affordable Housing Development, Inc.</t>
  </si>
  <si>
    <t>Monroe Elementary, LLC</t>
  </si>
  <si>
    <t>Phillip Wilkie</t>
  </si>
  <si>
    <t>7700 Falls of Neuse Road, Suite 200</t>
  </si>
  <si>
    <t>Acquisition Officer</t>
  </si>
  <si>
    <t>Raleigh</t>
  </si>
  <si>
    <t>pwilkie@cahec.com</t>
  </si>
  <si>
    <t>DeWayne H. Anderson, Sr.</t>
  </si>
  <si>
    <t>Managing Member</t>
  </si>
  <si>
    <t>Rehab Builders, Inc.</t>
  </si>
  <si>
    <t>Ed Lipsky</t>
  </si>
  <si>
    <t>401 East Fourth Street, Suite 201</t>
  </si>
  <si>
    <t>ed@rehabbuilders.com</t>
  </si>
  <si>
    <t>Landmark Property Management Company</t>
  </si>
  <si>
    <t>Blair Maas</t>
  </si>
  <si>
    <t>Director</t>
  </si>
  <si>
    <t>blair@landmarkdevelopment.biz</t>
  </si>
  <si>
    <t>Blanco, Tackabery &amp; Matamoros, P.A.</t>
  </si>
  <si>
    <t>Deborah McKenney</t>
  </si>
  <si>
    <t>110 S. Stratford Road, Fifth Floor</t>
  </si>
  <si>
    <t>Partner</t>
  </si>
  <si>
    <t>dlm@blancolaw.com</t>
  </si>
  <si>
    <t>O. Douglas Covington CPA, P.A.</t>
  </si>
  <si>
    <t>Doug Covington</t>
  </si>
  <si>
    <t>1031 Summit Avenue, Suite 2E-1</t>
  </si>
  <si>
    <t>dougcovington@me.com</t>
  </si>
  <si>
    <t>HADP Architecture, Inc.</t>
  </si>
  <si>
    <t>Richard Aiken</t>
  </si>
  <si>
    <t>2722 Piedmont Road, N.E.</t>
  </si>
  <si>
    <t>Executive VP</t>
  </si>
  <si>
    <t>raiken@hadpmail.com</t>
  </si>
  <si>
    <t>For Profit</t>
  </si>
  <si>
    <t>Floating</t>
  </si>
  <si>
    <t xml:space="preserve">Applying in the Rural Set-Aside, "Monroe Elementary Apartments" is the proposed adaptive reuse of five existing school buildings on the former Monroe Elementary campus at 203 Bold Springs Avenue in a single-family neighborhood in downtown Monroe, Georgia.
The creative reconfiguration of five buildings will result in 60,065 square feet of community space and residential living space creating a total of 48 residential units (40 one-bedroom and 8 two-bedroom) of quality affordable housing and related amenities including  an Office/Community Building in the former Library.  One dilapidated building on-site will be demolished at the expense of the City of Monroe.  The 1994 gymnasium will be used by the community at large (as well as LIHTC tenants) as a multi-purpose recreational facility, operated, managed and maintained by the Walton County Parks and Recreation Department.  Of the 8.5 acre site, unanimously rezoned in June of 2011 to support the proposed project, 2.85 acres will be operated and maintained by the Monroe Downtown Development Authority (DDA) as a passive recreation park.  
The target population is persons 55 years and older (with up to 20% of the units (10) serving those disabled regardless of age) earning up to 60% AMI.  The need for affordable housing has been expressed by City staff and area service providers. Formerly an elementary school, all of the buildings are one-story structures.  Age appropriate amenities wil be provided (community room with kitchenette, equipped fitness center, equipped computer center, coin operated laundry, washer and dryer hook-ups in every unit, covered picnic pavillion with BBQ grill and seating, outdoor seating areas, fenced community garden and covered mail center.)
Monroe Elementary Apartments is unique in many ways.  Supported by the neighborhood, DDA and City Council, the proposed adaptive reuse implements the Statutory Redevelopment Plan adopted by the city in 2008; it provides non-tax dollars for the County School System thereby serving another broad community development agenda; it remodels two large institutional buildings into creative residential space by separating one building into two cottages of 5 units each, and produces an open courtyard in the center of the main building to enhance the residential experience of all the units there.  Shingled, hip roof, truss systems will be installed on the cottages and the main building, replacing the unsightly flat roofs in accordance with the architectural waiver submitted to DCA.  The historic Library and Stone Gym will be rehabilitated as the Office/Community Building and as 8 two-bedroom units, respectively.
As a USDA Rural Designated location in a small town setting, the proposed project provides easy access within walking distance to many of the services.  There are no undesirable activities within 1/4 mile, and is only 0.7 miles from the City Hall and the historic County Courthouse.  Conversely, and as noted above, the DDA and County Parks and Recreation Department are bringing programs directly to the proposed development, truly an enriching aspect to affordable housing resulting in zero travel time and expense for the residents of Monroe Elementary Apartments.
Monroe Elementary Apartments will be professionally managed by Landmark Property Management Company (LPMC) which takes special care to provide excellent resident services through management oversight and on-site staff and through its partners, as well as through outreach to community providers.  This proposal has been well received in extensive meetings with citizens, agencies and officials in Monroe and should uniquely fulfill the spirit and the letter of DCA's 2012 Qualified Allocation Plan.
</t>
  </si>
  <si>
    <t>Carolina Bank</t>
  </si>
  <si>
    <t>Environmental Abatement</t>
  </si>
  <si>
    <t>Community Affordable Housing Equity Corporation (CAHEC)</t>
  </si>
  <si>
    <t>Georgia Department of Community Affairs</t>
  </si>
  <si>
    <t>Electric Heat Pump</t>
  </si>
  <si>
    <t>CAHEC</t>
  </si>
  <si>
    <t>Amortizing</t>
  </si>
  <si>
    <t>Monroe Elementary LLC</t>
  </si>
  <si>
    <t>Payroll Tax &amp; Worker's Compensation</t>
  </si>
  <si>
    <t>Licenses &amp; Permits</t>
  </si>
  <si>
    <t>Fire Alarm &amp; Sprinkler Maint/Monitoring</t>
  </si>
  <si>
    <t>Auditing</t>
  </si>
  <si>
    <t>To Be Determined</t>
  </si>
  <si>
    <t>Tab 8 includes supporting documentation for Schedule of Values, Construction Loan Int., RE Tax Expense, Insurance, FF&amp;E, and Building Permit Costs.  Tab 5 includes commitments for the construction loan and equity.  Deferred development fee is anticipated to be paid by year 1.  Unit costs are within limits for new construction and rehabilitation projects.</t>
  </si>
  <si>
    <t>Agree</t>
  </si>
  <si>
    <t>John Wall and Associates</t>
  </si>
  <si>
    <t>2008-076</t>
  </si>
  <si>
    <t>Skyline Trace Apts</t>
  </si>
  <si>
    <t>The proposed property is in an area with great market need for safe, decent affordable housing for older persons as evidenced by the overall capture and absorption rates reflected above and in the market study.  As noted in the market study, the proposed property is quite unique - and consequently there are no properties in the area at present which can be considered directly comparable.  Additionally there are no tax credit-financed properties in Monroe which are designated for seniors.</t>
  </si>
  <si>
    <t>Maxis Engineering</t>
  </si>
  <si>
    <t>Road noise along N. Broad St. and Monroe Airport, which is approximately 1.5 miles away from the property.</t>
  </si>
  <si>
    <t>Contract/Option</t>
  </si>
  <si>
    <t>Not Applicable</t>
  </si>
  <si>
    <t>Other (explain in comments)</t>
  </si>
  <si>
    <t>On-site laundry</t>
  </si>
  <si>
    <t>Computer Room</t>
  </si>
  <si>
    <t>Fitness Room</t>
  </si>
  <si>
    <t>Fenced Community Garden</t>
  </si>
  <si>
    <t>Covered Pavilion with Picnic/Barbeque</t>
  </si>
  <si>
    <t>Wholesale</t>
  </si>
  <si>
    <t>Newbanks, Inc.</t>
  </si>
  <si>
    <t>Buildings are all one-story.  A2) There are 2 exterior gathering areas (separate from the Covered Pavilion with Picnic); 1 under the covered portico and 1 beside the community building.</t>
  </si>
  <si>
    <t>Mobility and hearing and site-impaired equipped units are identified in Part I, Section VI, B and C.</t>
  </si>
  <si>
    <t>Architectural waiver obtained and included behind Tab 4.</t>
  </si>
  <si>
    <t>The proposed property is not a Special Needs Project.  However, if selected, prior to issuance of the 8609s, a marketing plan will be submitted in accordance with the above and 2012 QAP.</t>
  </si>
  <si>
    <t>Elementary School Buildings</t>
  </si>
  <si>
    <t>Adaptive reuse of currently empty former school buildings to affordable housing for seniors.</t>
  </si>
  <si>
    <t>Earth Craft House Multifamily</t>
  </si>
  <si>
    <t>Statutory Redevelopment Plan</t>
  </si>
  <si>
    <t>Pass</t>
  </si>
  <si>
    <t>PA12-11</t>
  </si>
  <si>
    <t>Utility Allowance amounts from GA DCA website for 2011 - Middle Region</t>
  </si>
  <si>
    <t>The development budget includes amounts suggested by the Environmental Consultant to remediate items identified and noted above in the Environmental Study behind Tab 33.  Noise is below threshold and thus no mitigation is necessary.</t>
  </si>
  <si>
    <t>The Agreement for Purchase and Sale of Real Property is located behind Tab 9.</t>
  </si>
  <si>
    <t>The property is conveniently located and accessed via 3 well traveled public roads as shown on the survey (behind Tab 10) and the site plan (behind Tab 15).</t>
  </si>
  <si>
    <t>Proper zoning evidence is provided behind Tab 11.</t>
  </si>
  <si>
    <t>Tab 12 includes the letter of water and sewer availability from the City of Monroe.  Tab 8 contains calculations for sewer and tap fees.</t>
  </si>
  <si>
    <t>Above information is included behind Tab 13.</t>
  </si>
  <si>
    <t>The Conceptual Site Development Plan is located behind Tab 15.</t>
  </si>
  <si>
    <t>Qualified without Conditions</t>
  </si>
  <si>
    <t>Documentation can be found behind Tab 17.</t>
  </si>
  <si>
    <t>No comparable lihtc properties in the area - demand is great as supported by Market Study located behind Tab 31.</t>
  </si>
  <si>
    <t>Competitive Round</t>
  </si>
  <si>
    <t>DDA/QCT</t>
  </si>
  <si>
    <t>Mgmt works with the on-site staff to form a Resident Association and links community services providing on-site programs such as budgeting classes, computer classes, movie nights, pot luck dinners, monthly birthday socials and holiday gatherings, fire &amp; life safety classes, etc. Additionally, Walton Wellness is planning to provide free on-site semi-monthly health and wellness activities.</t>
  </si>
  <si>
    <t>180 days</t>
  </si>
  <si>
    <t>3 months beyond the 180 days to stabilize</t>
  </si>
  <si>
    <t>No identity of interest and thus no appraisal required at this time.  Tab 11 includes evidence of proper zoning.</t>
  </si>
  <si>
    <t>Tab 12 includes the letter of service availability and capacity from the City of Monroe.  Gas is available to the property, but will not be used.</t>
  </si>
  <si>
    <t xml:space="preserve">Although we selected "Wholesale" as the type of rehab, the development will actually be an adaptive reuse of an existing school to an affordable housing community.  </t>
  </si>
  <si>
    <t xml:space="preserve">The pre-application qualification is located behind tab 4.  </t>
  </si>
  <si>
    <t>Racially mixed</t>
  </si>
  <si>
    <t>1103, 1101, 1104, 1107, 1102</t>
  </si>
  <si>
    <t xml:space="preserve">The Contract Addendum is located behind Tab 9.  </t>
  </si>
  <si>
    <t xml:space="preserve">* To all applicants: please provide methodology for determining applicable construction hard costs.
</t>
  </si>
  <si>
    <t xml:space="preserve">*To all Applicants: Real estate taxes shown in Operating Budget should be prior to any tax abatement.  Please provide methodology for real estate tax calculation. 
Real Estate Tax estimate is calculated based on the NOI method, same as used for other LIHTC properties in the jurisdiction.
**To all Applicants: Please provide methodology for insurance calculation.
Insurance is based on blanket rates for other LIHTC properties managed by LPMC.
Estimates of calculations are included behind Tab 8.  </t>
  </si>
  <si>
    <t>Since submission of this property for the last two years, all parties (City of Monroe and Landmark) have remained committed to pursuit of this affordable housing solution with DCA.  Costs, design,presentation of the property's unique details, etc. have been further refined to optimize GA DCA resources.</t>
  </si>
  <si>
    <t>Landmark Asset Services, Inc., Archetypes, LLC and Landmark Property Management Company share some common ownership and/or officers.
The equity investor (CAHEC) will purchase both the federal and state credits which is why ownership is shown as a 99.99% on the Federal line only and no ownership percentage reflected in the State LP line.</t>
  </si>
  <si>
    <t>GA DCA</t>
  </si>
  <si>
    <t xml:space="preserve">Pursuanty to Q &amp; A answers, the Performance Workbook and DCA Compliance History has not been attached since the applicant received "Qualified without Conditions" finding in 2012.  The Organization Chart is included behind Tab 4 for convenience in reference.  </t>
  </si>
  <si>
    <t>Please see Tab 20.</t>
  </si>
  <si>
    <t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Monroe Elementary Apartments contribute to these three goals is address briefly as follows:
(A) As, by far, the largest and most significant property in its neighborhood, and as a growing blighting influence for three years now, adaptive reuse of the former Monroe Elementary School property as 48 units of affordable housing for those 55 and over, while serving up to 20% of its units (10) serving those with disabilities regardless of age, will have a “community changing effect” on its neighborhood. Neighborhood resident and long-time spokeswoman Dee Dee Harris states, “Our neighborhood has worked since the school vacated the building in 2007 to turn the property into something positive not only for us but for the larger community…this (proposal as Monroe Elementary Apartments) is the best we could even have hoped for”.  
(B) As shown in the application, Monroe Elementary Apartments’ concept and design are unique in significant ways, including:
1.  Constructing 48 units, all inter-connected by a series sidewalks, making the campus100% handicap accessible. 
2.  Taking a previously institutional campus and turning it into a walk-able, residential community in its own right, enhancing residential flavor of the entire area (which is single-family residential in nature) by dividing a long, former classroom building in to “cottages” of five units each.  The institutional flat roof will be replaced with a truss hip roof system immediately across Midland Ave. from existing homes.  Further, it will put a truss hip roof system on the main school building, a system that will focus on an open-to-sky green space that will serve all residents of that building.  
3. Reducing the impervious surface ratio of the existing physical plant by replacing paved areas with greenery. The center of the large parking area will be removed and made into an open space.
(C) Monroe Elementary Apartments will meet an overriding DCA policy objective not generally addressed in tax credit projects, including the following.
1.  Community Service Facilities:  Partnering with the Walton County Parks and Recreation Department for operation and maintenance of the existing multi-purpose recreational facility to serve residents of Monroe Elementary Apartments and the community at large. Also, it will partner with the Downtown Development Authority for operation and maintenance of the 2.85 acre passive park which was formerly the schools playground.  Parks are a vanishing commodity in Monroe and the City and neighborhood want this area preserved enough to call it their own.  
2.  Preserving Historic Fabric:  Protecting the historic Library Building through converting it into the leasing office, computer room and community room/kitchenette.  Further, the historic Stone Gym will have its original two-tiered roof line restored with a clearstory added for natural lighting, while converting it into eight two-bedroom units. Historic pillars around the campus will be restored, also very important to the historic integrity of this former school and what it means to the community.
2.  Creating jobs: Economic Development literature indicates that preservation of historic buildings creates more jobs than a comparable investment in new construction. Local economic impacts amount to 2.5 times the labor portion of the construction contract.
3. Expanding the array of housing stock options: Typically, affordable housing produces a predictable, though important, element of a community’s housing options.  Monroe Elementary Apartments will produce the most distinctive housing choice in Walton County and beyond.  Bringing a unique product to this area is an undertaking unto itself, one that should be appreciated in the local housing market.
4.  Green infill redevelopment: In Monroe Elementary Apartments,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direct spillover into Monroe’s downtown revitalization effort, as evidenced by the constant involvement by the City’s Downtown Development Director and City Manager in the development of the 2011 LIHTC applications to DCA.  
5. Supportive Community:  Monroe Elementary Apartments will create a supportive community for its residents that will goes far beyond having attractive and inviting apartments in which to live – a significant impact in its own right.  Residents have a sense of belonging to something deeply rooted and intimately connected with the city at large.  Residents can’t help but feel part of something bigger. In similar properties, they have formed attachments with one another and check in on one another and look after one another – as community.
In summary, few other projects submitted in this 2012 Georgia LIHTC tax credit round will have as much turn-around impact as Monroe Elementary Apartments.  It literally turns a “sow’s ear into a silk purse!”  Only 0.7 miles from City Hall on N. Madison Ave., this highly visible make-over will be a signature property for DCA and will be lauded on many levels as a major achievement in much more than housing alone.  It will be catalytic in ways that are unforeseen, that will carry over for years in the lives of people who live in and pass through Monroe, Walton County, Georgia. 
</t>
  </si>
  <si>
    <t>2012-016</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</si>
</sst>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84" xfId="0" applyFont="1" applyFill="1" applyBorder="1" applyAlignment="1" applyProtection="1">
      <alignment horizontal="left"/>
    </xf>
    <xf numFmtId="0" fontId="1" fillId="5" borderId="88" xfId="0" applyFont="1" applyFill="1" applyBorder="1" applyAlignment="1" applyProtection="1">
      <alignment horizontal="left"/>
    </xf>
    <xf numFmtId="0" fontId="1" fillId="5" borderId="85" xfId="0" applyFont="1" applyFill="1" applyBorder="1" applyAlignment="1" applyProtection="1">
      <alignment horizontal="left"/>
    </xf>
    <xf numFmtId="175" fontId="1" fillId="5" borderId="84" xfId="0" applyNumberFormat="1" applyFont="1" applyFill="1" applyBorder="1" applyAlignment="1" applyProtection="1">
      <alignment horizontal="left"/>
    </xf>
    <xf numFmtId="175" fontId="1" fillId="5" borderId="85"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10" fillId="5" borderId="38"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2"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0" fillId="0" borderId="85" xfId="0" applyBorder="1" applyAlignment="1" applyProtection="1">
      <alignment horizontal="left" vertical="center"/>
    </xf>
    <xf numFmtId="10" fontId="12" fillId="5" borderId="84"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85" xfId="0" applyFont="1" applyFill="1" applyBorder="1" applyAlignment="1" applyProtection="1">
      <alignment horizontal="left"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topLeftCell="A196" zoomScale="95" zoomScaleNormal="95" workbookViewId="0">
      <selection activeCell="A196"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2012-016, Monroe Elementary Apartments, Walton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3984</v>
      </c>
      <c r="I8" s="1235"/>
    </row>
    <row r="9" spans="1:9" s="40" customFormat="1" ht="12.6" customHeight="1" thickBot="1">
      <c r="A9" s="101"/>
      <c r="B9" s="789"/>
      <c r="C9" s="390"/>
      <c r="D9" s="390"/>
      <c r="E9" s="391" t="s">
        <v>3942</v>
      </c>
      <c r="F9" s="391"/>
      <c r="G9" s="1234" t="s">
        <v>3984</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3984</v>
      </c>
    </row>
    <row r="12" spans="1:9" s="40" customFormat="1" ht="12.6" customHeight="1">
      <c r="A12" s="386"/>
      <c r="B12" s="1237"/>
      <c r="C12" s="1237"/>
      <c r="D12" s="1237"/>
      <c r="E12" s="1236" t="s">
        <v>3943</v>
      </c>
      <c r="F12" s="395"/>
      <c r="G12" s="1234" t="s">
        <v>3984</v>
      </c>
    </row>
    <row r="13" spans="1:9" s="40" customFormat="1" ht="12.6" customHeight="1">
      <c r="A13" s="386"/>
      <c r="B13" s="1237"/>
      <c r="C13" s="1237"/>
      <c r="D13" s="1237"/>
      <c r="E13" s="1236" t="s">
        <v>3939</v>
      </c>
      <c r="F13" s="395"/>
      <c r="G13" s="1234" t="s">
        <v>3984</v>
      </c>
    </row>
    <row r="14" spans="1:9" s="40" customFormat="1" ht="12" customHeight="1">
      <c r="A14" s="101"/>
      <c r="B14" s="391"/>
      <c r="C14" s="391"/>
      <c r="D14" s="391"/>
      <c r="E14" s="392" t="s">
        <v>749</v>
      </c>
      <c r="F14" s="391"/>
      <c r="G14" s="1234" t="s">
        <v>3984</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3984</v>
      </c>
    </row>
    <row r="18" spans="1:7" s="40" customFormat="1" ht="12" customHeight="1">
      <c r="A18" s="101"/>
      <c r="B18" s="239"/>
      <c r="C18" s="789"/>
      <c r="D18" s="391"/>
      <c r="E18" s="391" t="s">
        <v>3969</v>
      </c>
      <c r="F18" s="391"/>
      <c r="G18" s="1234" t="s">
        <v>3984</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3984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3984</v>
      </c>
    </row>
    <row r="50" spans="1:7" s="40" customFormat="1" ht="13.5">
      <c r="A50" s="386"/>
      <c r="B50" s="406"/>
      <c r="C50" s="1245" t="s">
        <v>3931</v>
      </c>
      <c r="D50" s="391"/>
      <c r="E50" s="882" t="s">
        <v>3968</v>
      </c>
      <c r="F50" s="883"/>
      <c r="G50" s="1234" t="s">
        <v>2104</v>
      </c>
    </row>
    <row r="51" spans="1:7" s="40" customFormat="1" ht="12" customHeight="1">
      <c r="A51" s="101"/>
      <c r="B51" s="239"/>
      <c r="C51" s="789"/>
      <c r="D51" s="391"/>
      <c r="E51" s="391" t="s">
        <v>3260</v>
      </c>
      <c r="F51" s="391"/>
      <c r="G51" s="1234" t="s">
        <v>2104</v>
      </c>
    </row>
    <row r="52" spans="1:7" s="40" customFormat="1" ht="12" customHeight="1">
      <c r="A52" s="101"/>
      <c r="B52" s="239"/>
      <c r="C52" s="789"/>
      <c r="D52" s="391"/>
      <c r="E52" s="391" t="s">
        <v>3918</v>
      </c>
      <c r="F52" s="391"/>
      <c r="G52" s="1234" t="s">
        <v>2104</v>
      </c>
    </row>
    <row r="53" spans="1:7" s="40" customFormat="1" ht="12" customHeight="1">
      <c r="A53" s="101"/>
      <c r="B53" s="239"/>
      <c r="C53" s="391"/>
      <c r="D53" s="391"/>
      <c r="E53" s="395" t="s">
        <v>3201</v>
      </c>
      <c r="F53" s="395"/>
      <c r="G53" s="1234" t="s">
        <v>2104</v>
      </c>
    </row>
    <row r="54" spans="1:7" s="40" customFormat="1" ht="12" customHeight="1">
      <c r="A54" s="101"/>
      <c r="B54" s="239"/>
      <c r="C54" s="391"/>
      <c r="D54" s="391"/>
      <c r="E54" s="882" t="s">
        <v>3920</v>
      </c>
      <c r="F54" s="883"/>
      <c r="G54" s="1234" t="s">
        <v>2104</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3984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3984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3984</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3984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3984</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3984</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3984</v>
      </c>
    </row>
    <row r="113" spans="1:7" s="40" customFormat="1" ht="12" customHeight="1">
      <c r="A113" s="101"/>
      <c r="B113" s="395"/>
      <c r="C113" s="239"/>
      <c r="D113" s="395"/>
      <c r="E113" s="395" t="s">
        <v>680</v>
      </c>
      <c r="F113" s="401"/>
      <c r="G113" s="1234" t="s">
        <v>3984</v>
      </c>
    </row>
    <row r="114" spans="1:7" s="40" customFormat="1" ht="12" customHeight="1">
      <c r="A114" s="101"/>
      <c r="B114" s="391"/>
      <c r="C114" s="239"/>
      <c r="D114" s="391"/>
      <c r="E114" s="395" t="s">
        <v>3607</v>
      </c>
      <c r="F114" s="397"/>
      <c r="G114" s="1234" t="s">
        <v>3984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3984</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3984</v>
      </c>
    </row>
    <row r="122" spans="1:7" s="40" customFormat="1" ht="12" customHeight="1">
      <c r="A122" s="104"/>
      <c r="B122" s="390"/>
      <c r="C122" s="239"/>
      <c r="D122" s="395"/>
      <c r="E122" s="882" t="s">
        <v>3686</v>
      </c>
      <c r="F122" s="883"/>
      <c r="G122" s="1234" t="s">
        <v>3984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3984</v>
      </c>
    </row>
    <row r="128" spans="1:7" s="40" customFormat="1" ht="12" customHeight="1">
      <c r="A128" s="101"/>
      <c r="B128" s="390"/>
      <c r="C128" s="239"/>
      <c r="D128" s="391"/>
      <c r="E128" s="391" t="s">
        <v>1537</v>
      </c>
      <c r="F128" s="391"/>
      <c r="G128" s="1234" t="s">
        <v>3984</v>
      </c>
    </row>
    <row r="129" spans="1:7" s="40" customFormat="1" ht="12" customHeight="1">
      <c r="A129" s="101"/>
      <c r="B129" s="391"/>
      <c r="C129" s="239"/>
      <c r="D129" s="391"/>
      <c r="E129" s="395" t="s">
        <v>1538</v>
      </c>
      <c r="F129" s="401"/>
      <c r="G129" s="1234" t="s">
        <v>3984</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3984</v>
      </c>
    </row>
    <row r="133" spans="1:7" s="40" customFormat="1" ht="12" customHeight="1">
      <c r="A133" s="101"/>
      <c r="B133" s="884"/>
      <c r="C133" s="885"/>
      <c r="D133" s="885"/>
      <c r="E133" s="395" t="s">
        <v>1785</v>
      </c>
      <c r="F133" s="395"/>
      <c r="G133" s="1234" t="s">
        <v>3984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3984</v>
      </c>
    </row>
    <row r="137" spans="1:7" s="40" customFormat="1" ht="12" customHeight="1">
      <c r="A137" s="101"/>
      <c r="B137" s="587" t="s">
        <v>2882</v>
      </c>
      <c r="C137" s="239"/>
      <c r="D137" s="1251"/>
      <c r="E137" s="881" t="s">
        <v>3935</v>
      </c>
      <c r="F137" s="883"/>
      <c r="G137" s="1234" t="s">
        <v>3984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3984</v>
      </c>
    </row>
    <row r="140" spans="1:7" s="40" customFormat="1" ht="12" customHeight="1">
      <c r="A140" s="386"/>
      <c r="B140" s="587" t="s">
        <v>3178</v>
      </c>
      <c r="C140" s="404"/>
      <c r="D140" s="391"/>
      <c r="E140" s="392" t="s">
        <v>2373</v>
      </c>
      <c r="F140" s="391"/>
      <c r="G140" s="1234" t="s">
        <v>3984</v>
      </c>
    </row>
    <row r="141" spans="1:7" s="40" customFormat="1" ht="12" customHeight="1">
      <c r="A141" s="101"/>
      <c r="B141" s="239"/>
      <c r="C141" s="391"/>
      <c r="D141" s="391"/>
      <c r="E141" s="391" t="s">
        <v>3092</v>
      </c>
      <c r="F141" s="391"/>
      <c r="G141" s="1234" t="s">
        <v>3984</v>
      </c>
    </row>
    <row r="142" spans="1:7" s="40" customFormat="1" ht="12" customHeight="1">
      <c r="A142" s="101"/>
      <c r="B142" s="391"/>
      <c r="C142" s="391"/>
      <c r="D142" s="391"/>
      <c r="E142" s="391" t="s">
        <v>3608</v>
      </c>
      <c r="F142" s="391"/>
      <c r="G142" s="1234" t="s">
        <v>3984</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3984</v>
      </c>
    </row>
    <row r="145" spans="1:7" s="40" customFormat="1" ht="12" customHeight="1">
      <c r="A145" s="101"/>
      <c r="B145" s="395"/>
      <c r="C145" s="390"/>
      <c r="D145" s="395"/>
      <c r="E145" s="395" t="s">
        <v>3401</v>
      </c>
      <c r="F145" s="395"/>
      <c r="G145" s="1234" t="s">
        <v>3984</v>
      </c>
    </row>
    <row r="146" spans="1:7" s="40" customFormat="1" ht="12" customHeight="1">
      <c r="A146" s="101"/>
      <c r="B146" s="395"/>
      <c r="C146" s="413"/>
      <c r="D146" s="395"/>
      <c r="E146" s="395" t="s">
        <v>678</v>
      </c>
      <c r="F146" s="395"/>
      <c r="G146" s="1234" t="s">
        <v>3984</v>
      </c>
    </row>
    <row r="147" spans="1:7" s="40" customFormat="1" ht="12" customHeight="1">
      <c r="A147" s="101"/>
      <c r="B147" s="395"/>
      <c r="C147" s="395"/>
      <c r="D147" s="414"/>
      <c r="E147" s="395" t="s">
        <v>679</v>
      </c>
      <c r="F147" s="395"/>
      <c r="G147" s="1234" t="s">
        <v>3984</v>
      </c>
    </row>
    <row r="148" spans="1:7" s="40" customFormat="1" ht="12" customHeight="1">
      <c r="A148" s="101"/>
      <c r="B148" s="395"/>
      <c r="C148" s="395"/>
      <c r="D148" s="414"/>
      <c r="E148" s="395" t="s">
        <v>911</v>
      </c>
      <c r="F148" s="395"/>
      <c r="G148" s="1234" t="s">
        <v>3984</v>
      </c>
    </row>
    <row r="149" spans="1:7" s="1246" customFormat="1" ht="12" customHeight="1">
      <c r="A149" s="101"/>
      <c r="B149" s="395"/>
      <c r="C149" s="395"/>
      <c r="D149" s="414"/>
      <c r="E149" s="395" t="s">
        <v>2142</v>
      </c>
      <c r="F149" s="395"/>
      <c r="G149" s="1234" t="s">
        <v>3984</v>
      </c>
    </row>
    <row r="150" spans="1:7" s="40" customFormat="1" ht="12" customHeight="1">
      <c r="A150" s="101"/>
      <c r="B150" s="395"/>
      <c r="C150" s="395"/>
      <c r="D150" s="395"/>
      <c r="E150" s="789" t="s">
        <v>3334</v>
      </c>
      <c r="F150" s="401"/>
      <c r="G150" s="1234" t="s">
        <v>3984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3984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3984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3984</v>
      </c>
    </row>
    <row r="170" spans="1:7" s="40" customFormat="1" ht="12" customHeight="1">
      <c r="A170" s="101"/>
      <c r="B170" s="239"/>
      <c r="C170" s="789"/>
      <c r="D170" s="1236"/>
      <c r="E170" s="881" t="s">
        <v>807</v>
      </c>
      <c r="F170" s="883"/>
      <c r="G170" s="1234" t="s">
        <v>3984</v>
      </c>
    </row>
    <row r="171" spans="1:7" s="40" customFormat="1" ht="12" customHeight="1">
      <c r="A171" s="101"/>
      <c r="B171" s="400"/>
      <c r="C171" s="1236"/>
      <c r="D171" s="1236"/>
      <c r="E171" s="397" t="s">
        <v>36</v>
      </c>
      <c r="F171" s="391"/>
      <c r="G171" s="1234" t="s">
        <v>3984</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3984</v>
      </c>
    </row>
    <row r="176" spans="1:7" s="40" customFormat="1" ht="11.25" customHeight="1">
      <c r="A176" s="386"/>
      <c r="B176" s="1257"/>
      <c r="C176" s="239"/>
      <c r="D176" s="1237"/>
      <c r="E176" s="881" t="s">
        <v>590</v>
      </c>
      <c r="F176" s="883"/>
      <c r="G176" s="1234" t="s">
        <v>3984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3984</v>
      </c>
    </row>
    <row r="179" spans="1:7" s="40" customFormat="1" ht="12" customHeight="1">
      <c r="A179" s="101"/>
      <c r="B179" s="1237"/>
      <c r="C179" s="239"/>
      <c r="E179" s="822" t="s">
        <v>3661</v>
      </c>
      <c r="F179" s="821"/>
      <c r="G179" s="1234" t="s">
        <v>3984</v>
      </c>
    </row>
    <row r="180" spans="1:7" s="40" customFormat="1" ht="12" customHeight="1">
      <c r="A180" s="101"/>
      <c r="B180" s="406"/>
      <c r="C180" s="239"/>
      <c r="D180" s="1237"/>
      <c r="E180" s="881" t="s">
        <v>591</v>
      </c>
      <c r="F180" s="883"/>
      <c r="G180" s="1234" t="s">
        <v>3984</v>
      </c>
    </row>
    <row r="181" spans="1:7" s="40" customFormat="1" ht="12" customHeight="1">
      <c r="A181" s="101"/>
      <c r="B181" s="406"/>
      <c r="C181" s="239"/>
      <c r="D181" s="1237"/>
      <c r="E181" s="881" t="s">
        <v>592</v>
      </c>
      <c r="F181" s="883"/>
      <c r="G181" s="1234" t="s">
        <v>3984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2104</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3984</v>
      </c>
    </row>
    <row r="195" spans="1:7" s="40" customFormat="1" ht="26.25" customHeight="1">
      <c r="A195" s="101"/>
      <c r="B195" s="1237"/>
      <c r="C195" s="239"/>
      <c r="D195" s="1237"/>
      <c r="E195" s="1260" t="s">
        <v>3911</v>
      </c>
      <c r="F195" s="1261"/>
      <c r="G195" s="1234" t="s">
        <v>3984</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3984</v>
      </c>
    </row>
    <row r="206" spans="1:7" s="40" customFormat="1" ht="12" customHeight="1">
      <c r="A206" s="101"/>
      <c r="B206" s="239"/>
      <c r="C206" s="1236"/>
      <c r="D206" s="1237"/>
      <c r="E206" s="1236" t="s">
        <v>3165</v>
      </c>
      <c r="F206" s="395"/>
      <c r="G206" s="1234" t="s">
        <v>3984</v>
      </c>
    </row>
    <row r="207" spans="1:7" s="40" customFormat="1" ht="12" customHeight="1">
      <c r="A207" s="101"/>
      <c r="B207" s="1236"/>
      <c r="C207" s="390"/>
      <c r="D207" s="1237"/>
      <c r="E207" s="1236" t="s">
        <v>155</v>
      </c>
      <c r="F207" s="395"/>
      <c r="G207" s="1234" t="s">
        <v>3984</v>
      </c>
    </row>
    <row r="208" spans="1:7" s="40" customFormat="1" ht="12" customHeight="1">
      <c r="A208" s="101"/>
      <c r="B208" s="1236"/>
      <c r="C208" s="1245"/>
      <c r="D208" s="1237"/>
      <c r="E208" s="1236" t="s">
        <v>3609</v>
      </c>
      <c r="F208" s="395"/>
      <c r="G208" s="1234" t="s">
        <v>3984</v>
      </c>
    </row>
    <row r="209" spans="1:7" s="40" customFormat="1" ht="12" customHeight="1">
      <c r="A209" s="101"/>
      <c r="B209" s="789"/>
      <c r="C209" s="1245"/>
      <c r="D209" s="1237"/>
      <c r="E209" s="1236" t="s">
        <v>156</v>
      </c>
      <c r="F209" s="395"/>
      <c r="G209" s="1234" t="s">
        <v>3984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t="s">
        <v>2104</v>
      </c>
    </row>
    <row r="232" spans="1:7" s="40" customFormat="1" ht="12.6" customHeight="1">
      <c r="A232" s="101"/>
      <c r="C232" s="1272"/>
      <c r="D232" s="1112"/>
      <c r="E232" s="1273"/>
      <c r="F232" s="1273"/>
      <c r="G232" s="1274" t="s">
        <v>2104</v>
      </c>
    </row>
    <row r="233" spans="1:7" s="40" customFormat="1" ht="12.6" customHeight="1">
      <c r="A233" s="101"/>
      <c r="C233" s="1272"/>
      <c r="D233" s="1112"/>
      <c r="E233" s="1273"/>
      <c r="F233" s="1273"/>
      <c r="G233" s="1274" t="s">
        <v>2104</v>
      </c>
    </row>
    <row r="234" spans="1:7" s="40" customFormat="1" ht="12.6" customHeight="1">
      <c r="A234" s="101"/>
      <c r="C234" s="1272"/>
      <c r="D234" s="1112"/>
      <c r="E234" s="1273"/>
      <c r="F234" s="1273"/>
      <c r="G234" s="1274" t="s">
        <v>2104</v>
      </c>
    </row>
    <row r="235" spans="1:7" s="40" customFormat="1" ht="12.6" customHeight="1">
      <c r="A235" s="101"/>
      <c r="C235" s="1111"/>
      <c r="D235" s="1112"/>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3984</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3984</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9" zoomScaleNormal="100" workbookViewId="0">
      <selection activeCell="A19"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2012-016 Monroe Elementary Apartments, Monroe, Walton County</v>
      </c>
      <c r="B1" s="1002"/>
      <c r="C1" s="1002"/>
      <c r="D1" s="1002"/>
      <c r="E1" s="1002"/>
      <c r="F1" s="1002"/>
      <c r="G1" s="1002"/>
      <c r="H1" s="1002"/>
      <c r="I1" s="1002"/>
      <c r="J1" s="1002"/>
      <c r="K1" s="1002"/>
      <c r="L1" s="1002"/>
      <c r="M1" s="1002"/>
      <c r="N1" s="1002"/>
      <c r="O1" s="1002"/>
      <c r="P1" s="1003"/>
      <c r="T1" s="1081" t="str">
        <f>A1</f>
        <v>PART SIX - PROJECTED REVENUES &amp; EXPENSES  -  2012-016 Monroe Elementary Apartments, Monroe, Walton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6" t="s">
        <v>4025</v>
      </c>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7" t="s">
        <v>3982</v>
      </c>
      <c r="J6" s="851" t="s">
        <v>3386</v>
      </c>
      <c r="N6" s="1087" t="str">
        <f>'Part I-Project Information'!$J$26</f>
        <v>Atlanta-Sandy Springs-Marietta</v>
      </c>
      <c r="O6" s="1087"/>
      <c r="P6" s="672">
        <f>VLOOKUP('Part I-Project Information'!$J$26,'DCA Underwriting Assumptions'!$C$84:$D$194,2)</f>
        <v>69300</v>
      </c>
      <c r="Q6" s="769"/>
      <c r="R6" s="1089" t="s">
        <v>3974</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3971</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3970</v>
      </c>
      <c r="S8" s="852" t="s">
        <v>3972</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3973</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8" t="s">
        <v>127</v>
      </c>
      <c r="C10" s="1519">
        <v>1</v>
      </c>
      <c r="D10" s="1520">
        <v>1</v>
      </c>
      <c r="E10" s="1521">
        <v>8</v>
      </c>
      <c r="F10" s="1521">
        <v>750</v>
      </c>
      <c r="G10" s="1521">
        <v>641</v>
      </c>
      <c r="H10" s="1521">
        <v>562</v>
      </c>
      <c r="I10" s="1521">
        <v>152</v>
      </c>
      <c r="J10" s="1522"/>
      <c r="K10" s="224">
        <f>MAX(0,H10-I10)</f>
        <v>410</v>
      </c>
      <c r="L10" s="224">
        <f t="shared" ref="L10:L47" si="0">MAX(0,E10*K10)</f>
        <v>3280</v>
      </c>
      <c r="M10" s="1523" t="s">
        <v>3982</v>
      </c>
      <c r="N10" s="1523" t="s">
        <v>3645</v>
      </c>
      <c r="O10" s="1523" t="s">
        <v>3213</v>
      </c>
      <c r="P10" s="673">
        <f>IF(H10="","",H10*12/0.3)</f>
        <v>22480</v>
      </c>
      <c r="Q10" s="674">
        <f>IF(H10="","",P10/($P$6*VLOOKUP(C10,'DCA Underwriting Assumptions'!$J$84:$K$89,2,FALSE)))</f>
        <v>0.43251563251563252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8</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6000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8</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8</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8</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4" t="s">
        <v>127</v>
      </c>
      <c r="C11" s="1525">
        <v>2</v>
      </c>
      <c r="D11" s="1526">
        <v>2</v>
      </c>
      <c r="E11" s="1527">
        <v>2</v>
      </c>
      <c r="F11" s="1527">
        <v>900</v>
      </c>
      <c r="G11" s="1527">
        <v>768</v>
      </c>
      <c r="H11" s="1527">
        <v>705</v>
      </c>
      <c r="I11" s="1527">
        <v>195</v>
      </c>
      <c r="J11" s="1528"/>
      <c r="K11" s="225">
        <f t="shared" ref="K11:K27" si="172">MAX(0,H11-I11)</f>
        <v>510</v>
      </c>
      <c r="L11" s="225">
        <f t="shared" si="0"/>
        <v>1020</v>
      </c>
      <c r="M11" s="1529" t="s">
        <v>3982</v>
      </c>
      <c r="N11" s="1529" t="s">
        <v>3645</v>
      </c>
      <c r="O11" s="1529" t="s">
        <v>3213</v>
      </c>
      <c r="P11" s="673">
        <f>IF(H11="","",H11*12/0.3)</f>
        <v>28200</v>
      </c>
      <c r="Q11" s="674">
        <f>IF(H11="","",P11/($P$6*VLOOKUP(C11,'DCA Underwriting Assumptions'!$J$84:$K$89,2,FALSE)))</f>
        <v>0.45214045214045212</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2</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1800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2</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2</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f t="shared" si="128"/>
        <v>2</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4" t="s">
        <v>1670</v>
      </c>
      <c r="C12" s="1525">
        <v>1</v>
      </c>
      <c r="D12" s="1526">
        <v>1</v>
      </c>
      <c r="E12" s="1527">
        <v>32</v>
      </c>
      <c r="F12" s="1527">
        <v>750</v>
      </c>
      <c r="G12" s="1527">
        <v>769</v>
      </c>
      <c r="H12" s="1527">
        <v>669</v>
      </c>
      <c r="I12" s="1527">
        <v>152</v>
      </c>
      <c r="J12" s="1528"/>
      <c r="K12" s="225">
        <f t="shared" si="172"/>
        <v>517</v>
      </c>
      <c r="L12" s="225">
        <f t="shared" si="0"/>
        <v>16544</v>
      </c>
      <c r="M12" s="1529" t="s">
        <v>3982</v>
      </c>
      <c r="N12" s="1529" t="s">
        <v>3645</v>
      </c>
      <c r="O12" s="1529" t="s">
        <v>3213</v>
      </c>
      <c r="P12" s="673">
        <f>IF(H12="","",H12*12/0.3)</f>
        <v>26760</v>
      </c>
      <c r="Q12" s="674">
        <f>IF(H12="","",P12/($P$6*VLOOKUP(C12,'DCA Underwriting Assumptions'!$J$84:$K$89,2,FALSE)))</f>
        <v>0.51486291486291491</v>
      </c>
      <c r="R12" s="820"/>
      <c r="S12" s="674"/>
      <c r="T12" s="1462"/>
      <c r="U12" s="1463"/>
      <c r="V12" s="757" t="str">
        <f t="shared" si="1"/>
        <v/>
      </c>
      <c r="W12" s="757">
        <f t="shared" si="2"/>
        <v>32</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24000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32</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32</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f t="shared" si="127"/>
        <v>32</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4" t="s">
        <v>1670</v>
      </c>
      <c r="C13" s="1525">
        <v>2</v>
      </c>
      <c r="D13" s="1526">
        <v>2</v>
      </c>
      <c r="E13" s="1527">
        <v>6</v>
      </c>
      <c r="F13" s="1527">
        <v>900</v>
      </c>
      <c r="G13" s="1527">
        <v>881</v>
      </c>
      <c r="H13" s="1527">
        <v>757</v>
      </c>
      <c r="I13" s="1527">
        <v>195</v>
      </c>
      <c r="J13" s="1528"/>
      <c r="K13" s="225">
        <f t="shared" si="172"/>
        <v>562</v>
      </c>
      <c r="L13" s="225">
        <f t="shared" si="0"/>
        <v>3372</v>
      </c>
      <c r="M13" s="1529" t="s">
        <v>3982</v>
      </c>
      <c r="N13" s="1529" t="s">
        <v>3645</v>
      </c>
      <c r="O13" s="1529" t="s">
        <v>3213</v>
      </c>
      <c r="P13" s="673">
        <f>IF(H13="","",H13*12/0.3)</f>
        <v>30280</v>
      </c>
      <c r="Q13" s="674">
        <f>IF(H13="","",P13/($P$6*VLOOKUP(C13,'DCA Underwriting Assumptions'!$J$84:$K$89,2,FALSE)))</f>
        <v>0.48548981882315217</v>
      </c>
      <c r="R13" s="820"/>
      <c r="S13" s="674"/>
      <c r="T13" s="1462"/>
      <c r="U13" s="1463"/>
      <c r="V13" s="757" t="str">
        <f t="shared" si="1"/>
        <v/>
      </c>
      <c r="W13" s="757" t="str">
        <f t="shared" si="2"/>
        <v/>
      </c>
      <c r="X13" s="757">
        <f t="shared" si="3"/>
        <v>6</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5400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6</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6</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f t="shared" si="128"/>
        <v>6</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4" t="s">
        <v>2626</v>
      </c>
      <c r="C14" s="1525"/>
      <c r="D14" s="1526"/>
      <c r="E14" s="1527"/>
      <c r="F14" s="1527"/>
      <c r="G14" s="1527"/>
      <c r="H14" s="1527"/>
      <c r="I14" s="1527"/>
      <c r="J14" s="1528"/>
      <c r="K14" s="225">
        <f t="shared" si="172"/>
        <v>0</v>
      </c>
      <c r="L14" s="225">
        <f t="shared" si="0"/>
        <v>0</v>
      </c>
      <c r="M14" s="1529"/>
      <c r="N14" s="1529"/>
      <c r="O14" s="1529"/>
      <c r="P14" s="673" t="str">
        <f>IF(H14="","",H14*12/0.3)</f>
        <v/>
      </c>
      <c r="Q14" s="674" t="str">
        <f>IF(H14="","",P14/($P$6*VLOOKUP(C14,'DCA Underwriting Assumptions'!$J$84:$K$89,2,FALSE)))</f>
        <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4" t="s">
        <v>2626</v>
      </c>
      <c r="C15" s="1525"/>
      <c r="D15" s="1526"/>
      <c r="E15" s="1527"/>
      <c r="F15" s="1527"/>
      <c r="G15" s="1527"/>
      <c r="H15" s="1527"/>
      <c r="I15" s="1527"/>
      <c r="J15" s="1528"/>
      <c r="K15" s="225">
        <f t="shared" si="172"/>
        <v>0</v>
      </c>
      <c r="L15" s="225">
        <f t="shared" si="0"/>
        <v>0</v>
      </c>
      <c r="M15" s="1529"/>
      <c r="N15" s="1529"/>
      <c r="O15" s="1529"/>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4" t="s">
        <v>2626</v>
      </c>
      <c r="C16" s="1525"/>
      <c r="D16" s="1526"/>
      <c r="E16" s="1527"/>
      <c r="F16" s="1527"/>
      <c r="G16" s="1527"/>
      <c r="H16" s="1527"/>
      <c r="I16" s="1527"/>
      <c r="J16" s="1528"/>
      <c r="K16" s="225">
        <f t="shared" si="172"/>
        <v>0</v>
      </c>
      <c r="L16" s="225">
        <f t="shared" si="0"/>
        <v>0</v>
      </c>
      <c r="M16" s="1529"/>
      <c r="N16" s="1529"/>
      <c r="O16" s="1529"/>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4" t="s">
        <v>2626</v>
      </c>
      <c r="C17" s="1525"/>
      <c r="D17" s="1526"/>
      <c r="E17" s="1527"/>
      <c r="F17" s="1527"/>
      <c r="G17" s="1527"/>
      <c r="H17" s="1527"/>
      <c r="I17" s="1527"/>
      <c r="J17" s="1528"/>
      <c r="K17" s="225">
        <f t="shared" si="172"/>
        <v>0</v>
      </c>
      <c r="L17" s="225">
        <f t="shared" si="0"/>
        <v>0</v>
      </c>
      <c r="M17" s="1529"/>
      <c r="N17" s="1529"/>
      <c r="O17" s="1529"/>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4" t="s">
        <v>2626</v>
      </c>
      <c r="C18" s="1525"/>
      <c r="D18" s="1526"/>
      <c r="E18" s="1527"/>
      <c r="F18" s="1527"/>
      <c r="G18" s="1527"/>
      <c r="H18" s="1527"/>
      <c r="I18" s="1527"/>
      <c r="J18" s="1528"/>
      <c r="K18" s="225">
        <f t="shared" si="172"/>
        <v>0</v>
      </c>
      <c r="L18" s="225">
        <f t="shared" si="0"/>
        <v>0</v>
      </c>
      <c r="M18" s="1529"/>
      <c r="N18" s="1529"/>
      <c r="O18" s="1529"/>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4" t="s">
        <v>2626</v>
      </c>
      <c r="C19" s="1525"/>
      <c r="D19" s="1526"/>
      <c r="E19" s="1527"/>
      <c r="F19" s="1527"/>
      <c r="G19" s="1527"/>
      <c r="H19" s="1527"/>
      <c r="I19" s="1527"/>
      <c r="J19" s="1528"/>
      <c r="K19" s="225">
        <f t="shared" si="172"/>
        <v>0</v>
      </c>
      <c r="L19" s="225">
        <f t="shared" si="0"/>
        <v>0</v>
      </c>
      <c r="M19" s="1529"/>
      <c r="N19" s="1529"/>
      <c r="O19" s="1529"/>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4" t="s">
        <v>2626</v>
      </c>
      <c r="C20" s="1525"/>
      <c r="D20" s="1526"/>
      <c r="E20" s="1527"/>
      <c r="F20" s="1527"/>
      <c r="G20" s="1527"/>
      <c r="H20" s="1527"/>
      <c r="I20" s="1527"/>
      <c r="J20" s="1528"/>
      <c r="K20" s="225">
        <f t="shared" si="172"/>
        <v>0</v>
      </c>
      <c r="L20" s="225">
        <f t="shared" si="0"/>
        <v>0</v>
      </c>
      <c r="M20" s="1529"/>
      <c r="N20" s="1529"/>
      <c r="O20" s="1529"/>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4" t="s">
        <v>2626</v>
      </c>
      <c r="C21" s="1525"/>
      <c r="D21" s="1526"/>
      <c r="E21" s="1527"/>
      <c r="F21" s="1527"/>
      <c r="G21" s="1527"/>
      <c r="H21" s="1527"/>
      <c r="I21" s="1527"/>
      <c r="J21" s="1528"/>
      <c r="K21" s="225">
        <f t="shared" si="172"/>
        <v>0</v>
      </c>
      <c r="L21" s="225">
        <f t="shared" si="0"/>
        <v>0</v>
      </c>
      <c r="M21" s="1529"/>
      <c r="N21" s="1529"/>
      <c r="O21" s="1529"/>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4" t="s">
        <v>2626</v>
      </c>
      <c r="C22" s="1525"/>
      <c r="D22" s="1526"/>
      <c r="E22" s="1527"/>
      <c r="F22" s="1527"/>
      <c r="G22" s="1527"/>
      <c r="H22" s="1527"/>
      <c r="I22" s="1527"/>
      <c r="J22" s="1528"/>
      <c r="K22" s="225">
        <f t="shared" si="172"/>
        <v>0</v>
      </c>
      <c r="L22" s="225">
        <f t="shared" si="0"/>
        <v>0</v>
      </c>
      <c r="M22" s="1529"/>
      <c r="N22" s="1529"/>
      <c r="O22" s="1529"/>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4" t="s">
        <v>2626</v>
      </c>
      <c r="C23" s="1525"/>
      <c r="D23" s="1526"/>
      <c r="E23" s="1527"/>
      <c r="F23" s="1527"/>
      <c r="G23" s="1527"/>
      <c r="H23" s="1527"/>
      <c r="I23" s="1527"/>
      <c r="J23" s="1528"/>
      <c r="K23" s="225">
        <f t="shared" si="172"/>
        <v>0</v>
      </c>
      <c r="L23" s="225">
        <f t="shared" si="0"/>
        <v>0</v>
      </c>
      <c r="M23" s="1529"/>
      <c r="N23" s="1529"/>
      <c r="O23" s="1529"/>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4" t="s">
        <v>2626</v>
      </c>
      <c r="C24" s="1525"/>
      <c r="D24" s="1526"/>
      <c r="E24" s="1527"/>
      <c r="F24" s="1527"/>
      <c r="G24" s="1527"/>
      <c r="H24" s="1527"/>
      <c r="I24" s="1527"/>
      <c r="J24" s="1528"/>
      <c r="K24" s="225">
        <f t="shared" si="172"/>
        <v>0</v>
      </c>
      <c r="L24" s="225">
        <f t="shared" si="0"/>
        <v>0</v>
      </c>
      <c r="M24" s="1529"/>
      <c r="N24" s="1529"/>
      <c r="O24" s="1529"/>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4" t="s">
        <v>2626</v>
      </c>
      <c r="C25" s="1525"/>
      <c r="D25" s="1526"/>
      <c r="E25" s="1527"/>
      <c r="F25" s="1527"/>
      <c r="G25" s="1527"/>
      <c r="H25" s="1527"/>
      <c r="I25" s="1527"/>
      <c r="J25" s="1528"/>
      <c r="K25" s="225">
        <f t="shared" si="172"/>
        <v>0</v>
      </c>
      <c r="L25" s="225">
        <f t="shared" si="0"/>
        <v>0</v>
      </c>
      <c r="M25" s="1529"/>
      <c r="N25" s="1529"/>
      <c r="O25" s="1529"/>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4" t="s">
        <v>2626</v>
      </c>
      <c r="C26" s="1525"/>
      <c r="D26" s="1526"/>
      <c r="E26" s="1527"/>
      <c r="F26" s="1527"/>
      <c r="G26" s="1527"/>
      <c r="H26" s="1527"/>
      <c r="I26" s="1527"/>
      <c r="J26" s="1528"/>
      <c r="K26" s="225">
        <f t="shared" si="172"/>
        <v>0</v>
      </c>
      <c r="L26" s="225">
        <f t="shared" si="0"/>
        <v>0</v>
      </c>
      <c r="M26" s="1529"/>
      <c r="N26" s="1529"/>
      <c r="O26" s="1529"/>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4" t="s">
        <v>2626</v>
      </c>
      <c r="C27" s="1525"/>
      <c r="D27" s="1526"/>
      <c r="E27" s="1527"/>
      <c r="F27" s="1527"/>
      <c r="G27" s="1527"/>
      <c r="H27" s="1527"/>
      <c r="I27" s="1527"/>
      <c r="J27" s="1528"/>
      <c r="K27" s="225">
        <f t="shared" si="172"/>
        <v>0</v>
      </c>
      <c r="L27" s="225">
        <f t="shared" si="0"/>
        <v>0</v>
      </c>
      <c r="M27" s="1529"/>
      <c r="N27" s="1529"/>
      <c r="O27" s="1529"/>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4" t="s">
        <v>2626</v>
      </c>
      <c r="C28" s="1525"/>
      <c r="D28" s="1526"/>
      <c r="E28" s="1527"/>
      <c r="F28" s="1527"/>
      <c r="G28" s="1527"/>
      <c r="H28" s="1527"/>
      <c r="I28" s="1527"/>
      <c r="J28" s="1528"/>
      <c r="K28" s="225">
        <f>MAX(0,H28-I28)</f>
        <v>0</v>
      </c>
      <c r="L28" s="225">
        <f t="shared" si="0"/>
        <v>0</v>
      </c>
      <c r="M28" s="1529"/>
      <c r="N28" s="1529"/>
      <c r="O28" s="1529"/>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4" t="s">
        <v>2626</v>
      </c>
      <c r="C29" s="1525"/>
      <c r="D29" s="1526"/>
      <c r="E29" s="1527"/>
      <c r="F29" s="1527"/>
      <c r="G29" s="1527"/>
      <c r="H29" s="1527"/>
      <c r="I29" s="1527"/>
      <c r="J29" s="1528"/>
      <c r="K29" s="225">
        <f t="shared" ref="K29:K47" si="204">MAX(0,H29-I29)</f>
        <v>0</v>
      </c>
      <c r="L29" s="225">
        <f t="shared" si="0"/>
        <v>0</v>
      </c>
      <c r="M29" s="1529"/>
      <c r="N29" s="1529"/>
      <c r="O29" s="1529"/>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4" t="s">
        <v>2626</v>
      </c>
      <c r="C30" s="1525"/>
      <c r="D30" s="1526"/>
      <c r="E30" s="1527"/>
      <c r="F30" s="1527"/>
      <c r="G30" s="1527"/>
      <c r="H30" s="1527"/>
      <c r="I30" s="1527"/>
      <c r="J30" s="1528"/>
      <c r="K30" s="225">
        <f t="shared" si="204"/>
        <v>0</v>
      </c>
      <c r="L30" s="225">
        <f t="shared" si="0"/>
        <v>0</v>
      </c>
      <c r="M30" s="1529"/>
      <c r="N30" s="1529"/>
      <c r="O30" s="1529"/>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4" t="s">
        <v>2626</v>
      </c>
      <c r="C31" s="1525"/>
      <c r="D31" s="1526"/>
      <c r="E31" s="1527"/>
      <c r="F31" s="1527"/>
      <c r="G31" s="1527"/>
      <c r="H31" s="1527"/>
      <c r="I31" s="1527"/>
      <c r="J31" s="1528"/>
      <c r="K31" s="225">
        <f t="shared" si="204"/>
        <v>0</v>
      </c>
      <c r="L31" s="225">
        <f t="shared" si="0"/>
        <v>0</v>
      </c>
      <c r="M31" s="1529"/>
      <c r="N31" s="1529"/>
      <c r="O31" s="1529"/>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4" t="s">
        <v>2626</v>
      </c>
      <c r="C32" s="1525"/>
      <c r="D32" s="1526"/>
      <c r="E32" s="1527"/>
      <c r="F32" s="1527"/>
      <c r="G32" s="1527"/>
      <c r="H32" s="1527"/>
      <c r="I32" s="1527"/>
      <c r="J32" s="1528"/>
      <c r="K32" s="225">
        <f t="shared" si="204"/>
        <v>0</v>
      </c>
      <c r="L32" s="225">
        <f t="shared" si="0"/>
        <v>0</v>
      </c>
      <c r="M32" s="1529"/>
      <c r="N32" s="1529"/>
      <c r="O32" s="1529"/>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4" t="s">
        <v>2626</v>
      </c>
      <c r="C33" s="1525"/>
      <c r="D33" s="1526"/>
      <c r="E33" s="1527"/>
      <c r="F33" s="1527"/>
      <c r="G33" s="1527"/>
      <c r="H33" s="1527"/>
      <c r="I33" s="1527"/>
      <c r="J33" s="1528"/>
      <c r="K33" s="225">
        <f t="shared" si="204"/>
        <v>0</v>
      </c>
      <c r="L33" s="225">
        <f t="shared" si="0"/>
        <v>0</v>
      </c>
      <c r="M33" s="1529"/>
      <c r="N33" s="1529"/>
      <c r="O33" s="1529"/>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4" t="s">
        <v>2626</v>
      </c>
      <c r="C34" s="1525"/>
      <c r="D34" s="1526"/>
      <c r="E34" s="1527"/>
      <c r="F34" s="1527"/>
      <c r="G34" s="1527"/>
      <c r="H34" s="1527"/>
      <c r="I34" s="1527"/>
      <c r="J34" s="1528"/>
      <c r="K34" s="225">
        <f t="shared" si="204"/>
        <v>0</v>
      </c>
      <c r="L34" s="225">
        <f t="shared" si="0"/>
        <v>0</v>
      </c>
      <c r="M34" s="1529"/>
      <c r="N34" s="1529"/>
      <c r="O34" s="1529"/>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4" t="s">
        <v>2626</v>
      </c>
      <c r="C35" s="1525"/>
      <c r="D35" s="1526"/>
      <c r="E35" s="1527"/>
      <c r="F35" s="1527"/>
      <c r="G35" s="1527"/>
      <c r="H35" s="1527"/>
      <c r="I35" s="1527"/>
      <c r="J35" s="1528"/>
      <c r="K35" s="225">
        <f t="shared" si="204"/>
        <v>0</v>
      </c>
      <c r="L35" s="225">
        <f t="shared" si="0"/>
        <v>0</v>
      </c>
      <c r="M35" s="1529"/>
      <c r="N35" s="1529"/>
      <c r="O35" s="1529"/>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4" t="s">
        <v>2626</v>
      </c>
      <c r="C36" s="1525"/>
      <c r="D36" s="1526"/>
      <c r="E36" s="1527"/>
      <c r="F36" s="1527"/>
      <c r="G36" s="1527"/>
      <c r="H36" s="1527"/>
      <c r="I36" s="1527"/>
      <c r="J36" s="1528"/>
      <c r="K36" s="225">
        <f t="shared" si="204"/>
        <v>0</v>
      </c>
      <c r="L36" s="225">
        <f t="shared" si="0"/>
        <v>0</v>
      </c>
      <c r="M36" s="1529"/>
      <c r="N36" s="1529"/>
      <c r="O36" s="1529"/>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4" t="s">
        <v>2626</v>
      </c>
      <c r="C37" s="1525"/>
      <c r="D37" s="1526"/>
      <c r="E37" s="1527"/>
      <c r="F37" s="1527"/>
      <c r="G37" s="1527"/>
      <c r="H37" s="1527"/>
      <c r="I37" s="1527"/>
      <c r="J37" s="1528"/>
      <c r="K37" s="225">
        <f t="shared" si="204"/>
        <v>0</v>
      </c>
      <c r="L37" s="225">
        <f t="shared" si="0"/>
        <v>0</v>
      </c>
      <c r="M37" s="1529"/>
      <c r="N37" s="1529"/>
      <c r="O37" s="1529"/>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4" t="s">
        <v>2626</v>
      </c>
      <c r="C38" s="1525"/>
      <c r="D38" s="1526"/>
      <c r="E38" s="1527"/>
      <c r="F38" s="1527"/>
      <c r="G38" s="1527"/>
      <c r="H38" s="1527"/>
      <c r="I38" s="1527"/>
      <c r="J38" s="1528"/>
      <c r="K38" s="225">
        <f>MAX(0,H38-I38)</f>
        <v>0</v>
      </c>
      <c r="L38" s="225">
        <f t="shared" si="0"/>
        <v>0</v>
      </c>
      <c r="M38" s="1529"/>
      <c r="N38" s="1529"/>
      <c r="O38" s="1529"/>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4" t="s">
        <v>2626</v>
      </c>
      <c r="C39" s="1525"/>
      <c r="D39" s="1526"/>
      <c r="E39" s="1527"/>
      <c r="F39" s="1527"/>
      <c r="G39" s="1527"/>
      <c r="H39" s="1527"/>
      <c r="I39" s="1527"/>
      <c r="J39" s="1528"/>
      <c r="K39" s="225">
        <f t="shared" ref="K39:K46" si="205">MAX(0,H39-I39)</f>
        <v>0</v>
      </c>
      <c r="L39" s="225">
        <f t="shared" si="0"/>
        <v>0</v>
      </c>
      <c r="M39" s="1529"/>
      <c r="N39" s="1529"/>
      <c r="O39" s="1529"/>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4" t="s">
        <v>2626</v>
      </c>
      <c r="C40" s="1525"/>
      <c r="D40" s="1526"/>
      <c r="E40" s="1527"/>
      <c r="F40" s="1527"/>
      <c r="G40" s="1527"/>
      <c r="H40" s="1527"/>
      <c r="I40" s="1527"/>
      <c r="J40" s="1528"/>
      <c r="K40" s="225">
        <f t="shared" si="205"/>
        <v>0</v>
      </c>
      <c r="L40" s="225">
        <f t="shared" si="0"/>
        <v>0</v>
      </c>
      <c r="M40" s="1529"/>
      <c r="N40" s="1529"/>
      <c r="O40" s="1529"/>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4" t="s">
        <v>2626</v>
      </c>
      <c r="C41" s="1525"/>
      <c r="D41" s="1526"/>
      <c r="E41" s="1527"/>
      <c r="F41" s="1527"/>
      <c r="G41" s="1527"/>
      <c r="H41" s="1527"/>
      <c r="I41" s="1527"/>
      <c r="J41" s="1528"/>
      <c r="K41" s="225">
        <f t="shared" si="205"/>
        <v>0</v>
      </c>
      <c r="L41" s="225">
        <f t="shared" si="0"/>
        <v>0</v>
      </c>
      <c r="M41" s="1529"/>
      <c r="N41" s="1529"/>
      <c r="O41" s="1529"/>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4" t="s">
        <v>2626</v>
      </c>
      <c r="C42" s="1525"/>
      <c r="D42" s="1526"/>
      <c r="E42" s="1527"/>
      <c r="F42" s="1527"/>
      <c r="G42" s="1527"/>
      <c r="H42" s="1527"/>
      <c r="I42" s="1527"/>
      <c r="J42" s="1528"/>
      <c r="K42" s="225">
        <f t="shared" si="205"/>
        <v>0</v>
      </c>
      <c r="L42" s="225">
        <f t="shared" si="0"/>
        <v>0</v>
      </c>
      <c r="M42" s="1529"/>
      <c r="N42" s="1529"/>
      <c r="O42" s="1529"/>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4" t="s">
        <v>2626</v>
      </c>
      <c r="C43" s="1525"/>
      <c r="D43" s="1526"/>
      <c r="E43" s="1527"/>
      <c r="F43" s="1527"/>
      <c r="G43" s="1527"/>
      <c r="H43" s="1527"/>
      <c r="I43" s="1527"/>
      <c r="J43" s="1528"/>
      <c r="K43" s="225">
        <f t="shared" si="205"/>
        <v>0</v>
      </c>
      <c r="L43" s="225">
        <f t="shared" si="0"/>
        <v>0</v>
      </c>
      <c r="M43" s="1529"/>
      <c r="N43" s="1529"/>
      <c r="O43" s="1529"/>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4" t="s">
        <v>2626</v>
      </c>
      <c r="C44" s="1525"/>
      <c r="D44" s="1526"/>
      <c r="E44" s="1527"/>
      <c r="F44" s="1527"/>
      <c r="G44" s="1527"/>
      <c r="H44" s="1527"/>
      <c r="I44" s="1527"/>
      <c r="J44" s="1528"/>
      <c r="K44" s="225">
        <f t="shared" si="205"/>
        <v>0</v>
      </c>
      <c r="L44" s="225">
        <f t="shared" si="0"/>
        <v>0</v>
      </c>
      <c r="M44" s="1529"/>
      <c r="N44" s="1529"/>
      <c r="O44" s="1529"/>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4" t="s">
        <v>2626</v>
      </c>
      <c r="C45" s="1525"/>
      <c r="D45" s="1526"/>
      <c r="E45" s="1527"/>
      <c r="F45" s="1527"/>
      <c r="G45" s="1527"/>
      <c r="H45" s="1527"/>
      <c r="I45" s="1527"/>
      <c r="J45" s="1528"/>
      <c r="K45" s="225">
        <f t="shared" si="205"/>
        <v>0</v>
      </c>
      <c r="L45" s="225">
        <f t="shared" si="0"/>
        <v>0</v>
      </c>
      <c r="M45" s="1529"/>
      <c r="N45" s="1529"/>
      <c r="O45" s="1529"/>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4" t="s">
        <v>2626</v>
      </c>
      <c r="C46" s="1525"/>
      <c r="D46" s="1526"/>
      <c r="E46" s="1527"/>
      <c r="F46" s="1527"/>
      <c r="G46" s="1527"/>
      <c r="H46" s="1527"/>
      <c r="I46" s="1527"/>
      <c r="J46" s="1528"/>
      <c r="K46" s="225">
        <f t="shared" si="205"/>
        <v>0</v>
      </c>
      <c r="L46" s="225">
        <f t="shared" si="0"/>
        <v>0</v>
      </c>
      <c r="M46" s="1529"/>
      <c r="N46" s="1529"/>
      <c r="O46" s="1529"/>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0" t="s">
        <v>2626</v>
      </c>
      <c r="C47" s="1531"/>
      <c r="D47" s="1532"/>
      <c r="E47" s="1533"/>
      <c r="F47" s="1533"/>
      <c r="G47" s="1533"/>
      <c r="H47" s="1533"/>
      <c r="I47" s="1533"/>
      <c r="J47" s="1534"/>
      <c r="K47" s="226">
        <f t="shared" si="204"/>
        <v>0</v>
      </c>
      <c r="L47" s="226">
        <f t="shared" si="0"/>
        <v>0</v>
      </c>
      <c r="M47" s="1535"/>
      <c r="N47" s="1535"/>
      <c r="O47" s="1535"/>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48</v>
      </c>
      <c r="F48" s="172">
        <f>(E10*F10+E11*F11+E12*F12+E13*F13+E14*F14+E15*F15+E16*F16+E17*F17+E18*F18+E19*F19+E20*F20+E21*F21+E22*F22+E23*F23+E24*F24+E25*F25+E26*F26+E27*F27+E28*F28+E29*F29+E30*F30+E31*F31+E32*F32+E33*F33+E34*F34+E35*F35+E36*F36+E37*F37+E38*F38+E39*F39+E40*F40+E41*F41+E42*F42+E43*F43+E44*F44+E45*F45+E46*F46+E47*F47)</f>
        <v>37200</v>
      </c>
      <c r="G48" s="163"/>
      <c r="H48" s="164"/>
      <c r="I48" s="164"/>
      <c r="J48" s="164"/>
      <c r="K48" s="15" t="s">
        <v>1869</v>
      </c>
      <c r="L48" s="170">
        <f>SUM(L10:L47)</f>
        <v>24216</v>
      </c>
      <c r="M48" s="2"/>
      <c r="N48" s="40"/>
      <c r="O48" s="2"/>
      <c r="P48" s="676"/>
      <c r="Q48" s="676"/>
      <c r="R48" s="676"/>
      <c r="S48" s="676"/>
      <c r="T48" s="675"/>
      <c r="U48" s="677"/>
      <c r="V48" s="779">
        <f t="shared" ref="V48:CK48" si="206">SUM(V10:V47)</f>
        <v>0</v>
      </c>
      <c r="W48" s="779">
        <f t="shared" si="206"/>
        <v>32</v>
      </c>
      <c r="X48" s="779">
        <f t="shared" si="206"/>
        <v>6</v>
      </c>
      <c r="Y48" s="779">
        <f t="shared" si="206"/>
        <v>0</v>
      </c>
      <c r="Z48" s="779">
        <f t="shared" si="206"/>
        <v>0</v>
      </c>
      <c r="AA48" s="779">
        <f t="shared" si="206"/>
        <v>0</v>
      </c>
      <c r="AB48" s="779">
        <f t="shared" si="206"/>
        <v>8</v>
      </c>
      <c r="AC48" s="779">
        <f t="shared" si="206"/>
        <v>2</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24000</v>
      </c>
      <c r="CA48" s="779">
        <f t="shared" si="206"/>
        <v>5400</v>
      </c>
      <c r="CB48" s="779">
        <f t="shared" si="206"/>
        <v>0</v>
      </c>
      <c r="CC48" s="779">
        <f t="shared" si="206"/>
        <v>0</v>
      </c>
      <c r="CD48" s="779">
        <f t="shared" si="206"/>
        <v>0</v>
      </c>
      <c r="CE48" s="779">
        <f t="shared" si="206"/>
        <v>6000</v>
      </c>
      <c r="CF48" s="779">
        <f t="shared" si="206"/>
        <v>1800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40</v>
      </c>
      <c r="DE48" s="779">
        <f t="shared" si="208"/>
        <v>8</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40</v>
      </c>
      <c r="EX48" s="779">
        <f t="shared" si="209"/>
        <v>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40</v>
      </c>
      <c r="FW48" s="779">
        <f t="shared" si="209"/>
        <v>8</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290592</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6"/>
      <c r="C51" s="1536"/>
      <c r="D51" s="1536"/>
      <c r="E51" s="1536"/>
      <c r="F51" s="1536"/>
      <c r="G51" s="1536"/>
      <c r="H51" s="1536"/>
      <c r="I51" s="1536"/>
      <c r="J51" s="1536"/>
      <c r="K51" s="1536"/>
      <c r="L51" s="1536"/>
      <c r="M51" s="1536"/>
      <c r="N51" s="1536"/>
      <c r="O51" s="1536"/>
      <c r="P51" s="153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6"/>
      <c r="B52" s="1536"/>
      <c r="C52" s="1536"/>
      <c r="D52" s="1536"/>
      <c r="E52" s="1536"/>
      <c r="F52" s="1536"/>
      <c r="G52" s="1536"/>
      <c r="H52" s="1536"/>
      <c r="I52" s="1536"/>
      <c r="J52" s="1536"/>
      <c r="K52" s="1536"/>
      <c r="L52" s="1536"/>
      <c r="M52" s="1536"/>
      <c r="N52" s="1536"/>
      <c r="O52" s="1536"/>
      <c r="P52" s="153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32</v>
      </c>
      <c r="J56" s="380">
        <f>X48</f>
        <v>6</v>
      </c>
      <c r="K56" s="380">
        <f>Y48</f>
        <v>0</v>
      </c>
      <c r="L56" s="380">
        <f>Z48</f>
        <v>0</v>
      </c>
      <c r="M56" s="380">
        <f t="shared" ref="M56:M62" si="211">SUM(H56:L56)</f>
        <v>38</v>
      </c>
      <c r="N56" s="1095" t="s">
        <v>1382</v>
      </c>
      <c r="O56" s="1096"/>
      <c r="P56" s="850"/>
      <c r="Q56" s="643">
        <f t="shared" ref="Q56:Q62" si="212">ABS(M56-AF56)</f>
        <v>38</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8</v>
      </c>
      <c r="J57" s="381">
        <f>AC48</f>
        <v>2</v>
      </c>
      <c r="K57" s="381">
        <f>AD48</f>
        <v>0</v>
      </c>
      <c r="L57" s="381">
        <f>AE48</f>
        <v>0</v>
      </c>
      <c r="M57" s="381">
        <f t="shared" si="211"/>
        <v>10</v>
      </c>
      <c r="N57" s="1095"/>
      <c r="O57" s="1096"/>
      <c r="P57" s="850"/>
      <c r="Q57" s="643">
        <f t="shared" si="212"/>
        <v>10</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40</v>
      </c>
      <c r="J58" s="382">
        <f>SUM(J56:J57)</f>
        <v>8</v>
      </c>
      <c r="K58" s="382">
        <f>SUM(K56:K57)</f>
        <v>0</v>
      </c>
      <c r="L58" s="382">
        <f>SUM(L56:L57)</f>
        <v>0</v>
      </c>
      <c r="M58" s="382">
        <f t="shared" si="211"/>
        <v>48</v>
      </c>
      <c r="N58" s="385"/>
      <c r="O58" s="110"/>
      <c r="Q58" s="643">
        <f t="shared" si="212"/>
        <v>48</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40</v>
      </c>
      <c r="J60" s="382">
        <f>SUM(J58:J59)</f>
        <v>8</v>
      </c>
      <c r="K60" s="382">
        <f>SUM(K58:K59)</f>
        <v>0</v>
      </c>
      <c r="L60" s="382">
        <f>SUM(L58:L59)</f>
        <v>0</v>
      </c>
      <c r="M60" s="382">
        <f t="shared" si="211"/>
        <v>48</v>
      </c>
      <c r="N60" s="65"/>
      <c r="O60" s="110"/>
      <c r="Q60" s="643">
        <f t="shared" si="212"/>
        <v>48</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40</v>
      </c>
      <c r="J62" s="382">
        <f>SUM(J60:J61)</f>
        <v>8</v>
      </c>
      <c r="K62" s="382">
        <f>SUM(K60:K61)</f>
        <v>0</v>
      </c>
      <c r="L62" s="382">
        <f>SUM(L60:L61)</f>
        <v>0</v>
      </c>
      <c r="M62" s="382">
        <f t="shared" si="211"/>
        <v>48</v>
      </c>
      <c r="O62" s="110"/>
      <c r="Q62" s="643">
        <f t="shared" si="212"/>
        <v>48</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40</v>
      </c>
      <c r="J72" s="380">
        <f>DE48</f>
        <v>8</v>
      </c>
      <c r="K72" s="380">
        <f>DF48</f>
        <v>0</v>
      </c>
      <c r="L72" s="380">
        <f>DG48</f>
        <v>0</v>
      </c>
      <c r="M72" s="380">
        <f t="shared" ref="M72:M82" si="213">SUM(H72:L72)</f>
        <v>48</v>
      </c>
      <c r="N72" s="31"/>
      <c r="O72" s="110"/>
      <c r="Q72" s="643">
        <f t="shared" ref="Q72:Q80" si="214">ABS(M72-AF72)</f>
        <v>48</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40</v>
      </c>
      <c r="J74" s="382">
        <f>SUM(J72:J73)+DO48</f>
        <v>8</v>
      </c>
      <c r="K74" s="382">
        <f>SUM(K72:K73)+DP48</f>
        <v>0</v>
      </c>
      <c r="L74" s="382">
        <f>SUM(L72:L73)+DQ48</f>
        <v>0</v>
      </c>
      <c r="M74" s="382">
        <f t="shared" si="213"/>
        <v>48</v>
      </c>
      <c r="N74" s="62"/>
      <c r="O74" s="110"/>
      <c r="Q74" s="643">
        <f t="shared" si="214"/>
        <v>48</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7"/>
      <c r="I81" s="1537">
        <v>40</v>
      </c>
      <c r="J81" s="1537">
        <v>8</v>
      </c>
      <c r="K81" s="1537"/>
      <c r="L81" s="1537"/>
      <c r="M81" s="380">
        <f t="shared" si="213"/>
        <v>48</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8"/>
      <c r="I82" s="1538"/>
      <c r="J82" s="1538"/>
      <c r="K82" s="1538"/>
      <c r="L82" s="1538"/>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40</v>
      </c>
      <c r="J84" s="380">
        <f t="shared" si="215"/>
        <v>8</v>
      </c>
      <c r="K84" s="380">
        <f t="shared" si="215"/>
        <v>0</v>
      </c>
      <c r="L84" s="380">
        <f t="shared" si="215"/>
        <v>0</v>
      </c>
      <c r="M84" s="380">
        <f>SUM(H84:L84)</f>
        <v>48</v>
      </c>
      <c r="N84" s="31"/>
      <c r="O84" s="110"/>
      <c r="Q84" s="643">
        <f>ABS(M84-AF84)</f>
        <v>48</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40</v>
      </c>
      <c r="J85" s="383">
        <f t="shared" si="216"/>
        <v>8</v>
      </c>
      <c r="K85" s="383">
        <f t="shared" si="216"/>
        <v>0</v>
      </c>
      <c r="L85" s="383">
        <f t="shared" si="216"/>
        <v>0</v>
      </c>
      <c r="M85" s="381">
        <f t="shared" ref="M85:M88" si="217">SUM(H85:L85)</f>
        <v>48</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24000</v>
      </c>
      <c r="J94" s="221">
        <f>CA48</f>
        <v>5400</v>
      </c>
      <c r="K94" s="221">
        <f>CB48</f>
        <v>0</v>
      </c>
      <c r="L94" s="221">
        <f>CC48</f>
        <v>0</v>
      </c>
      <c r="M94" s="221">
        <f t="shared" ref="M94:M100" si="221">SUM(H94:L94)</f>
        <v>29400</v>
      </c>
      <c r="O94" s="110"/>
      <c r="Q94" s="643">
        <f t="shared" ref="Q94:Q100" si="222">ABS(M94-AF94)</f>
        <v>29400</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6000</v>
      </c>
      <c r="J95" s="223">
        <f>CF48</f>
        <v>1800</v>
      </c>
      <c r="K95" s="223">
        <f>CG48</f>
        <v>0</v>
      </c>
      <c r="L95" s="223">
        <f>CH48</f>
        <v>0</v>
      </c>
      <c r="M95" s="223">
        <f t="shared" si="221"/>
        <v>7800</v>
      </c>
      <c r="N95" s="6"/>
      <c r="O95" s="110"/>
      <c r="Q95" s="643">
        <f t="shared" si="222"/>
        <v>7800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30000</v>
      </c>
      <c r="J96" s="220">
        <f>SUM(J94:J95)</f>
        <v>7200</v>
      </c>
      <c r="K96" s="220">
        <f>SUM(K94:K95)</f>
        <v>0</v>
      </c>
      <c r="L96" s="220">
        <f>SUM(L94:L95)</f>
        <v>0</v>
      </c>
      <c r="M96" s="220">
        <f t="shared" si="221"/>
        <v>37200</v>
      </c>
      <c r="N96" s="6"/>
      <c r="O96" s="110"/>
      <c r="Q96" s="643">
        <f t="shared" si="222"/>
        <v>37200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30000</v>
      </c>
      <c r="J98" s="220">
        <f>SUM(J96:J97)</f>
        <v>7200</v>
      </c>
      <c r="K98" s="220">
        <f>SUM(K96:K97)</f>
        <v>0</v>
      </c>
      <c r="L98" s="220">
        <f>SUM(L96:L97)</f>
        <v>0</v>
      </c>
      <c r="M98" s="220">
        <f t="shared" si="221"/>
        <v>37200</v>
      </c>
      <c r="O98" s="110"/>
      <c r="Q98" s="643">
        <f t="shared" si="222"/>
        <v>37200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30000</v>
      </c>
      <c r="J100" s="220">
        <f>SUM(J98:J99)</f>
        <v>7200</v>
      </c>
      <c r="K100" s="220">
        <f>SUM(K98:K99)</f>
        <v>0</v>
      </c>
      <c r="L100" s="220">
        <f>SUM(L98:L99)</f>
        <v>0</v>
      </c>
      <c r="M100" s="220">
        <f t="shared" si="221"/>
        <v>37200</v>
      </c>
      <c r="O100" s="110"/>
      <c r="Q100" s="643">
        <f t="shared" si="222"/>
        <v>37200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9">
        <v>5184</v>
      </c>
      <c r="H104" s="1540"/>
      <c r="I104" s="147" t="s">
        <v>3962</v>
      </c>
      <c r="O104" s="815">
        <f>G104/L49</f>
        <v>1.7839444995044598E-2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1"/>
      <c r="H109" s="1541"/>
      <c r="I109" s="1541"/>
      <c r="J109" s="1541"/>
      <c r="K109" s="1542"/>
      <c r="L109" s="1541"/>
      <c r="M109" s="1541"/>
      <c r="N109" s="1541"/>
      <c r="O109" s="1541"/>
      <c r="P109" s="1541"/>
      <c r="T109" s="1460"/>
      <c r="U109" s="1461"/>
    </row>
    <row r="110" spans="1:222" ht="15" customHeight="1">
      <c r="B110" s="9" t="s">
        <v>1137</v>
      </c>
      <c r="C110" s="1543"/>
      <c r="D110" s="1544"/>
      <c r="E110" s="1544"/>
      <c r="F110" s="1545"/>
      <c r="G110" s="1546"/>
      <c r="H110" s="1546"/>
      <c r="I110" s="1546"/>
      <c r="J110" s="1546"/>
      <c r="K110" s="1547"/>
      <c r="L110" s="1546"/>
      <c r="M110" s="1546"/>
      <c r="N110" s="1546"/>
      <c r="O110" s="1546"/>
      <c r="P110" s="1546"/>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1"/>
      <c r="H114" s="1541"/>
      <c r="I114" s="1541"/>
      <c r="J114" s="1541"/>
      <c r="K114" s="1542"/>
      <c r="L114" s="1541"/>
      <c r="M114" s="1541"/>
      <c r="N114" s="1541"/>
      <c r="O114" s="1541"/>
      <c r="P114" s="1541"/>
      <c r="T114" s="1462"/>
      <c r="U114" s="1463"/>
    </row>
    <row r="115" spans="2:21" ht="15" customHeight="1">
      <c r="B115" s="9" t="s">
        <v>1137</v>
      </c>
      <c r="C115" s="1543"/>
      <c r="D115" s="1544"/>
      <c r="E115" s="1544"/>
      <c r="F115" s="1545"/>
      <c r="G115" s="1546"/>
      <c r="H115" s="1546"/>
      <c r="I115" s="1546"/>
      <c r="J115" s="1546"/>
      <c r="K115" s="1547"/>
      <c r="L115" s="1546"/>
      <c r="M115" s="1546"/>
      <c r="N115" s="1546"/>
      <c r="O115" s="1546"/>
      <c r="P115" s="1546"/>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1"/>
      <c r="H119" s="1541"/>
      <c r="I119" s="1541"/>
      <c r="J119" s="1541"/>
      <c r="K119" s="1542"/>
      <c r="L119" s="1541"/>
      <c r="M119" s="1541"/>
      <c r="N119" s="1541"/>
      <c r="O119" s="1541"/>
      <c r="P119" s="1541"/>
      <c r="T119" s="1460"/>
      <c r="U119" s="1461"/>
    </row>
    <row r="120" spans="2:21" ht="15" customHeight="1">
      <c r="B120" s="9" t="s">
        <v>1137</v>
      </c>
      <c r="C120" s="1543"/>
      <c r="D120" s="1544"/>
      <c r="E120" s="1544"/>
      <c r="F120" s="1545"/>
      <c r="G120" s="1546"/>
      <c r="H120" s="1546"/>
      <c r="I120" s="1546"/>
      <c r="J120" s="1546"/>
      <c r="K120" s="1547"/>
      <c r="L120" s="1546"/>
      <c r="M120" s="1546"/>
      <c r="N120" s="1546"/>
      <c r="O120" s="1546"/>
      <c r="P120" s="1546"/>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1"/>
      <c r="H124" s="1541"/>
      <c r="I124" s="1541"/>
      <c r="J124" s="1541"/>
      <c r="K124" s="1542"/>
      <c r="L124" s="1541"/>
      <c r="M124" s="1541"/>
      <c r="N124" s="1541"/>
      <c r="O124" s="1541"/>
      <c r="P124" s="1541"/>
      <c r="T124" s="1462"/>
      <c r="U124" s="1463"/>
    </row>
    <row r="125" spans="2:21" ht="15" customHeight="1">
      <c r="B125" s="9" t="s">
        <v>1137</v>
      </c>
      <c r="C125" s="1543"/>
      <c r="D125" s="1544"/>
      <c r="E125" s="1544"/>
      <c r="F125" s="1545"/>
      <c r="G125" s="1546"/>
      <c r="H125" s="1546"/>
      <c r="I125" s="1546"/>
      <c r="J125" s="1546"/>
      <c r="K125" s="1547"/>
      <c r="L125" s="1546"/>
      <c r="M125" s="1546"/>
      <c r="N125" s="1546"/>
      <c r="O125" s="1546"/>
      <c r="P125" s="1546"/>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1"/>
      <c r="H129" s="1541"/>
      <c r="I129" s="1541"/>
      <c r="J129" s="1541"/>
      <c r="K129" s="1542"/>
      <c r="L129" s="1541"/>
      <c r="M129" s="1541"/>
      <c r="N129" s="1541"/>
      <c r="O129" s="1541"/>
      <c r="P129" s="1541"/>
      <c r="T129" s="1460"/>
      <c r="U129" s="1461"/>
    </row>
    <row r="130" spans="1:255" ht="15" customHeight="1">
      <c r="B130" s="9" t="s">
        <v>1137</v>
      </c>
      <c r="C130" s="1543"/>
      <c r="D130" s="1544"/>
      <c r="E130" s="1544"/>
      <c r="F130" s="1545"/>
      <c r="G130" s="1546"/>
      <c r="H130" s="1546"/>
      <c r="I130" s="1546"/>
      <c r="J130" s="1546"/>
      <c r="K130" s="1547"/>
      <c r="L130" s="1546"/>
      <c r="M130" s="1546"/>
      <c r="N130" s="1546"/>
      <c r="O130" s="1546"/>
      <c r="P130" s="1546"/>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1"/>
      <c r="H134" s="1541"/>
      <c r="I134" s="1541"/>
      <c r="J134" s="1541"/>
      <c r="K134" s="1542"/>
      <c r="L134" s="1541"/>
      <c r="M134" s="1541"/>
      <c r="N134" s="1541"/>
      <c r="O134" s="1541"/>
      <c r="P134" s="1541"/>
      <c r="T134" s="1462"/>
      <c r="U134" s="1463"/>
    </row>
    <row r="135" spans="1:255" ht="15" customHeight="1">
      <c r="B135" s="9" t="s">
        <v>1137</v>
      </c>
      <c r="C135" s="1543"/>
      <c r="D135" s="1544"/>
      <c r="E135" s="1544"/>
      <c r="F135" s="1545"/>
      <c r="G135" s="1546"/>
      <c r="H135" s="1546"/>
      <c r="I135" s="1546"/>
      <c r="J135" s="1546"/>
      <c r="K135" s="1547"/>
      <c r="L135" s="1546"/>
      <c r="M135" s="1546"/>
      <c r="N135" s="1546"/>
      <c r="O135" s="1546"/>
      <c r="P135" s="1546"/>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8">
        <v>20280</v>
      </c>
      <c r="G141" s="1549"/>
      <c r="H141" s="2"/>
      <c r="I141" s="2" t="s">
        <v>1946</v>
      </c>
      <c r="J141" s="2"/>
      <c r="K141" s="1548"/>
      <c r="L141" s="1549"/>
      <c r="M141" s="2"/>
      <c r="N141" s="2" t="s">
        <v>1423</v>
      </c>
      <c r="O141" s="2"/>
      <c r="P141" s="1550">
        <v>19771</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8">
        <f>13728+6240</f>
        <v>19968</v>
      </c>
      <c r="G142" s="1549"/>
      <c r="H142" s="2"/>
      <c r="I142" s="2" t="s">
        <v>1947</v>
      </c>
      <c r="J142" s="2"/>
      <c r="K142" s="1548"/>
      <c r="L142" s="1549"/>
      <c r="M142" s="2"/>
      <c r="N142" s="2" t="s">
        <v>182</v>
      </c>
      <c r="O142" s="2"/>
      <c r="P142" s="1550">
        <f>8510+50</f>
        <v>8560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8"/>
      <c r="G143" s="1549"/>
      <c r="H143" s="2"/>
      <c r="I143" s="2"/>
      <c r="J143" s="169" t="s">
        <v>230</v>
      </c>
      <c r="K143" s="1091">
        <f>SUM(K141:L142)</f>
        <v>0</v>
      </c>
      <c r="L143" s="1092"/>
      <c r="M143" s="2"/>
      <c r="N143" s="1551" t="s">
        <v>57</v>
      </c>
      <c r="O143" s="1552"/>
      <c r="P143" s="1553"/>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4" t="s">
        <v>4035</v>
      </c>
      <c r="C144" s="1555"/>
      <c r="D144" s="1555"/>
      <c r="E144" s="1556"/>
      <c r="F144" s="1557">
        <f>5281+945</f>
        <v>6226</v>
      </c>
      <c r="G144" s="1558"/>
      <c r="H144" s="2"/>
      <c r="I144" s="2"/>
      <c r="J144" s="2"/>
      <c r="K144" s="2"/>
      <c r="L144" s="2"/>
      <c r="M144" s="2"/>
      <c r="N144" s="13" t="s">
        <v>230</v>
      </c>
      <c r="O144" s="2"/>
      <c r="P144" s="633">
        <f>SUM(P141:P143)</f>
        <v>28331</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46474</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16504</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8">
        <v>3200</v>
      </c>
      <c r="G148" s="1549"/>
      <c r="H148" s="2"/>
      <c r="I148" s="2" t="s">
        <v>2211</v>
      </c>
      <c r="J148" s="2"/>
      <c r="K148" s="1559">
        <v>250</v>
      </c>
      <c r="L148" s="1560"/>
      <c r="M148" s="2"/>
      <c r="N148" s="595">
        <f>+P147/(M62*0.93)</f>
        <v>369.71326164874552</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8">
        <v>5675</v>
      </c>
      <c r="G149" s="1549"/>
      <c r="H149" s="2"/>
      <c r="I149" s="2" t="s">
        <v>2934</v>
      </c>
      <c r="J149" s="2"/>
      <c r="K149" s="1561">
        <v>1320</v>
      </c>
      <c r="L149" s="1562"/>
      <c r="M149" s="2"/>
      <c r="N149" s="595">
        <f>+P147/(M62*0.93)/12</f>
        <v>30.809438470728793</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8">
        <v>500</v>
      </c>
      <c r="G150" s="1549"/>
      <c r="H150" s="2"/>
      <c r="I150" s="2" t="s">
        <v>2212</v>
      </c>
      <c r="J150" s="2"/>
      <c r="K150" s="1561">
        <v>730</v>
      </c>
      <c r="L150" s="1562"/>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8"/>
      <c r="G151" s="1549"/>
      <c r="H151" s="2"/>
      <c r="I151" s="1551" t="s">
        <v>4038</v>
      </c>
      <c r="J151" s="1552"/>
      <c r="K151" s="1559">
        <v>5000</v>
      </c>
      <c r="L151" s="1560"/>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8">
        <v>900</v>
      </c>
      <c r="G152" s="1549"/>
      <c r="H152" s="2"/>
      <c r="I152" s="11"/>
      <c r="J152" s="13" t="s">
        <v>230</v>
      </c>
      <c r="K152" s="1099">
        <f>SUM(K148:K151)</f>
        <v>7300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4" t="s">
        <v>4036</v>
      </c>
      <c r="C153" s="1555"/>
      <c r="D153" s="1555"/>
      <c r="E153" s="1556"/>
      <c r="F153" s="1557">
        <v>300</v>
      </c>
      <c r="G153" s="1558"/>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10575</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3">
        <f>4200+900</f>
        <v>5100</v>
      </c>
      <c r="G157" s="1564"/>
      <c r="H157" s="2"/>
      <c r="I157" s="2" t="s">
        <v>1936</v>
      </c>
      <c r="J157" s="630">
        <f>K157/12/$M$62</f>
        <v>22.916666666666668</v>
      </c>
      <c r="K157" s="1561">
        <v>13200</v>
      </c>
      <c r="L157" s="1562"/>
      <c r="M157" s="2"/>
      <c r="N157" s="364">
        <f>+$P$157/$M$62</f>
        <v>3274.7291666666665</v>
      </c>
      <c r="O157" s="30" t="s">
        <v>1974</v>
      </c>
      <c r="P157" s="631">
        <f>F145+F154+F165+K143+K152+K162+P144+P147</f>
        <v>157187</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3"/>
      <c r="G158" s="1564"/>
      <c r="H158" s="2"/>
      <c r="I158" s="2" t="s">
        <v>1937</v>
      </c>
      <c r="J158" s="630">
        <f>K158/12/$M$62</f>
        <v>0</v>
      </c>
      <c r="K158" s="1561">
        <v>0</v>
      </c>
      <c r="L158" s="1562"/>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3">
        <f>7200+1200+50</f>
        <v>8450</v>
      </c>
      <c r="G159" s="1564"/>
      <c r="H159" s="2"/>
      <c r="I159" s="2" t="s">
        <v>3316</v>
      </c>
      <c r="J159" s="630">
        <f>K159/12/$M$62</f>
        <v>4</v>
      </c>
      <c r="K159" s="1561">
        <f>936+1368</f>
        <v>2304</v>
      </c>
      <c r="L159" s="1562"/>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8">
        <v>1344</v>
      </c>
      <c r="G160" s="1549"/>
      <c r="H160" s="2"/>
      <c r="I160" s="2" t="s">
        <v>1939</v>
      </c>
      <c r="J160" s="2"/>
      <c r="K160" s="1561">
        <v>4200</v>
      </c>
      <c r="L160" s="1562"/>
      <c r="M160" s="2"/>
      <c r="N160" s="11" t="s">
        <v>1796</v>
      </c>
      <c r="O160" s="11"/>
      <c r="P160" s="632">
        <f>P161*M62</f>
        <v>20160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8">
        <f>150+800+3200</f>
        <v>4150</v>
      </c>
      <c r="G161" s="1549"/>
      <c r="H161" s="2"/>
      <c r="I161" s="1551" t="s">
        <v>57</v>
      </c>
      <c r="J161" s="1552"/>
      <c r="K161" s="1559"/>
      <c r="L161" s="1560"/>
      <c r="M161" s="2"/>
      <c r="N161" s="30" t="s">
        <v>639</v>
      </c>
      <c r="O161" s="2"/>
      <c r="P161" s="1565">
        <v>420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8"/>
      <c r="G162" s="1549"/>
      <c r="H162" s="2"/>
      <c r="I162" s="2"/>
      <c r="J162" s="13" t="s">
        <v>230</v>
      </c>
      <c r="K162" s="1099">
        <f>SUM(K157:K161)</f>
        <v>19704</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8">
        <f>3895+3600</f>
        <v>7495</v>
      </c>
      <c r="G163" s="1549"/>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4" t="s">
        <v>4037</v>
      </c>
      <c r="C164" s="1555"/>
      <c r="D164" s="1555"/>
      <c r="E164" s="1556"/>
      <c r="F164" s="1557">
        <v>1760</v>
      </c>
      <c r="G164" s="1558"/>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28299</v>
      </c>
      <c r="G165" s="1102"/>
      <c r="H165" s="2"/>
      <c r="I165" s="2"/>
      <c r="J165" s="14"/>
      <c r="K165" s="2"/>
      <c r="L165" s="2"/>
      <c r="M165" s="2"/>
      <c r="N165" s="2"/>
      <c r="O165" s="2"/>
      <c r="P165" s="631">
        <f>P157+P160</f>
        <v>177347</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4092</v>
      </c>
      <c r="B168" s="1361"/>
      <c r="C168" s="1361"/>
      <c r="D168" s="1361"/>
      <c r="E168" s="1361"/>
      <c r="F168" s="1361"/>
      <c r="G168" s="1361"/>
      <c r="H168" s="1361"/>
      <c r="I168" s="1361"/>
      <c r="J168" s="1362"/>
      <c r="K168" s="1363"/>
      <c r="L168" s="1364"/>
      <c r="M168" s="1364"/>
      <c r="N168" s="1364"/>
      <c r="O168" s="1364"/>
      <c r="P168" s="1365"/>
      <c r="T168" s="952" t="s">
        <v>3965</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2012-016 Monroe Elementary Apartments, Monroe, Walton County</v>
      </c>
      <c r="B1" s="1108"/>
      <c r="C1" s="1108"/>
      <c r="D1" s="1108"/>
      <c r="E1" s="1108"/>
      <c r="F1" s="1108"/>
      <c r="G1" s="1108"/>
      <c r="H1" s="1108"/>
      <c r="I1" s="1108"/>
      <c r="J1" s="1108"/>
      <c r="K1" s="1109"/>
      <c r="L1" s="11"/>
      <c r="M1" s="1105" t="str">
        <f>A1</f>
        <v>PART SEVEN - OPERATING PRO FORMA  -  2012-016 Monroe Elementary Apartments, Monroe, Walton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6">
        <v>5000</v>
      </c>
      <c r="H5" s="128" t="s">
        <v>2784</v>
      </c>
      <c r="K5" s="133">
        <f>IF(($B$14+$B$15+$B$16+$B$17)=0,"",-B28/($B$14+$B$15+$B$16+$B$17))</f>
        <v>1.8177080243229692E-2</v>
      </c>
      <c r="M5" s="1460"/>
      <c r="N5" s="1461"/>
    </row>
    <row r="6" spans="1:15">
      <c r="A6" s="19" t="s">
        <v>3084</v>
      </c>
      <c r="B6" s="105">
        <v>0.03</v>
      </c>
      <c r="C6" s="19"/>
      <c r="D6" s="19" t="s">
        <v>1270</v>
      </c>
      <c r="F6" s="19"/>
      <c r="G6" s="1566">
        <v>30000</v>
      </c>
      <c r="H6" s="128" t="s">
        <v>3346</v>
      </c>
      <c r="K6" s="133">
        <f>IF(($B$14+$B$15+$B$16+$B$17)=0,"",G6/($B$14+$B$15+$B$16+$B$17))</f>
        <v>0.10906248145937815</v>
      </c>
      <c r="M6" s="1462"/>
      <c r="N6" s="1463"/>
    </row>
    <row r="7" spans="1:15">
      <c r="A7" s="19" t="s">
        <v>3086</v>
      </c>
      <c r="B7" s="105">
        <v>0.03</v>
      </c>
      <c r="C7" s="19"/>
      <c r="D7" s="107" t="s">
        <v>332</v>
      </c>
      <c r="G7" s="109"/>
      <c r="H7" s="128" t="s">
        <v>3347</v>
      </c>
      <c r="K7" s="133">
        <f>IF(($B$14+$B$15+$B$16+$B$17)=0,"",-B20/($B$14+$B$15+$B$16+$B$17))</f>
        <v>5.9998906466852568E-2</v>
      </c>
      <c r="M7" s="1462"/>
      <c r="N7" s="1463"/>
    </row>
    <row r="8" spans="1:15" ht="13.15" customHeight="1">
      <c r="A8" s="19" t="s">
        <v>3085</v>
      </c>
      <c r="B8" s="1567">
        <v>7.0000000000000007E-2</v>
      </c>
      <c r="C8" s="19"/>
      <c r="D8" s="106" t="s">
        <v>3517</v>
      </c>
      <c r="G8" s="1568" t="s">
        <v>3982</v>
      </c>
      <c r="H8" s="230" t="s">
        <v>2028</v>
      </c>
      <c r="K8" s="1569"/>
      <c r="M8" s="1462"/>
      <c r="N8" s="1463"/>
    </row>
    <row r="9" spans="1:15">
      <c r="A9" s="19" t="s">
        <v>1992</v>
      </c>
      <c r="B9" s="105">
        <v>0.02</v>
      </c>
      <c r="D9" s="106" t="s">
        <v>2570</v>
      </c>
      <c r="G9" s="1568" t="s">
        <v>3984</v>
      </c>
      <c r="H9" s="230" t="s">
        <v>3322</v>
      </c>
      <c r="K9" s="1570">
        <v>0.06</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290592</v>
      </c>
      <c r="C14" s="22">
        <f t="shared" ref="C14:K14" si="1">$B$14*(1+$B$5)^(C13-1)</f>
        <v>296403.84000000003</v>
      </c>
      <c r="D14" s="22">
        <f t="shared" si="1"/>
        <v>302331.91680000001</v>
      </c>
      <c r="E14" s="22">
        <f t="shared" si="1"/>
        <v>308378.55513599998</v>
      </c>
      <c r="F14" s="22">
        <f t="shared" si="1"/>
        <v>314546.12623871997</v>
      </c>
      <c r="G14" s="22">
        <f t="shared" si="1"/>
        <v>320837.04876349441</v>
      </c>
      <c r="H14" s="22">
        <f t="shared" si="1"/>
        <v>327253.78973876429</v>
      </c>
      <c r="I14" s="22">
        <f t="shared" si="1"/>
        <v>333798.8655335395</v>
      </c>
      <c r="J14" s="22">
        <f t="shared" si="1"/>
        <v>340474.84284421033</v>
      </c>
      <c r="K14" s="23">
        <f t="shared" si="1"/>
        <v>347284.33970109455</v>
      </c>
      <c r="M14" s="1460"/>
      <c r="N14" s="1461"/>
    </row>
    <row r="15" spans="1:15" ht="13.15" customHeight="1">
      <c r="A15" s="24" t="s">
        <v>1519</v>
      </c>
      <c r="B15" s="25">
        <f>MIN(B14*B9,'Part VI-Revenues &amp; Expenses'!G104)</f>
        <v>5184</v>
      </c>
      <c r="C15" s="25">
        <f t="shared" ref="C15:K15" si="2">$B$15*(1+$B$5)^(C13-1)</f>
        <v>5287.68</v>
      </c>
      <c r="D15" s="25">
        <f t="shared" si="2"/>
        <v>5393.4336000000003</v>
      </c>
      <c r="E15" s="25">
        <f t="shared" si="2"/>
        <v>5501.3022719999999</v>
      </c>
      <c r="F15" s="25">
        <f t="shared" si="2"/>
        <v>5611.3283174400003</v>
      </c>
      <c r="G15" s="25">
        <f t="shared" si="2"/>
        <v>5723.5548837888</v>
      </c>
      <c r="H15" s="25">
        <f t="shared" si="2"/>
        <v>5838.025981464576</v>
      </c>
      <c r="I15" s="25">
        <f t="shared" si="2"/>
        <v>5954.7865010938667</v>
      </c>
      <c r="J15" s="25">
        <f t="shared" si="2"/>
        <v>6073.8822311157446</v>
      </c>
      <c r="K15" s="26">
        <f t="shared" si="2"/>
        <v>6195.3598757380596</v>
      </c>
      <c r="M15" s="1462"/>
      <c r="N15" s="1463"/>
    </row>
    <row r="16" spans="1:15" ht="13.15" customHeight="1">
      <c r="A16" s="24" t="s">
        <v>3385</v>
      </c>
      <c r="B16" s="25">
        <f t="shared" ref="B16:K16" si="3">-(B14+B15)*$B$8</f>
        <v>-20704.320000000003</v>
      </c>
      <c r="C16" s="25">
        <f t="shared" si="3"/>
        <v>-21118.406400000003</v>
      </c>
      <c r="D16" s="25">
        <f t="shared" si="3"/>
        <v>-21540.774528000002</v>
      </c>
      <c r="E16" s="25">
        <f t="shared" si="3"/>
        <v>-21971.59001856</v>
      </c>
      <c r="F16" s="25">
        <f t="shared" si="3"/>
        <v>-22411.0218189312</v>
      </c>
      <c r="G16" s="25">
        <f t="shared" si="3"/>
        <v>-22859.242255309826</v>
      </c>
      <c r="H16" s="25">
        <f t="shared" si="3"/>
        <v>-23316.427100416025</v>
      </c>
      <c r="I16" s="25">
        <f t="shared" si="3"/>
        <v>-23782.755642424338</v>
      </c>
      <c r="J16" s="25">
        <f t="shared" si="3"/>
        <v>-24258.410755272831</v>
      </c>
      <c r="K16" s="26">
        <f t="shared" si="3"/>
        <v>-24743.578970378283</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-140683</v>
      </c>
      <c r="C19" s="25">
        <f t="shared" ref="C19:K19" si="4">$B$19*(1+$B$6)^(C13-1)</f>
        <v>-144903.49</v>
      </c>
      <c r="D19" s="25">
        <f t="shared" si="4"/>
        <v>-149250.59469999999</v>
      </c>
      <c r="E19" s="25">
        <f t="shared" si="4"/>
        <v>-153728.11254100001</v>
      </c>
      <c r="F19" s="25">
        <f t="shared" si="4"/>
        <v>-158339.95591722999</v>
      </c>
      <c r="G19" s="25">
        <f t="shared" si="4"/>
        <v>-163090.15459474688</v>
      </c>
      <c r="H19" s="25">
        <f t="shared" si="4"/>
        <v>-167982.85923258928</v>
      </c>
      <c r="I19" s="25">
        <f t="shared" si="4"/>
        <v>-173022.34500956698</v>
      </c>
      <c r="J19" s="25">
        <f t="shared" si="4"/>
        <v>-178213.01535985398</v>
      </c>
      <c r="K19" s="26">
        <f t="shared" si="4"/>
        <v>-183559.40582064961</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-16504</v>
      </c>
      <c r="C20" s="25">
        <f>IF(AND('Part VII-Pro Forma'!$G$8="Yes",'Part VII-Pro Forma'!$G$9="Yes"),"Choose One!",IF('Part VII-Pro Forma'!$G$8="Yes",ROUND((-$K$8*(1+'Part VII-Pro Forma'!$B$6)^('Part VII-Pro Forma'!C13-1)),),IF('Part VII-Pro Forma'!$G$9="Yes",ROUND((-(SUM(C14:C17)*'Part VII-Pro Forma'!$K$9)),),"Choose mgt fee")))</f>
        <v>-16834</v>
      </c>
      <c r="D20" s="25">
        <f>IF(AND('Part VII-Pro Forma'!$G$8="Yes",'Part VII-Pro Forma'!$G$9="Yes"),"Choose One!",IF('Part VII-Pro Forma'!$G$8="Yes",ROUND((-$K$8*(1+'Part VII-Pro Forma'!$B$6)^('Part VII-Pro Forma'!D13-1)),),IF('Part VII-Pro Forma'!$G$9="Yes",ROUND((-(SUM(D14:D17)*'Part VII-Pro Forma'!$K$9)),),"Choose mgt fee")))</f>
        <v>-17171</v>
      </c>
      <c r="E20" s="25">
        <f>IF(AND('Part VII-Pro Forma'!$G$8="Yes",'Part VII-Pro Forma'!$G$9="Yes"),"Choose One!",IF('Part VII-Pro Forma'!$G$8="Yes",ROUND((-$K$8*(1+'Part VII-Pro Forma'!$B$6)^('Part VII-Pro Forma'!E13-1)),),IF('Part VII-Pro Forma'!$G$9="Yes",ROUND((-(SUM(E14:E17)*'Part VII-Pro Forma'!$K$9)),),"Choose mgt fee")))</f>
        <v>-17514</v>
      </c>
      <c r="F20" s="25">
        <f>IF(AND('Part VII-Pro Forma'!$G$8="Yes",'Part VII-Pro Forma'!$G$9="Yes"),"Choose One!",IF('Part VII-Pro Forma'!$G$8="Yes",ROUND((-$K$8*(1+'Part VII-Pro Forma'!$B$6)^('Part VII-Pro Forma'!F13-1)),),IF('Part VII-Pro Forma'!$G$9="Yes",ROUND((-(SUM(F14:F17)*'Part VII-Pro Forma'!$K$9)),),"Choose mgt fee")))</f>
        <v>-17865</v>
      </c>
      <c r="G20" s="25">
        <f>IF(AND('Part VII-Pro Forma'!$G$8="Yes",'Part VII-Pro Forma'!$G$9="Yes"),"Choose One!",IF('Part VII-Pro Forma'!$G$8="Yes",ROUND((-$K$8*(1+'Part VII-Pro Forma'!$B$6)^('Part VII-Pro Forma'!G13-1)),),IF('Part VII-Pro Forma'!$G$9="Yes",ROUND((-(SUM(G14:G17)*'Part VII-Pro Forma'!$K$9)),),"Choose mgt fee")))</f>
        <v>-18222</v>
      </c>
      <c r="H20" s="25">
        <f>IF(AND('Part VII-Pro Forma'!$G$8="Yes",'Part VII-Pro Forma'!$G$9="Yes"),"Choose One!",IF('Part VII-Pro Forma'!$G$8="Yes",ROUND((-$K$8*(1+'Part VII-Pro Forma'!$B$6)^('Part VII-Pro Forma'!H13-1)),),IF('Part VII-Pro Forma'!$G$9="Yes",ROUND((-(SUM(H14:H17)*'Part VII-Pro Forma'!$K$9)),),"Choose mgt fee")))</f>
        <v>-18587</v>
      </c>
      <c r="I20" s="25">
        <f>IF(AND('Part VII-Pro Forma'!$G$8="Yes",'Part VII-Pro Forma'!$G$9="Yes"),"Choose One!",IF('Part VII-Pro Forma'!$G$8="Yes",ROUND((-$K$8*(1+'Part VII-Pro Forma'!$B$6)^('Part VII-Pro Forma'!I13-1)),),IF('Part VII-Pro Forma'!$G$9="Yes",ROUND((-(SUM(I14:I17)*'Part VII-Pro Forma'!$K$9)),),"Choose mgt fee")))</f>
        <v>-18958</v>
      </c>
      <c r="J20" s="25">
        <f>IF(AND('Part VII-Pro Forma'!$G$8="Yes",'Part VII-Pro Forma'!$G$9="Yes"),"Choose One!",IF('Part VII-Pro Forma'!$G$8="Yes",ROUND((-$K$8*(1+'Part VII-Pro Forma'!$B$6)^('Part VII-Pro Forma'!J13-1)),),IF('Part VII-Pro Forma'!$G$9="Yes",ROUND((-(SUM(J14:J17)*'Part VII-Pro Forma'!$K$9)),),"Choose mgt fee")))</f>
        <v>-19337</v>
      </c>
      <c r="K20" s="25">
        <f>IF(AND('Part VII-Pro Forma'!$G$8="Yes",'Part VII-Pro Forma'!$G$9="Yes"),"Choose One!",IF('Part VII-Pro Forma'!$G$8="Yes",ROUND((-$K$8*(1+'Part VII-Pro Forma'!$B$6)^('Part VII-Pro Forma'!K13-1)),),IF('Part VII-Pro Forma'!$G$9="Yes",ROUND((-(SUM(K14:K17)*'Part VII-Pro Forma'!$K$9)),),"Choose mgt fee")))</f>
        <v>-19724</v>
      </c>
      <c r="M20" s="1462"/>
      <c r="N20" s="1463"/>
    </row>
    <row r="21" spans="1:14" ht="13.15" customHeight="1">
      <c r="A21" s="24" t="s">
        <v>1739</v>
      </c>
      <c r="B21" s="25">
        <f>-('Part VI-Revenues &amp; Expenses'!P160)</f>
        <v>-20160</v>
      </c>
      <c r="C21" s="25">
        <f t="shared" ref="C21:K21" si="5">$B$21*(1+$B$7)^(C13-1)</f>
        <v>-20764.8</v>
      </c>
      <c r="D21" s="25">
        <f t="shared" si="5"/>
        <v>-21387.743999999999</v>
      </c>
      <c r="E21" s="25">
        <f t="shared" si="5"/>
        <v>-22029.376319999999</v>
      </c>
      <c r="F21" s="25">
        <f t="shared" si="5"/>
        <v>-22690.257609599998</v>
      </c>
      <c r="G21" s="25">
        <f t="shared" si="5"/>
        <v>-23370.965337887996</v>
      </c>
      <c r="H21" s="25">
        <f t="shared" si="5"/>
        <v>-24072.09429802464</v>
      </c>
      <c r="I21" s="25">
        <f t="shared" si="5"/>
        <v>-24794.257126965378</v>
      </c>
      <c r="J21" s="25">
        <f t="shared" si="5"/>
        <v>-25538.084840774336</v>
      </c>
      <c r="K21" s="26">
        <f t="shared" si="5"/>
        <v>-26304.227385997568</v>
      </c>
      <c r="M21" s="1462"/>
      <c r="N21" s="1463"/>
    </row>
    <row r="22" spans="1:14" ht="13.15" customHeight="1">
      <c r="A22" s="24" t="s">
        <v>1740</v>
      </c>
      <c r="B22" s="25">
        <f t="shared" ref="B22:K22" si="6">SUM(B14:B21)</f>
        <v>97724.68</v>
      </c>
      <c r="C22" s="25">
        <f t="shared" si="6"/>
        <v>98070.823600000047</v>
      </c>
      <c r="D22" s="25">
        <f t="shared" si="6"/>
        <v>98375.237172000023</v>
      </c>
      <c r="E22" s="25">
        <f t="shared" si="6"/>
        <v>98636.778528439972</v>
      </c>
      <c r="F22" s="25">
        <f t="shared" si="6"/>
        <v>98851.219210398762</v>
      </c>
      <c r="G22" s="25">
        <f t="shared" si="6"/>
        <v>99018.241459338518</v>
      </c>
      <c r="H22" s="25">
        <f t="shared" si="6"/>
        <v>99133.435089198931</v>
      </c>
      <c r="I22" s="25">
        <f t="shared" si="6"/>
        <v>99196.294255676679</v>
      </c>
      <c r="J22" s="25">
        <f t="shared" si="6"/>
        <v>99202.214119424956</v>
      </c>
      <c r="K22" s="26">
        <f t="shared" si="6"/>
        <v>99148.487399807142</v>
      </c>
      <c r="M22" s="1462"/>
      <c r="N22" s="1463"/>
    </row>
    <row r="23" spans="1:14" ht="13.15" customHeight="1">
      <c r="A23" s="678" t="s">
        <v>2195</v>
      </c>
      <c r="B23" s="1571">
        <f>IF('Part III A-Sources of Funds'!$M$32="", 0,-'Part III A-Sources of Funds'!$M$32)</f>
        <v>-62778</v>
      </c>
      <c r="C23" s="1571">
        <f>IF('Part III A-Sources of Funds'!$M$32="", 0,-'Part III A-Sources of Funds'!$M$32)</f>
        <v>-62778</v>
      </c>
      <c r="D23" s="1571">
        <f>IF('Part III A-Sources of Funds'!$M$32="", 0,-'Part III A-Sources of Funds'!$M$32)</f>
        <v>-62778</v>
      </c>
      <c r="E23" s="1571">
        <f>IF('Part III A-Sources of Funds'!$M$32="", 0,-'Part III A-Sources of Funds'!$M$32)</f>
        <v>-62778</v>
      </c>
      <c r="F23" s="1571">
        <f>IF('Part III A-Sources of Funds'!$M$32="", 0,-'Part III A-Sources of Funds'!$M$32)</f>
        <v>-62778</v>
      </c>
      <c r="G23" s="1571">
        <f>IF('Part III A-Sources of Funds'!$M$32="", 0,-'Part III A-Sources of Funds'!$M$32)</f>
        <v>-62778</v>
      </c>
      <c r="H23" s="1571">
        <f>IF('Part III A-Sources of Funds'!$M$32="", 0,-'Part III A-Sources of Funds'!$M$32)</f>
        <v>-62778</v>
      </c>
      <c r="I23" s="1571">
        <f>IF('Part III A-Sources of Funds'!$M$32="", 0,-'Part III A-Sources of Funds'!$M$32)</f>
        <v>-62778</v>
      </c>
      <c r="J23" s="1571">
        <f>IF('Part III A-Sources of Funds'!$M$32="", 0,-'Part III A-Sources of Funds'!$M$32)</f>
        <v>-62778</v>
      </c>
      <c r="K23" s="1571">
        <f>IF('Part III A-Sources of Funds'!$M$32="", 0,-'Part III A-Sources of Funds'!$M$32)</f>
        <v>-62778</v>
      </c>
      <c r="M23" s="1462"/>
      <c r="N23" s="1463"/>
    </row>
    <row r="24" spans="1:14" ht="13.15" customHeight="1">
      <c r="A24" s="678" t="s">
        <v>2196</v>
      </c>
      <c r="B24" s="1572">
        <f>IF('Part III A-Sources of Funds'!$M$33="", 0,-'Part III A-Sources of Funds'!$M$33)</f>
        <v>0</v>
      </c>
      <c r="C24" s="1572">
        <f>IF('Part III A-Sources of Funds'!$M$33="", 0,-'Part III A-Sources of Funds'!$M$33)</f>
        <v>0</v>
      </c>
      <c r="D24" s="1572">
        <f>IF('Part III A-Sources of Funds'!$M$33="", 0,-'Part III A-Sources of Funds'!$M$33)</f>
        <v>0</v>
      </c>
      <c r="E24" s="1572">
        <f>IF('Part III A-Sources of Funds'!$M$33="", 0,-'Part III A-Sources of Funds'!$M$33)</f>
        <v>0</v>
      </c>
      <c r="F24" s="1572">
        <f>IF('Part III A-Sources of Funds'!$M$33="", 0,-'Part III A-Sources of Funds'!$M$33)</f>
        <v>0</v>
      </c>
      <c r="G24" s="1572">
        <f>IF('Part III A-Sources of Funds'!$M$33="", 0,-'Part III A-Sources of Funds'!$M$33)</f>
        <v>0</v>
      </c>
      <c r="H24" s="1572">
        <f>IF('Part III A-Sources of Funds'!$M$33="", 0,-'Part III A-Sources of Funds'!$M$33)</f>
        <v>0</v>
      </c>
      <c r="I24" s="1572">
        <f>IF('Part III A-Sources of Funds'!$M$33="", 0,-'Part III A-Sources of Funds'!$M$33)</f>
        <v>0</v>
      </c>
      <c r="J24" s="1572">
        <f>IF('Part III A-Sources of Funds'!$M$33="", 0,-'Part III A-Sources of Funds'!$M$33)</f>
        <v>0</v>
      </c>
      <c r="K24" s="1572">
        <f>IF('Part III A-Sources of Funds'!$M$33="", 0,-'Part III A-Sources of Funds'!$M$33)</f>
        <v>0</v>
      </c>
      <c r="M24" s="1462"/>
      <c r="N24" s="1463"/>
    </row>
    <row r="25" spans="1:14" ht="13.15" customHeight="1">
      <c r="A25" s="678" t="s">
        <v>2197</v>
      </c>
      <c r="B25" s="1572">
        <f>IF('Part III A-Sources of Funds'!$M$34="", 0,-'Part III A-Sources of Funds'!$M$34)</f>
        <v>0</v>
      </c>
      <c r="C25" s="1572">
        <f>IF('Part III A-Sources of Funds'!$M$34="", 0,-'Part III A-Sources of Funds'!$M$34)</f>
        <v>0</v>
      </c>
      <c r="D25" s="1572">
        <f>IF('Part III A-Sources of Funds'!$M$34="", 0,-'Part III A-Sources of Funds'!$M$34)</f>
        <v>0</v>
      </c>
      <c r="E25" s="1572">
        <f>IF('Part III A-Sources of Funds'!$M$34="", 0,-'Part III A-Sources of Funds'!$M$34)</f>
        <v>0</v>
      </c>
      <c r="F25" s="1572">
        <f>IF('Part III A-Sources of Funds'!$M$34="", 0,-'Part III A-Sources of Funds'!$M$34)</f>
        <v>0</v>
      </c>
      <c r="G25" s="1572">
        <f>IF('Part III A-Sources of Funds'!$M$34="", 0,-'Part III A-Sources of Funds'!$M$34)</f>
        <v>0</v>
      </c>
      <c r="H25" s="1572">
        <f>IF('Part III A-Sources of Funds'!$M$34="", 0,-'Part III A-Sources of Funds'!$M$34)</f>
        <v>0</v>
      </c>
      <c r="I25" s="1572">
        <f>IF('Part III A-Sources of Funds'!$M$34="", 0,-'Part III A-Sources of Funds'!$M$34)</f>
        <v>0</v>
      </c>
      <c r="J25" s="1572">
        <f>IF('Part III A-Sources of Funds'!$M$34="", 0,-'Part III A-Sources of Funds'!$M$34)</f>
        <v>0</v>
      </c>
      <c r="K25" s="1572">
        <f>IF('Part III A-Sources of Funds'!$M$34="", 0,-'Part III A-Sources of Funds'!$M$34)</f>
        <v>0</v>
      </c>
      <c r="M25" s="1462"/>
      <c r="N25" s="1463"/>
    </row>
    <row r="26" spans="1:14" ht="13.15" customHeight="1">
      <c r="A26" s="24" t="s">
        <v>1266</v>
      </c>
      <c r="B26" s="1572">
        <f>IF('Part III A-Sources of Funds'!$M$35="", 0,-'Part III A-Sources of Funds'!$M$35)</f>
        <v>0</v>
      </c>
      <c r="C26" s="1572">
        <f>IF('Part III A-Sources of Funds'!$M$35="", 0,-'Part III A-Sources of Funds'!$M$35)</f>
        <v>0</v>
      </c>
      <c r="D26" s="1572">
        <f>IF('Part III A-Sources of Funds'!$M$35="", 0,-'Part III A-Sources of Funds'!$M$35)</f>
        <v>0</v>
      </c>
      <c r="E26" s="1572">
        <f>IF('Part III A-Sources of Funds'!$M$35="", 0,-'Part III A-Sources of Funds'!$M$35)</f>
        <v>0</v>
      </c>
      <c r="F26" s="1572">
        <f>IF('Part III A-Sources of Funds'!$M$35="", 0,-'Part III A-Sources of Funds'!$M$35)</f>
        <v>0</v>
      </c>
      <c r="G26" s="1572">
        <f>IF('Part III A-Sources of Funds'!$M$35="", 0,-'Part III A-Sources of Funds'!$M$35)</f>
        <v>0</v>
      </c>
      <c r="H26" s="1572">
        <f>IF('Part III A-Sources of Funds'!$M$35="", 0,-'Part III A-Sources of Funds'!$M$35)</f>
        <v>0</v>
      </c>
      <c r="I26" s="1572">
        <f>IF('Part III A-Sources of Funds'!$M$35="", 0,-'Part III A-Sources of Funds'!$M$35)</f>
        <v>0</v>
      </c>
      <c r="J26" s="1572">
        <f>IF('Part III A-Sources of Funds'!$M$35="", 0,-'Part III A-Sources of Funds'!$M$35)</f>
        <v>0</v>
      </c>
      <c r="K26" s="1572">
        <f>IF('Part III A-Sources of Funds'!$M$35="", 0,-'Part III A-Sources of Funds'!$M$35)</f>
        <v>0</v>
      </c>
      <c r="M26" s="1462"/>
      <c r="N26" s="1463"/>
    </row>
    <row r="27" spans="1:14" ht="13.15" customHeight="1">
      <c r="A27" s="24" t="s">
        <v>1241</v>
      </c>
      <c r="B27" s="1573"/>
      <c r="C27" s="1573"/>
      <c r="D27" s="1573"/>
      <c r="E27" s="1573"/>
      <c r="F27" s="1573"/>
      <c r="G27" s="1573"/>
      <c r="H27" s="1573"/>
      <c r="I27" s="1573"/>
      <c r="J27" s="1573"/>
      <c r="K27" s="1573"/>
      <c r="M27" s="1462"/>
      <c r="N27" s="1463"/>
    </row>
    <row r="28" spans="1:14" ht="13.15" customHeight="1">
      <c r="A28" s="24" t="s">
        <v>1686</v>
      </c>
      <c r="B28" s="1572">
        <f>-$G$5</f>
        <v>-5000</v>
      </c>
      <c r="C28" s="1572">
        <f>B28*1.03</f>
        <v>-5150</v>
      </c>
      <c r="D28" s="1572">
        <f t="shared" ref="D28:K28" si="7">C28*1.03</f>
        <v>-5304.5</v>
      </c>
      <c r="E28" s="1572">
        <f t="shared" si="7"/>
        <v>-5463.6350000000002</v>
      </c>
      <c r="F28" s="1572">
        <f t="shared" si="7"/>
        <v>-5627.5440500000004</v>
      </c>
      <c r="G28" s="1572">
        <f t="shared" si="7"/>
        <v>-5796.3703715000001</v>
      </c>
      <c r="H28" s="1572">
        <f t="shared" si="7"/>
        <v>-5970.2614826449999</v>
      </c>
      <c r="I28" s="1572">
        <f t="shared" si="7"/>
        <v>-6149.3693271243501</v>
      </c>
      <c r="J28" s="1572">
        <f t="shared" si="7"/>
        <v>-6333.8504069380806</v>
      </c>
      <c r="K28" s="1572">
        <f t="shared" si="7"/>
        <v>-6523.865919146223</v>
      </c>
      <c r="M28" s="1462"/>
      <c r="N28" s="1463"/>
    </row>
    <row r="29" spans="1:14" ht="13.15" customHeight="1">
      <c r="A29" s="24" t="s">
        <v>1741</v>
      </c>
      <c r="B29" s="1574">
        <v>-29947</v>
      </c>
      <c r="C29" s="1574">
        <v>-22021</v>
      </c>
      <c r="D29" s="1574">
        <f>IF('Part III A-Sources of Funds'!$M$37="", 0,-'Part III A-Sources of Funds'!$M$37)</f>
        <v>0</v>
      </c>
      <c r="E29" s="1574">
        <f>IF('Part III A-Sources of Funds'!$M$37="", 0,-'Part III A-Sources of Funds'!$M$37)</f>
        <v>0</v>
      </c>
      <c r="F29" s="1574">
        <f>IF('Part III A-Sources of Funds'!$M$37="", 0,-'Part III A-Sources of Funds'!$M$37)</f>
        <v>0</v>
      </c>
      <c r="G29" s="1574">
        <f>IF('Part III A-Sources of Funds'!$M$37="", 0,-'Part III A-Sources of Funds'!$M$37)</f>
        <v>0</v>
      </c>
      <c r="H29" s="1574">
        <f>IF('Part III A-Sources of Funds'!$M$37="", 0,-'Part III A-Sources of Funds'!$M$37)</f>
        <v>0</v>
      </c>
      <c r="I29" s="1574">
        <f>IF('Part III A-Sources of Funds'!$M$37="", 0,-'Part III A-Sources of Funds'!$M$37)</f>
        <v>0</v>
      </c>
      <c r="J29" s="1574">
        <f>IF('Part III A-Sources of Funds'!$M$37="", 0,-'Part III A-Sources of Funds'!$M$37)</f>
        <v>0</v>
      </c>
      <c r="K29" s="1574">
        <f>IF('Part III A-Sources of Funds'!$M$37="", 0,-'Part III A-Sources of Funds'!$M$37)</f>
        <v>0</v>
      </c>
      <c r="M29" s="1462"/>
      <c r="N29" s="1463"/>
    </row>
    <row r="30" spans="1:14" ht="13.15" customHeight="1">
      <c r="A30" s="24" t="s">
        <v>1687</v>
      </c>
      <c r="B30" s="25">
        <f t="shared" ref="B30:K30" si="8">SUM(B22:B29)</f>
        <v>-0.32000000000698492</v>
      </c>
      <c r="C30" s="25">
        <f t="shared" si="8"/>
        <v>8121.823600000047</v>
      </c>
      <c r="D30" s="25">
        <f t="shared" si="8"/>
        <v>30292.737172000023</v>
      </c>
      <c r="E30" s="25">
        <f t="shared" si="8"/>
        <v>30395.14352843997</v>
      </c>
      <c r="F30" s="25">
        <f t="shared" si="8"/>
        <v>30445.675160398761</v>
      </c>
      <c r="G30" s="25">
        <f t="shared" si="8"/>
        <v>30443.871087838517</v>
      </c>
      <c r="H30" s="25">
        <f t="shared" si="8"/>
        <v>30385.17360655393</v>
      </c>
      <c r="I30" s="25">
        <f t="shared" si="8"/>
        <v>30268.924928552329</v>
      </c>
      <c r="J30" s="25">
        <f t="shared" si="8"/>
        <v>30090.363712486876</v>
      </c>
      <c r="K30" s="26">
        <f t="shared" si="8"/>
        <v>29846.62148066092</v>
      </c>
      <c r="M30" s="1462"/>
      <c r="N30" s="1463"/>
    </row>
    <row r="31" spans="1:14" ht="13.15" customHeight="1">
      <c r="A31" s="24" t="str">
        <f>IF('Part III A-Sources of Funds'!$E$32 = "Neither", "", "DCR Mortgage A")</f>
        <v>DCR Mortgage A</v>
      </c>
      <c r="B31" s="27">
        <f>IF(B23=0,"",-B22/B23)</f>
        <v>1.5566708082449265</v>
      </c>
      <c r="C31" s="27">
        <f t="shared" ref="C31:K31" si="9">IF(C23=0,"",-C22/C23)</f>
        <v>1.5621845805855561</v>
      </c>
      <c r="D31" s="27">
        <f t="shared" si="9"/>
        <v>1.5670336291694547</v>
      </c>
      <c r="E31" s="27">
        <f t="shared" si="9"/>
        <v>1.5711997599229024</v>
      </c>
      <c r="F31" s="27">
        <f t="shared" si="9"/>
        <v>1.5746156171015127</v>
      </c>
      <c r="G31" s="27">
        <f t="shared" si="9"/>
        <v>1.5772761390827761</v>
      </c>
      <c r="H31" s="27">
        <f t="shared" si="9"/>
        <v>1.5791110753639639</v>
      </c>
      <c r="I31" s="27">
        <f t="shared" si="9"/>
        <v>1.580112368276732</v>
      </c>
      <c r="J31" s="27">
        <f t="shared" si="9"/>
        <v>1.5802066666575068</v>
      </c>
      <c r="K31" s="28">
        <f t="shared" si="9"/>
        <v>1.5793508458346417</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1.5510365554534331</v>
      </c>
      <c r="C35" s="378">
        <f t="shared" ref="C35:K35" si="13">IF(OR(C20="Choose mgt fee",C20="Choose One!"),"",(C14+C15+C16+C17+C18) / -(C19+C20+C21))</f>
        <v>1.5373676330307968</v>
      </c>
      <c r="D35" s="378">
        <f t="shared" si="13"/>
        <v>1.5238037567936979</v>
      </c>
      <c r="E35" s="378">
        <f t="shared" si="13"/>
        <v>1.5103534882963472</v>
      </c>
      <c r="F35" s="378">
        <f t="shared" si="13"/>
        <v>1.4970014987166307</v>
      </c>
      <c r="G35" s="378">
        <f t="shared" si="13"/>
        <v>1.4837635926789043</v>
      </c>
      <c r="H35" s="378">
        <f t="shared" si="13"/>
        <v>1.47062531194571</v>
      </c>
      <c r="I35" s="378">
        <f t="shared" si="13"/>
        <v>1.4576010901553833</v>
      </c>
      <c r="J35" s="378">
        <f t="shared" si="13"/>
        <v>1.4446773002693112</v>
      </c>
      <c r="K35" s="379">
        <f t="shared" si="13"/>
        <v>1.4318546518163964</v>
      </c>
      <c r="M35" s="1462"/>
      <c r="N35" s="1463"/>
    </row>
    <row r="36" spans="1:14" ht="13.15" customHeight="1">
      <c r="A36" s="678" t="s">
        <v>3666</v>
      </c>
      <c r="B36" s="1575">
        <f>IF('Part III A-Sources of Funds'!$H$32="","",-FV('Part III A-Sources of Funds'!$J$32/12,12,B23/12,'Part III A-Sources of Funds'!$H$32))</f>
        <v>1579773.2221254571</v>
      </c>
      <c r="C36" s="1575">
        <f>IF('Part III A-Sources of Funds'!$H$32="","",-FV('Part III A-Sources of Funds'!$J$32/12,12,C23/12,B36))</f>
        <v>1532577.0288680026</v>
      </c>
      <c r="D36" s="1575">
        <f>IF('Part III A-Sources of Funds'!$H$32="","",-FV('Part III A-Sources of Funds'!$J$32/12,12,D23/12,C36))</f>
        <v>1484906.7044990598</v>
      </c>
      <c r="E36" s="1575">
        <f>IF('Part III A-Sources of Funds'!$H$32="","",-FV('Part III A-Sources of Funds'!$J$32/12,12,E23/12,D36))</f>
        <v>1436757.4859160273</v>
      </c>
      <c r="F36" s="1575">
        <f>IF('Part III A-Sources of Funds'!$H$32="","",-FV('Part III A-Sources of Funds'!$J$32/12,12,F23/12,E36))</f>
        <v>1388124.5621663614</v>
      </c>
      <c r="G36" s="1575">
        <f>IF('Part III A-Sources of Funds'!$H$32="","",-FV('Part III A-Sources of Funds'!$J$32/12,12,G23/12,F36))</f>
        <v>1339003.0739668771</v>
      </c>
      <c r="H36" s="1575">
        <f>IF('Part III A-Sources of Funds'!$H$32="","",-FV('Part III A-Sources of Funds'!$J$32/12,12,H23/12,G36))</f>
        <v>1289388.1132182206</v>
      </c>
      <c r="I36" s="1575">
        <f>IF('Part III A-Sources of Funds'!$H$32="","",-FV('Part III A-Sources of Funds'!$J$32/12,12,I23/12,H36))</f>
        <v>1239274.7225144643</v>
      </c>
      <c r="J36" s="1575">
        <f>IF('Part III A-Sources of Funds'!$H$32="","",-FV('Part III A-Sources of Funds'!$J$32/12,12,J23/12,I36))</f>
        <v>1188657.8946477741</v>
      </c>
      <c r="K36" s="1575">
        <f>IF('Part III A-Sources of Funds'!$H$32="","",-FV('Part III A-Sources of Funds'!$J$32/12,12,K23/12,J36))</f>
        <v>1137532.5721081018</v>
      </c>
      <c r="M36" s="1462"/>
      <c r="N36" s="1463"/>
    </row>
    <row r="37" spans="1:14" ht="13.15" customHeight="1">
      <c r="A37" s="678" t="s">
        <v>3667</v>
      </c>
      <c r="B37" s="1572" t="str">
        <f>IF('Part III A-Sources of Funds'!$H$33="","",-FV('Part III A-Sources of Funds'!$J$33/12,12,B24/12,'Part III A-Sources of Funds'!$H$33))</f>
        <v/>
      </c>
      <c r="C37" s="1572" t="str">
        <f>IF('Part III A-Sources of Funds'!$H$33="","",-FV('Part III A-Sources of Funds'!$J$33/12,12,C24/12,B37))</f>
        <v/>
      </c>
      <c r="D37" s="1572" t="str">
        <f>IF('Part III A-Sources of Funds'!$H$33="","",-FV('Part III A-Sources of Funds'!$J$33/12,12,D24/12,C37))</f>
        <v/>
      </c>
      <c r="E37" s="1572" t="str">
        <f>IF('Part III A-Sources of Funds'!$H$33="","",-FV('Part III A-Sources of Funds'!$J$33/12,12,E24/12,D37))</f>
        <v/>
      </c>
      <c r="F37" s="1572" t="str">
        <f>IF('Part III A-Sources of Funds'!$H$33="","",-FV('Part III A-Sources of Funds'!$J$33/12,12,F24/12,E37))</f>
        <v/>
      </c>
      <c r="G37" s="1572" t="str">
        <f>IF('Part III A-Sources of Funds'!$H$33="","",-FV('Part III A-Sources of Funds'!$J$33/12,12,G24/12,F37))</f>
        <v/>
      </c>
      <c r="H37" s="1572" t="str">
        <f>IF('Part III A-Sources of Funds'!$H$33="","",-FV('Part III A-Sources of Funds'!$J$33/12,12,H24/12,G37))</f>
        <v/>
      </c>
      <c r="I37" s="1572" t="str">
        <f>IF('Part III A-Sources of Funds'!$H$33="","",-FV('Part III A-Sources of Funds'!$J$33/12,12,I24/12,H37))</f>
        <v/>
      </c>
      <c r="J37" s="1572" t="str">
        <f>IF('Part III A-Sources of Funds'!$H$33="","",-FV('Part III A-Sources of Funds'!$J$33/12,12,J24/12,I37))</f>
        <v/>
      </c>
      <c r="K37" s="1572" t="str">
        <f>IF('Part III A-Sources of Funds'!$H$33="","",-FV('Part III A-Sources of Funds'!$J$33/12,12,K24/12,J37))</f>
        <v/>
      </c>
      <c r="M37" s="1462"/>
      <c r="N37" s="1463"/>
    </row>
    <row r="38" spans="1:14" ht="13.15" customHeight="1">
      <c r="A38" s="678" t="s">
        <v>3668</v>
      </c>
      <c r="B38" s="1572" t="str">
        <f>IF('Part III A-Sources of Funds'!$H$34="","",-FV('Part III A-Sources of Funds'!$J$34/12,12,B25/12,'Part III A-Sources of Funds'!$H$34))</f>
        <v/>
      </c>
      <c r="C38" s="1572" t="str">
        <f>IF('Part III A-Sources of Funds'!$H$34="","",-FV('Part III A-Sources of Funds'!$J$34/12,12,C25/12,B38))</f>
        <v/>
      </c>
      <c r="D38" s="1572" t="str">
        <f>IF('Part III A-Sources of Funds'!$H$34="","",-FV('Part III A-Sources of Funds'!$J$34/12,12,D25/12,C38))</f>
        <v/>
      </c>
      <c r="E38" s="1572" t="str">
        <f>IF('Part III A-Sources of Funds'!$H$34="","",-FV('Part III A-Sources of Funds'!$J$34/12,12,E25/12,D38))</f>
        <v/>
      </c>
      <c r="F38" s="1572" t="str">
        <f>IF('Part III A-Sources of Funds'!$H$34="","",-FV('Part III A-Sources of Funds'!$J$34/12,12,F25/12,E38))</f>
        <v/>
      </c>
      <c r="G38" s="1572" t="str">
        <f>IF('Part III A-Sources of Funds'!$H$34="","",-FV('Part III A-Sources of Funds'!$J$34/12,12,G25/12,F38))</f>
        <v/>
      </c>
      <c r="H38" s="1572" t="str">
        <f>IF('Part III A-Sources of Funds'!$H$34="","",-FV('Part III A-Sources of Funds'!$J$34/12,12,H25/12,G38))</f>
        <v/>
      </c>
      <c r="I38" s="1572" t="str">
        <f>IF('Part III A-Sources of Funds'!$H$34="","",-FV('Part III A-Sources of Funds'!$J$34/12,12,I25/12,H38))</f>
        <v/>
      </c>
      <c r="J38" s="1572" t="str">
        <f>IF('Part III A-Sources of Funds'!$H$34="","",-FV('Part III A-Sources of Funds'!$J$34/12,12,J25/12,I38))</f>
        <v/>
      </c>
      <c r="K38" s="1572" t="str">
        <f>IF('Part III A-Sources of Funds'!$H$34="","",-FV('Part III A-Sources of Funds'!$J$34/12,12,K25/12,J38))</f>
        <v/>
      </c>
      <c r="M38" s="1462"/>
      <c r="N38" s="1463"/>
    </row>
    <row r="39" spans="1:14" ht="13.15" customHeight="1">
      <c r="A39" s="24" t="s">
        <v>1268</v>
      </c>
      <c r="B39" s="1572" t="str">
        <f>IF('Part III A-Sources of Funds'!$H$35="","",-FV('Part III A-Sources of Funds'!$J$35/12,12,B24/12,'Part III A-Sources of Funds'!$H$35))</f>
        <v/>
      </c>
      <c r="C39" s="1572" t="str">
        <f>IF('Part III A-Sources of Funds'!$H$35="","",-FV('Part III A-Sources of Funds'!$J$35/12,12,C26/12,B39))</f>
        <v/>
      </c>
      <c r="D39" s="1572" t="str">
        <f>IF('Part III A-Sources of Funds'!$H$35="","",-FV('Part III A-Sources of Funds'!$J$35/12,12,D26/12,C39))</f>
        <v/>
      </c>
      <c r="E39" s="1572" t="str">
        <f>IF('Part III A-Sources of Funds'!$H$35="","",-FV('Part III A-Sources of Funds'!$J$35/12,12,E26/12,D39))</f>
        <v/>
      </c>
      <c r="F39" s="1572" t="str">
        <f>IF('Part III A-Sources of Funds'!$H$35="","",-FV('Part III A-Sources of Funds'!$J$35/12,12,F26/12,E39))</f>
        <v/>
      </c>
      <c r="G39" s="1572" t="str">
        <f>IF('Part III A-Sources of Funds'!$H$35="","",-FV('Part III A-Sources of Funds'!$J$35/12,12,G26/12,F39))</f>
        <v/>
      </c>
      <c r="H39" s="1572" t="str">
        <f>IF('Part III A-Sources of Funds'!$H$35="","",-FV('Part III A-Sources of Funds'!$J$35/12,12,H26/12,G39))</f>
        <v/>
      </c>
      <c r="I39" s="1572" t="str">
        <f>IF('Part III A-Sources of Funds'!$H$35="","",-FV('Part III A-Sources of Funds'!$J$35/12,12,I26/12,H39))</f>
        <v/>
      </c>
      <c r="J39" s="1572" t="str">
        <f>IF('Part III A-Sources of Funds'!$H$35="","",-FV('Part III A-Sources of Funds'!$J$35/12,12,J26/12,I39))</f>
        <v/>
      </c>
      <c r="K39" s="1572" t="str">
        <f>IF('Part III A-Sources of Funds'!$H$35="","",-FV('Part III A-Sources of Funds'!$J$35/12,12,K26/12,J39))</f>
        <v/>
      </c>
      <c r="M39" s="1462"/>
      <c r="N39" s="1463"/>
    </row>
    <row r="40" spans="1:14" ht="13.15" customHeight="1">
      <c r="A40" s="678" t="s">
        <v>3669</v>
      </c>
      <c r="B40" s="1572">
        <f>'Part III A-Sources of Funds'!$H$36</f>
        <v>0</v>
      </c>
      <c r="C40" s="1572">
        <f>B40</f>
        <v>0</v>
      </c>
      <c r="D40" s="1572">
        <f t="shared" ref="D40:K40" si="14">C40</f>
        <v>0</v>
      </c>
      <c r="E40" s="1572">
        <f t="shared" si="14"/>
        <v>0</v>
      </c>
      <c r="F40" s="1572">
        <f t="shared" si="14"/>
        <v>0</v>
      </c>
      <c r="G40" s="1572">
        <f t="shared" si="14"/>
        <v>0</v>
      </c>
      <c r="H40" s="1572">
        <f t="shared" si="14"/>
        <v>0</v>
      </c>
      <c r="I40" s="1572">
        <f t="shared" si="14"/>
        <v>0</v>
      </c>
      <c r="J40" s="1572">
        <f t="shared" si="14"/>
        <v>0</v>
      </c>
      <c r="K40" s="1572">
        <f t="shared" si="14"/>
        <v>0</v>
      </c>
      <c r="M40" s="1462"/>
      <c r="N40" s="1463"/>
    </row>
    <row r="41" spans="1:14" ht="13.15" customHeight="1">
      <c r="A41" s="29" t="s">
        <v>1776</v>
      </c>
      <c r="B41" s="1574">
        <f>IF('Part III A-Sources of Funds'!$H$37="","",-FV('Part III A-Sources of Funds'!$J$37/12,12,B29/12,'Part III A-Sources of Funds'!$H$37))</f>
        <v>22021</v>
      </c>
      <c r="C41" s="1574">
        <f>IF('Part III A-Sources of Funds'!$H$37="","",-FV('Part III A-Sources of Funds'!$J$37/12,12,C29/12,B41))</f>
        <v>0</v>
      </c>
      <c r="D41" s="1574">
        <f>IF('Part III A-Sources of Funds'!$H$37="","",-FV('Part III A-Sources of Funds'!$J$37/12,12,D29/12,C41))</f>
        <v>0</v>
      </c>
      <c r="E41" s="1574">
        <f>IF('Part III A-Sources of Funds'!$H$37="","",-FV('Part III A-Sources of Funds'!$J$37/12,12,E29/12,D41))</f>
        <v>0</v>
      </c>
      <c r="F41" s="1574">
        <f>IF('Part III A-Sources of Funds'!$H$37="","",-FV('Part III A-Sources of Funds'!$J$37/12,12,F29/12,E41))</f>
        <v>0</v>
      </c>
      <c r="G41" s="1574">
        <f>IF('Part III A-Sources of Funds'!$H$37="","",-FV('Part III A-Sources of Funds'!$J$37/12,12,G29/12,F41))</f>
        <v>0</v>
      </c>
      <c r="H41" s="1574">
        <f>IF('Part III A-Sources of Funds'!$H$37="","",-FV('Part III A-Sources of Funds'!$J$37/12,12,H29/12,G41))</f>
        <v>0</v>
      </c>
      <c r="I41" s="1574">
        <f>IF('Part III A-Sources of Funds'!$H$37="","",-FV('Part III A-Sources of Funds'!$J$37/12,12,I29/12,H41))</f>
        <v>0</v>
      </c>
      <c r="J41" s="1574">
        <f>IF('Part III A-Sources of Funds'!$H$37="","",-FV('Part III A-Sources of Funds'!$J$37/12,12,J29/12,I41))</f>
        <v>0</v>
      </c>
      <c r="K41" s="1574">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354230.02649511647</v>
      </c>
      <c r="C44" s="22">
        <f t="shared" si="16"/>
        <v>361314.62702501874</v>
      </c>
      <c r="D44" s="22">
        <f t="shared" si="16"/>
        <v>368540.91956551914</v>
      </c>
      <c r="E44" s="22">
        <f t="shared" si="16"/>
        <v>375911.73795682949</v>
      </c>
      <c r="F44" s="22">
        <f t="shared" si="16"/>
        <v>383429.97271596617</v>
      </c>
      <c r="G44" s="22">
        <f t="shared" si="16"/>
        <v>391098.57217028533</v>
      </c>
      <c r="H44" s="22">
        <f t="shared" si="16"/>
        <v>398920.54361369112</v>
      </c>
      <c r="I44" s="22">
        <f t="shared" si="16"/>
        <v>406898.95448596496</v>
      </c>
      <c r="J44" s="22">
        <f t="shared" si="16"/>
        <v>415036.93357568426</v>
      </c>
      <c r="K44" s="23">
        <f t="shared" si="16"/>
        <v>423337.67224719789</v>
      </c>
      <c r="M44" s="1460"/>
      <c r="N44" s="1461"/>
    </row>
    <row r="45" spans="1:14" ht="13.15" customHeight="1">
      <c r="A45" s="24" t="s">
        <v>1519</v>
      </c>
      <c r="B45" s="25">
        <f t="shared" ref="B45:K45" si="17">$B$15*(1+$B$5)^(B43-1)</f>
        <v>6319.2670732528204</v>
      </c>
      <c r="C45" s="25">
        <f t="shared" si="17"/>
        <v>6445.6524147178761</v>
      </c>
      <c r="D45" s="25">
        <f t="shared" si="17"/>
        <v>6574.5654630122344</v>
      </c>
      <c r="E45" s="25">
        <f t="shared" si="17"/>
        <v>6706.0567722724791</v>
      </c>
      <c r="F45" s="25">
        <f t="shared" si="17"/>
        <v>6840.177907717929</v>
      </c>
      <c r="G45" s="25">
        <f t="shared" si="17"/>
        <v>6976.9814658722862</v>
      </c>
      <c r="H45" s="25">
        <f t="shared" si="17"/>
        <v>7116.5210951897325</v>
      </c>
      <c r="I45" s="25">
        <f t="shared" si="17"/>
        <v>7258.8515170935279</v>
      </c>
      <c r="J45" s="25">
        <f t="shared" si="17"/>
        <v>7404.0285474353977</v>
      </c>
      <c r="K45" s="26">
        <f t="shared" si="17"/>
        <v>7552.1091183841054</v>
      </c>
      <c r="M45" s="1462"/>
      <c r="N45" s="1463"/>
    </row>
    <row r="46" spans="1:14" ht="13.15" customHeight="1">
      <c r="A46" s="24" t="s">
        <v>3385</v>
      </c>
      <c r="B46" s="25">
        <f t="shared" ref="B46:K46" si="18">-(B44+B45)*$B$8</f>
        <v>-25238.450549785852</v>
      </c>
      <c r="C46" s="25">
        <f t="shared" si="18"/>
        <v>-25743.219560781567</v>
      </c>
      <c r="D46" s="25">
        <f t="shared" si="18"/>
        <v>-26258.0839519972</v>
      </c>
      <c r="E46" s="25">
        <f t="shared" si="18"/>
        <v>-26783.245631037138</v>
      </c>
      <c r="F46" s="25">
        <f t="shared" si="18"/>
        <v>-27318.91054365789</v>
      </c>
      <c r="G46" s="25">
        <f t="shared" si="18"/>
        <v>-27865.288754531033</v>
      </c>
      <c r="H46" s="25">
        <f t="shared" si="18"/>
        <v>-28422.594529621663</v>
      </c>
      <c r="I46" s="25">
        <f t="shared" si="18"/>
        <v>-28991.046420214097</v>
      </c>
      <c r="J46" s="25">
        <f t="shared" si="18"/>
        <v>-29570.86734861838</v>
      </c>
      <c r="K46" s="26">
        <f t="shared" si="18"/>
        <v>-30162.284695590744</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-189066.18799526908</v>
      </c>
      <c r="C49" s="25">
        <f t="shared" si="19"/>
        <v>-194738.17363512717</v>
      </c>
      <c r="D49" s="25">
        <f t="shared" si="19"/>
        <v>-200580.31884418096</v>
      </c>
      <c r="E49" s="25">
        <f t="shared" si="19"/>
        <v>-206597.72840950638</v>
      </c>
      <c r="F49" s="25">
        <f t="shared" si="19"/>
        <v>-212795.66026179158</v>
      </c>
      <c r="G49" s="25">
        <f t="shared" si="19"/>
        <v>-219179.53006964535</v>
      </c>
      <c r="H49" s="25">
        <f t="shared" si="19"/>
        <v>-225754.91597173465</v>
      </c>
      <c r="I49" s="25">
        <f t="shared" si="19"/>
        <v>-232527.56345088669</v>
      </c>
      <c r="J49" s="25">
        <f t="shared" si="19"/>
        <v>-239503.39035441331</v>
      </c>
      <c r="K49" s="26">
        <f t="shared" si="19"/>
        <v>-246688.49206504569</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-20119</v>
      </c>
      <c r="C50" s="25">
        <f>IF(AND('Part VII-Pro Forma'!$G$8="Yes",'Part VII-Pro Forma'!$G$9="Yes"),"Choose One!",IF('Part VII-Pro Forma'!$G$8="Yes",ROUND((-$K$8*(1+'Part VII-Pro Forma'!$B$6)^('Part VII-Pro Forma'!C43-1)),),IF('Part VII-Pro Forma'!$G$9="Yes",ROUND((-(SUM(C44:C47)*'Part VII-Pro Forma'!$K$9)),),"Choose mgt fee")))</f>
        <v>-20521</v>
      </c>
      <c r="D50" s="25">
        <f>IF(AND('Part VII-Pro Forma'!$G$8="Yes",'Part VII-Pro Forma'!$G$9="Yes"),"Choose One!",IF('Part VII-Pro Forma'!$G$8="Yes",ROUND((-$K$8*(1+'Part VII-Pro Forma'!$B$6)^('Part VII-Pro Forma'!D43-1)),),IF('Part VII-Pro Forma'!$G$9="Yes",ROUND((-(SUM(D44:D47)*'Part VII-Pro Forma'!$K$9)),),"Choose mgt fee")))</f>
        <v>-20931</v>
      </c>
      <c r="E50" s="25">
        <f>IF(AND('Part VII-Pro Forma'!$G$8="Yes",'Part VII-Pro Forma'!$G$9="Yes"),"Choose One!",IF('Part VII-Pro Forma'!$G$8="Yes",ROUND((-$K$8*(1+'Part VII-Pro Forma'!$B$6)^('Part VII-Pro Forma'!E43-1)),),IF('Part VII-Pro Forma'!$G$9="Yes",ROUND((-(SUM(E44:E47)*'Part VII-Pro Forma'!$K$9)),),"Choose mgt fee")))</f>
        <v>-21350</v>
      </c>
      <c r="F50" s="25">
        <f>IF(AND('Part VII-Pro Forma'!$G$8="Yes",'Part VII-Pro Forma'!$G$9="Yes"),"Choose One!",IF('Part VII-Pro Forma'!$G$8="Yes",ROUND((-$K$8*(1+'Part VII-Pro Forma'!$B$6)^('Part VII-Pro Forma'!F43-1)),),IF('Part VII-Pro Forma'!$G$9="Yes",ROUND((-(SUM(F44:F47)*'Part VII-Pro Forma'!$K$9)),),"Choose mgt fee")))</f>
        <v>-21777</v>
      </c>
      <c r="G50" s="25">
        <f>IF(AND('Part VII-Pro Forma'!$G$8="Yes",'Part VII-Pro Forma'!$G$9="Yes"),"Choose One!",IF('Part VII-Pro Forma'!$G$8="Yes",ROUND((-$K$8*(1+'Part VII-Pro Forma'!$B$6)^('Part VII-Pro Forma'!G43-1)),),IF('Part VII-Pro Forma'!$G$9="Yes",ROUND((-(SUM(G44:G47)*'Part VII-Pro Forma'!$K$9)),),"Choose mgt fee")))</f>
        <v>-22213</v>
      </c>
      <c r="H50" s="25">
        <f>IF(AND('Part VII-Pro Forma'!$G$8="Yes",'Part VII-Pro Forma'!$G$9="Yes"),"Choose One!",IF('Part VII-Pro Forma'!$G$8="Yes",ROUND((-$K$8*(1+'Part VII-Pro Forma'!$B$6)^('Part VII-Pro Forma'!H43-1)),),IF('Part VII-Pro Forma'!$G$9="Yes",ROUND((-(SUM(H44:H47)*'Part VII-Pro Forma'!$K$9)),),"Choose mgt fee")))</f>
        <v>-22657</v>
      </c>
      <c r="I50" s="25">
        <f>IF(AND('Part VII-Pro Forma'!$G$8="Yes",'Part VII-Pro Forma'!$G$9="Yes"),"Choose One!",IF('Part VII-Pro Forma'!$G$8="Yes",ROUND((-$K$8*(1+'Part VII-Pro Forma'!$B$6)^('Part VII-Pro Forma'!I43-1)),),IF('Part VII-Pro Forma'!$G$9="Yes",ROUND((-(SUM(I44:I47)*'Part VII-Pro Forma'!$K$9)),),"Choose mgt fee")))</f>
        <v>-23110</v>
      </c>
      <c r="J50" s="25">
        <f>IF(AND('Part VII-Pro Forma'!$G$8="Yes",'Part VII-Pro Forma'!$G$9="Yes"),"Choose One!",IF('Part VII-Pro Forma'!$G$8="Yes",ROUND((-$K$8*(1+'Part VII-Pro Forma'!$B$6)^('Part VII-Pro Forma'!J43-1)),),IF('Part VII-Pro Forma'!$G$9="Yes",ROUND((-(SUM(J44:J47)*'Part VII-Pro Forma'!$K$9)),),"Choose mgt fee")))</f>
        <v>-23572</v>
      </c>
      <c r="K50" s="25">
        <f>IF(AND('Part VII-Pro Forma'!$G$8="Yes",'Part VII-Pro Forma'!$G$9="Yes"),"Choose One!",IF('Part VII-Pro Forma'!$G$8="Yes",ROUND((-$K$8*(1+'Part VII-Pro Forma'!$B$6)^('Part VII-Pro Forma'!K43-1)),),IF('Part VII-Pro Forma'!$G$9="Yes",ROUND((-(SUM(K44:K47)*'Part VII-Pro Forma'!$K$9)),),"Choose mgt fee")))</f>
        <v>-24044</v>
      </c>
      <c r="M50" s="1462"/>
      <c r="N50" s="1463"/>
    </row>
    <row r="51" spans="1:14" ht="13.15" customHeight="1">
      <c r="A51" s="24" t="s">
        <v>1739</v>
      </c>
      <c r="B51" s="25">
        <f t="shared" ref="B51:K51" si="20">$B$21*(1+$B$7)^(B43-1)</f>
        <v>-27093.354207577497</v>
      </c>
      <c r="C51" s="25">
        <f t="shared" si="20"/>
        <v>-27906.15483380482</v>
      </c>
      <c r="D51" s="25">
        <f t="shared" si="20"/>
        <v>-28743.339478818962</v>
      </c>
      <c r="E51" s="25">
        <f t="shared" si="20"/>
        <v>-29605.639663183527</v>
      </c>
      <c r="F51" s="25">
        <f t="shared" si="20"/>
        <v>-30493.808853079037</v>
      </c>
      <c r="G51" s="25">
        <f t="shared" si="20"/>
        <v>-31408.62311867141</v>
      </c>
      <c r="H51" s="25">
        <f t="shared" si="20"/>
        <v>-32350.881812231546</v>
      </c>
      <c r="I51" s="25">
        <f t="shared" si="20"/>
        <v>-33321.408266598497</v>
      </c>
      <c r="J51" s="25">
        <f t="shared" si="20"/>
        <v>-34321.050514596449</v>
      </c>
      <c r="K51" s="26">
        <f t="shared" si="20"/>
        <v>-35350.682030034339</v>
      </c>
      <c r="M51" s="1462"/>
      <c r="N51" s="1463"/>
    </row>
    <row r="52" spans="1:14" ht="13.15" customHeight="1">
      <c r="A52" s="24" t="s">
        <v>1740</v>
      </c>
      <c r="B52" s="25">
        <f t="shared" ref="B52:K52" si="21">SUM(B44:B51)</f>
        <v>99032.300815736846</v>
      </c>
      <c r="C52" s="25">
        <f t="shared" si="21"/>
        <v>98851.731410023087</v>
      </c>
      <c r="D52" s="25">
        <f t="shared" si="21"/>
        <v>98602.742753534258</v>
      </c>
      <c r="E52" s="25">
        <f t="shared" si="21"/>
        <v>98281.18102537487</v>
      </c>
      <c r="F52" s="25">
        <f t="shared" si="21"/>
        <v>97884.770965155592</v>
      </c>
      <c r="G52" s="25">
        <f t="shared" si="21"/>
        <v>97409.111693309824</v>
      </c>
      <c r="H52" s="25">
        <f t="shared" si="21"/>
        <v>96851.672395293004</v>
      </c>
      <c r="I52" s="25">
        <f t="shared" si="21"/>
        <v>96207.787865359191</v>
      </c>
      <c r="J52" s="25">
        <f t="shared" si="21"/>
        <v>95473.653905491519</v>
      </c>
      <c r="K52" s="26">
        <f t="shared" si="21"/>
        <v>94644.322574911261</v>
      </c>
      <c r="M52" s="1462"/>
      <c r="N52" s="1463"/>
    </row>
    <row r="53" spans="1:14" ht="13.15" customHeight="1">
      <c r="A53" s="24" t="str">
        <f>$A23</f>
        <v>Mortgage A</v>
      </c>
      <c r="B53" s="1571">
        <f>IF('Part III A-Sources of Funds'!$M$32="", 0,-'Part III A-Sources of Funds'!$M$32)</f>
        <v>-62778</v>
      </c>
      <c r="C53" s="1571">
        <f>IF('Part III A-Sources of Funds'!$M$32="", 0,-'Part III A-Sources of Funds'!$M$32)</f>
        <v>-62778</v>
      </c>
      <c r="D53" s="1571">
        <f>IF('Part III A-Sources of Funds'!$M$32="", 0,-'Part III A-Sources of Funds'!$M$32)</f>
        <v>-62778</v>
      </c>
      <c r="E53" s="1571">
        <f>IF('Part III A-Sources of Funds'!$M$32="", 0,-'Part III A-Sources of Funds'!$M$32)</f>
        <v>-62778</v>
      </c>
      <c r="F53" s="1571">
        <f>IF('Part III A-Sources of Funds'!$M$32="", 0,-'Part III A-Sources of Funds'!$M$32)</f>
        <v>-62778</v>
      </c>
      <c r="G53" s="1571">
        <f>IF('Part III A-Sources of Funds'!$M$32="", 0,-'Part III A-Sources of Funds'!$M$32)</f>
        <v>-62778</v>
      </c>
      <c r="H53" s="1571">
        <f>IF('Part III A-Sources of Funds'!$M$32="", 0,-'Part III A-Sources of Funds'!$M$32)</f>
        <v>-62778</v>
      </c>
      <c r="I53" s="1571">
        <f>IF('Part III A-Sources of Funds'!$M$32="", 0,-'Part III A-Sources of Funds'!$M$32)</f>
        <v>-62778</v>
      </c>
      <c r="J53" s="1571">
        <f>IF('Part III A-Sources of Funds'!$M$32="", 0,-'Part III A-Sources of Funds'!$M$32)</f>
        <v>-62778</v>
      </c>
      <c r="K53" s="1571">
        <f>IF('Part III A-Sources of Funds'!$M$32="", 0,-'Part III A-Sources of Funds'!$M$32)</f>
        <v>-62778</v>
      </c>
      <c r="M53" s="1462"/>
      <c r="N53" s="1463"/>
    </row>
    <row r="54" spans="1:14" ht="13.15" customHeight="1">
      <c r="A54" s="24" t="str">
        <f>$A24</f>
        <v>Mortgage B</v>
      </c>
      <c r="B54" s="1572">
        <f>IF('Part III A-Sources of Funds'!$M$33="", 0,-'Part III A-Sources of Funds'!$M$33)</f>
        <v>0</v>
      </c>
      <c r="C54" s="1572">
        <f>IF('Part III A-Sources of Funds'!$M$33="", 0,-'Part III A-Sources of Funds'!$M$33)</f>
        <v>0</v>
      </c>
      <c r="D54" s="1572">
        <f>IF('Part III A-Sources of Funds'!$M$33="", 0,-'Part III A-Sources of Funds'!$M$33)</f>
        <v>0</v>
      </c>
      <c r="E54" s="1572">
        <f>IF('Part III A-Sources of Funds'!$M$33="", 0,-'Part III A-Sources of Funds'!$M$33)</f>
        <v>0</v>
      </c>
      <c r="F54" s="1572">
        <f>IF('Part III A-Sources of Funds'!$M$33="", 0,-'Part III A-Sources of Funds'!$M$33)</f>
        <v>0</v>
      </c>
      <c r="G54" s="1572">
        <f>IF('Part III A-Sources of Funds'!$M$33="", 0,-'Part III A-Sources of Funds'!$M$33)</f>
        <v>0</v>
      </c>
      <c r="H54" s="1572">
        <f>IF('Part III A-Sources of Funds'!$M$33="", 0,-'Part III A-Sources of Funds'!$M$33)</f>
        <v>0</v>
      </c>
      <c r="I54" s="1572">
        <f>IF('Part III A-Sources of Funds'!$M$33="", 0,-'Part III A-Sources of Funds'!$M$33)</f>
        <v>0</v>
      </c>
      <c r="J54" s="1572">
        <f>IF('Part III A-Sources of Funds'!$M$33="", 0,-'Part III A-Sources of Funds'!$M$33)</f>
        <v>0</v>
      </c>
      <c r="K54" s="1572">
        <f>IF('Part III A-Sources of Funds'!$M$33="", 0,-'Part III A-Sources of Funds'!$M$33)</f>
        <v>0</v>
      </c>
      <c r="M54" s="1462"/>
      <c r="N54" s="1463"/>
    </row>
    <row r="55" spans="1:14" ht="13.15" customHeight="1">
      <c r="A55" s="24" t="str">
        <f>$A25</f>
        <v>Mortgage C</v>
      </c>
      <c r="B55" s="1572">
        <f>IF('Part III A-Sources of Funds'!$M$34="", 0,-'Part III A-Sources of Funds'!$M$34)</f>
        <v>0</v>
      </c>
      <c r="C55" s="1572">
        <f>IF('Part III A-Sources of Funds'!$M$34="", 0,-'Part III A-Sources of Funds'!$M$34)</f>
        <v>0</v>
      </c>
      <c r="D55" s="1572">
        <f>IF('Part III A-Sources of Funds'!$M$34="", 0,-'Part III A-Sources of Funds'!$M$34)</f>
        <v>0</v>
      </c>
      <c r="E55" s="1572">
        <f>IF('Part III A-Sources of Funds'!$M$34="", 0,-'Part III A-Sources of Funds'!$M$34)</f>
        <v>0</v>
      </c>
      <c r="F55" s="1572">
        <f>IF('Part III A-Sources of Funds'!$M$34="", 0,-'Part III A-Sources of Funds'!$M$34)</f>
        <v>0</v>
      </c>
      <c r="G55" s="1572">
        <f>IF('Part III A-Sources of Funds'!$M$34="", 0,-'Part III A-Sources of Funds'!$M$34)</f>
        <v>0</v>
      </c>
      <c r="H55" s="1572">
        <f>IF('Part III A-Sources of Funds'!$M$34="", 0,-'Part III A-Sources of Funds'!$M$34)</f>
        <v>0</v>
      </c>
      <c r="I55" s="1572">
        <f>IF('Part III A-Sources of Funds'!$M$34="", 0,-'Part III A-Sources of Funds'!$M$34)</f>
        <v>0</v>
      </c>
      <c r="J55" s="1572">
        <f>IF('Part III A-Sources of Funds'!$M$34="", 0,-'Part III A-Sources of Funds'!$M$34)</f>
        <v>0</v>
      </c>
      <c r="K55" s="1572">
        <f>IF('Part III A-Sources of Funds'!$M$34="", 0,-'Part III A-Sources of Funds'!$M$34)</f>
        <v>0</v>
      </c>
      <c r="M55" s="1462"/>
      <c r="N55" s="1463"/>
    </row>
    <row r="56" spans="1:14" ht="13.15" customHeight="1">
      <c r="A56" s="24" t="str">
        <f>$A26</f>
        <v>D/S Other Source</v>
      </c>
      <c r="B56" s="1572">
        <f>IF('Part III A-Sources of Funds'!$M$35="", 0,-'Part III A-Sources of Funds'!$M$35)</f>
        <v>0</v>
      </c>
      <c r="C56" s="1572">
        <f>IF('Part III A-Sources of Funds'!$M$35="", 0,-'Part III A-Sources of Funds'!$M$35)</f>
        <v>0</v>
      </c>
      <c r="D56" s="1572">
        <f>IF('Part III A-Sources of Funds'!$M$35="", 0,-'Part III A-Sources of Funds'!$M$35)</f>
        <v>0</v>
      </c>
      <c r="E56" s="1572">
        <f>IF('Part III A-Sources of Funds'!$M$35="", 0,-'Part III A-Sources of Funds'!$M$35)</f>
        <v>0</v>
      </c>
      <c r="F56" s="1572">
        <f>IF('Part III A-Sources of Funds'!$M$35="", 0,-'Part III A-Sources of Funds'!$M$35)</f>
        <v>0</v>
      </c>
      <c r="G56" s="1572">
        <f>IF('Part III A-Sources of Funds'!$M$35="", 0,-'Part III A-Sources of Funds'!$M$35)</f>
        <v>0</v>
      </c>
      <c r="H56" s="1572">
        <f>IF('Part III A-Sources of Funds'!$M$35="", 0,-'Part III A-Sources of Funds'!$M$35)</f>
        <v>0</v>
      </c>
      <c r="I56" s="1572">
        <f>IF('Part III A-Sources of Funds'!$M$35="", 0,-'Part III A-Sources of Funds'!$M$35)</f>
        <v>0</v>
      </c>
      <c r="J56" s="1572">
        <f>IF('Part III A-Sources of Funds'!$M$35="", 0,-'Part III A-Sources of Funds'!$M$35)</f>
        <v>0</v>
      </c>
      <c r="K56" s="1572">
        <f>IF('Part III A-Sources of Funds'!$M$35="", 0,-'Part III A-Sources of Funds'!$M$35)</f>
        <v>0</v>
      </c>
      <c r="M56" s="1462"/>
      <c r="N56" s="1463"/>
    </row>
    <row r="57" spans="1:14" ht="13.15" customHeight="1">
      <c r="A57" s="24" t="s">
        <v>1241</v>
      </c>
      <c r="B57" s="1573"/>
      <c r="C57" s="1573"/>
      <c r="D57" s="1573"/>
      <c r="E57" s="1573"/>
      <c r="F57" s="1573"/>
      <c r="G57" s="1573"/>
      <c r="H57" s="1573"/>
      <c r="I57" s="1573"/>
      <c r="J57" s="1573"/>
      <c r="K57" s="1573"/>
      <c r="M57" s="1462"/>
      <c r="N57" s="1463"/>
    </row>
    <row r="58" spans="1:14" ht="13.15" customHeight="1">
      <c r="A58" s="24" t="s">
        <v>1686</v>
      </c>
      <c r="B58" s="1572">
        <f>K28*1.03</f>
        <v>-6719.5818967206096</v>
      </c>
      <c r="C58" s="1572">
        <f>B58*1.03</f>
        <v>-6921.1693536222283</v>
      </c>
      <c r="D58" s="1572">
        <f t="shared" ref="D58:K58" si="22">C58*1.03</f>
        <v>-7128.8044342308949</v>
      </c>
      <c r="E58" s="1572">
        <f t="shared" si="22"/>
        <v>-7342.6685672578224</v>
      </c>
      <c r="F58" s="1572">
        <f t="shared" si="22"/>
        <v>-7562.9486242755574</v>
      </c>
      <c r="G58" s="1572">
        <f t="shared" si="22"/>
        <v>-7789.8370830038248</v>
      </c>
      <c r="H58" s="1572">
        <f t="shared" si="22"/>
        <v>-8023.53219549394</v>
      </c>
      <c r="I58" s="1572">
        <f t="shared" si="22"/>
        <v>-8264.2381613587586</v>
      </c>
      <c r="J58" s="1572">
        <v>0</v>
      </c>
      <c r="K58" s="1572">
        <f t="shared" si="22"/>
        <v>0</v>
      </c>
      <c r="M58" s="1462"/>
      <c r="N58" s="1463"/>
    </row>
    <row r="59" spans="1:14" ht="13.15" customHeight="1">
      <c r="A59" s="24" t="s">
        <v>1741</v>
      </c>
      <c r="B59" s="1574">
        <f>IF('Part III A-Sources of Funds'!$M$37="", 0,-'Part III A-Sources of Funds'!$M$37)</f>
        <v>0</v>
      </c>
      <c r="C59" s="1574">
        <f>IF('Part III A-Sources of Funds'!$M$37="", 0,-'Part III A-Sources of Funds'!$M$37)</f>
        <v>0</v>
      </c>
      <c r="D59" s="1574">
        <f>IF('Part III A-Sources of Funds'!$M$37="", 0,-'Part III A-Sources of Funds'!$M$37)</f>
        <v>0</v>
      </c>
      <c r="E59" s="1574">
        <f>IF('Part III A-Sources of Funds'!$M$37="", 0,-'Part III A-Sources of Funds'!$M$37)</f>
        <v>0</v>
      </c>
      <c r="F59" s="1574">
        <f>IF('Part III A-Sources of Funds'!$M$37="", 0,-'Part III A-Sources of Funds'!$M$37)</f>
        <v>0</v>
      </c>
      <c r="G59" s="1574">
        <f>IF('Part III A-Sources of Funds'!$M$37="", 0,-'Part III A-Sources of Funds'!$M$37)</f>
        <v>0</v>
      </c>
      <c r="H59" s="1574">
        <f>IF('Part III A-Sources of Funds'!$M$37="", 0,-'Part III A-Sources of Funds'!$M$37)</f>
        <v>0</v>
      </c>
      <c r="I59" s="1574">
        <f>IF('Part III A-Sources of Funds'!$M$37="", 0,-'Part III A-Sources of Funds'!$M$37)</f>
        <v>0</v>
      </c>
      <c r="J59" s="1574">
        <f>IF('Part III A-Sources of Funds'!$M$37="", 0,-'Part III A-Sources of Funds'!$M$37)</f>
        <v>0</v>
      </c>
      <c r="K59" s="1572">
        <f>IF('Part III A-Sources of Funds'!$M$37="", 0,-'Part III A-Sources of Funds'!$M$37)</f>
        <v>0</v>
      </c>
      <c r="M59" s="1462"/>
      <c r="N59" s="1463"/>
    </row>
    <row r="60" spans="1:14" ht="13.15" customHeight="1">
      <c r="A60" s="24" t="s">
        <v>1687</v>
      </c>
      <c r="B60" s="25">
        <f t="shared" ref="B60:K60" si="23">SUM(B52:B59)</f>
        <v>29534.718919016235</v>
      </c>
      <c r="C60" s="25">
        <f t="shared" si="23"/>
        <v>29152.562056400857</v>
      </c>
      <c r="D60" s="25">
        <f t="shared" si="23"/>
        <v>28695.938319303365</v>
      </c>
      <c r="E60" s="25">
        <f t="shared" si="23"/>
        <v>28160.512458117046</v>
      </c>
      <c r="F60" s="25">
        <f t="shared" si="23"/>
        <v>27543.822340880033</v>
      </c>
      <c r="G60" s="25">
        <f t="shared" si="23"/>
        <v>26841.274610305998</v>
      </c>
      <c r="H60" s="25">
        <f t="shared" si="23"/>
        <v>26050.140199799065</v>
      </c>
      <c r="I60" s="25">
        <f t="shared" si="23"/>
        <v>25165.549704000434</v>
      </c>
      <c r="J60" s="25">
        <f t="shared" si="23"/>
        <v>32695.653905491519</v>
      </c>
      <c r="K60" s="23">
        <f t="shared" si="23"/>
        <v>31866.322574911261</v>
      </c>
      <c r="M60" s="1462"/>
      <c r="N60" s="1463"/>
    </row>
    <row r="61" spans="1:14" ht="13.15" customHeight="1">
      <c r="A61" s="24" t="str">
        <f>$A31</f>
        <v>DCR Mortgage A</v>
      </c>
      <c r="B61" s="27">
        <f>IF(B53=0,"",-B52/B53)</f>
        <v>1.577500092639728</v>
      </c>
      <c r="C61" s="27">
        <f t="shared" ref="C61:K61" si="24">IF(C53=0,"",-C52/C53)</f>
        <v>1.5746237760047004</v>
      </c>
      <c r="D61" s="27">
        <f t="shared" si="24"/>
        <v>1.5706575990559473</v>
      </c>
      <c r="E61" s="27">
        <f t="shared" si="24"/>
        <v>1.565535394969175</v>
      </c>
      <c r="F61" s="27">
        <f t="shared" si="24"/>
        <v>1.5592209207868297</v>
      </c>
      <c r="G61" s="27">
        <f t="shared" si="24"/>
        <v>1.5516440742506901</v>
      </c>
      <c r="H61" s="27">
        <f t="shared" si="24"/>
        <v>1.5427645416434579</v>
      </c>
      <c r="I61" s="27">
        <f t="shared" si="24"/>
        <v>1.5325080102163049</v>
      </c>
      <c r="J61" s="27">
        <f t="shared" si="24"/>
        <v>1.5208138823392194</v>
      </c>
      <c r="K61" s="28">
        <f t="shared" si="24"/>
        <v>1.5076033415354306</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1.4191337050434187</v>
      </c>
      <c r="C65" s="378">
        <f t="shared" ref="C65:K65" si="28">IF(OR(C50="Choose mgt fee",C50="Choose One!"),"",(C44+C45+C46+C47+C48) / -(C49+C50+C51))</f>
        <v>1.4065206665458183</v>
      </c>
      <c r="D65" s="378">
        <f t="shared" si="28"/>
        <v>1.3940096196981444</v>
      </c>
      <c r="E65" s="378">
        <f t="shared" si="28"/>
        <v>1.3815954019969823</v>
      </c>
      <c r="F65" s="378">
        <f t="shared" si="28"/>
        <v>1.3692838678993222</v>
      </c>
      <c r="G65" s="378">
        <f t="shared" si="28"/>
        <v>1.3570700143854142</v>
      </c>
      <c r="H65" s="378">
        <f t="shared" si="28"/>
        <v>1.3449590656587482</v>
      </c>
      <c r="I65" s="378">
        <f t="shared" si="28"/>
        <v>1.3329461871127555</v>
      </c>
      <c r="J65" s="378">
        <f t="shared" si="28"/>
        <v>1.321031595490894</v>
      </c>
      <c r="K65" s="379">
        <f t="shared" si="28"/>
        <v>1.3092111249000296</v>
      </c>
      <c r="M65" s="1462"/>
      <c r="N65" s="1463"/>
    </row>
    <row r="66" spans="1:14" ht="13.15" customHeight="1">
      <c r="A66" s="678" t="s">
        <v>3666</v>
      </c>
      <c r="B66" s="1575">
        <f>IF('Part III A-Sources of Funds'!$H$32="","",-FV('Part III A-Sources of Funds'!$J$32/12,12,B53/12,K36))</f>
        <v>1085893.6465778516</v>
      </c>
      <c r="C66" s="1575">
        <f>IF('Part III A-Sources of Funds'!$H$32="","",-FV('Part III A-Sources of Funds'!$J$32/12,12,C53/12,B66))</f>
        <v>1033735.9584214685</v>
      </c>
      <c r="D66" s="1575">
        <f>IF('Part III A-Sources of Funds'!$H$32="","",-FV('Part III A-Sources of Funds'!$J$32/12,12,D53/12,C66))</f>
        <v>981054.29616990057</v>
      </c>
      <c r="E66" s="1575">
        <f>IF('Part III A-Sources of Funds'!$H$32="","",-FV('Part III A-Sources of Funds'!$J$32/12,12,E53/12,D66))</f>
        <v>927843.39599988167</v>
      </c>
      <c r="F66" s="1575">
        <f>IF('Part III A-Sources of Funds'!$H$32="","",-FV('Part III A-Sources of Funds'!$J$32/12,12,F53/12,E66))</f>
        <v>874097.94120798307</v>
      </c>
      <c r="G66" s="1575">
        <f>IF('Part III A-Sources of Funds'!$H$32="","",-FV('Part III A-Sources of Funds'!$J$32/12,12,G53/12,F66))</f>
        <v>819812.5616793813</v>
      </c>
      <c r="H66" s="1575">
        <f>IF('Part III A-Sources of Funds'!$H$32="","",-FV('Part III A-Sources of Funds'!$J$32/12,12,H53/12,G66))</f>
        <v>764981.8333512895</v>
      </c>
      <c r="I66" s="1575">
        <f>IF('Part III A-Sources of Funds'!$H$32="","",-FV('Part III A-Sources of Funds'!$J$32/12,12,I53/12,H66))</f>
        <v>709600.27767099801</v>
      </c>
      <c r="J66" s="1575">
        <f>IF('Part III A-Sources of Funds'!$H$32="","",-FV('Part III A-Sources of Funds'!$J$32/12,12,J53/12,I66))</f>
        <v>653662.36104847118</v>
      </c>
      <c r="K66" s="1575">
        <f>IF('Part III A-Sources of Funds'!$H$32="","",-FV('Part III A-Sources of Funds'!$J$32/12,12,K53/12,J66))</f>
        <v>597162.49430344405</v>
      </c>
      <c r="M66" s="1462"/>
      <c r="N66" s="1463"/>
    </row>
    <row r="67" spans="1:14" ht="13.15" customHeight="1">
      <c r="A67" s="678" t="s">
        <v>3667</v>
      </c>
      <c r="B67" s="1572" t="str">
        <f>IF('Part III A-Sources of Funds'!$H$33="","",-FV('Part III A-Sources of Funds'!$J$33/12,12,B54/12,K37))</f>
        <v/>
      </c>
      <c r="C67" s="1572" t="str">
        <f>IF('Part III A-Sources of Funds'!$H$33="","",-FV('Part III A-Sources of Funds'!$J$33/12,12,C54/12,B67))</f>
        <v/>
      </c>
      <c r="D67" s="1572" t="str">
        <f>IF('Part III A-Sources of Funds'!$H$33="","",-FV('Part III A-Sources of Funds'!$J$33/12,12,D54/12,C67))</f>
        <v/>
      </c>
      <c r="E67" s="1572" t="str">
        <f>IF('Part III A-Sources of Funds'!$H$33="","",-FV('Part III A-Sources of Funds'!$J$33/12,12,E54/12,D67))</f>
        <v/>
      </c>
      <c r="F67" s="1572" t="str">
        <f>IF('Part III A-Sources of Funds'!$H$33="","",-FV('Part III A-Sources of Funds'!$J$33/12,12,F54/12,E67))</f>
        <v/>
      </c>
      <c r="G67" s="1572" t="str">
        <f>IF('Part III A-Sources of Funds'!$H$33="","",-FV('Part III A-Sources of Funds'!$J$33/12,12,G54/12,F67))</f>
        <v/>
      </c>
      <c r="H67" s="1572" t="str">
        <f>IF('Part III A-Sources of Funds'!$H$33="","",-FV('Part III A-Sources of Funds'!$J$33/12,12,H54/12,G67))</f>
        <v/>
      </c>
      <c r="I67" s="1572" t="str">
        <f>IF('Part III A-Sources of Funds'!$H$33="","",-FV('Part III A-Sources of Funds'!$J$33/12,12,I54/12,H67))</f>
        <v/>
      </c>
      <c r="J67" s="1572" t="str">
        <f>IF('Part III A-Sources of Funds'!$H$33="","",-FV('Part III A-Sources of Funds'!$J$33/12,12,J54/12,I67))</f>
        <v/>
      </c>
      <c r="K67" s="1572" t="str">
        <f>IF('Part III A-Sources of Funds'!$H$33="","",-FV('Part III A-Sources of Funds'!$J$33/12,12,K54/12,J67))</f>
        <v/>
      </c>
      <c r="M67" s="1462"/>
      <c r="N67" s="1463"/>
    </row>
    <row r="68" spans="1:14" ht="13.15" customHeight="1">
      <c r="A68" s="678" t="s">
        <v>3668</v>
      </c>
      <c r="B68" s="1572" t="str">
        <f>IF('Part III A-Sources of Funds'!$H$34="","",-FV('Part III A-Sources of Funds'!$J$34/12,12,B55/12,K38))</f>
        <v/>
      </c>
      <c r="C68" s="1572" t="str">
        <f>IF('Part III A-Sources of Funds'!$H$34="","",-FV('Part III A-Sources of Funds'!$J$34/12,12,C55/12,B68))</f>
        <v/>
      </c>
      <c r="D68" s="1572" t="str">
        <f>IF('Part III A-Sources of Funds'!$H$34="","",-FV('Part III A-Sources of Funds'!$J$34/12,12,D55/12,C68))</f>
        <v/>
      </c>
      <c r="E68" s="1572" t="str">
        <f>IF('Part III A-Sources of Funds'!$H$34="","",-FV('Part III A-Sources of Funds'!$J$34/12,12,E55/12,D68))</f>
        <v/>
      </c>
      <c r="F68" s="1572" t="str">
        <f>IF('Part III A-Sources of Funds'!$H$34="","",-FV('Part III A-Sources of Funds'!$J$34/12,12,F55/12,E68))</f>
        <v/>
      </c>
      <c r="G68" s="1572" t="str">
        <f>IF('Part III A-Sources of Funds'!$H$34="","",-FV('Part III A-Sources of Funds'!$J$34/12,12,G55/12,F68))</f>
        <v/>
      </c>
      <c r="H68" s="1572" t="str">
        <f>IF('Part III A-Sources of Funds'!$H$34="","",-FV('Part III A-Sources of Funds'!$J$34/12,12,H55/12,G68))</f>
        <v/>
      </c>
      <c r="I68" s="1572" t="str">
        <f>IF('Part III A-Sources of Funds'!$H$34="","",-FV('Part III A-Sources of Funds'!$J$34/12,12,I55/12,H68))</f>
        <v/>
      </c>
      <c r="J68" s="1572" t="str">
        <f>IF('Part III A-Sources of Funds'!$H$34="","",-FV('Part III A-Sources of Funds'!$J$34/12,12,J55/12,I68))</f>
        <v/>
      </c>
      <c r="K68" s="1572" t="str">
        <f>IF('Part III A-Sources of Funds'!$H$34="","",-FV('Part III A-Sources of Funds'!$J$34/12,12,K55/12,J68))</f>
        <v/>
      </c>
      <c r="M68" s="1462"/>
      <c r="N68" s="1463"/>
    </row>
    <row r="69" spans="1:14" ht="13.15" customHeight="1">
      <c r="A69" s="24" t="s">
        <v>1268</v>
      </c>
      <c r="B69" s="1572" t="str">
        <f>IF('Part III A-Sources of Funds'!$H$35="","",-FV('Part III A-Sources of Funds'!$J$35/12,12,B56/12,K39))</f>
        <v/>
      </c>
      <c r="C69" s="1572" t="str">
        <f>IF('Part III A-Sources of Funds'!$H$35="","",-FV('Part III A-Sources of Funds'!$J$35/12,12,C56/12,B69))</f>
        <v/>
      </c>
      <c r="D69" s="1572" t="str">
        <f>IF('Part III A-Sources of Funds'!$H$35="","",-FV('Part III A-Sources of Funds'!$J$35/12,12,D56/12,C69))</f>
        <v/>
      </c>
      <c r="E69" s="1572" t="str">
        <f>IF('Part III A-Sources of Funds'!$H$35="","",-FV('Part III A-Sources of Funds'!$J$35/12,12,E56/12,D69))</f>
        <v/>
      </c>
      <c r="F69" s="1572" t="str">
        <f>IF('Part III A-Sources of Funds'!$H$35="","",-FV('Part III A-Sources of Funds'!$J$35/12,12,F56/12,E69))</f>
        <v/>
      </c>
      <c r="G69" s="1572" t="str">
        <f>IF('Part III A-Sources of Funds'!$H$35="","",-FV('Part III A-Sources of Funds'!$J$35/12,12,G56/12,F69))</f>
        <v/>
      </c>
      <c r="H69" s="1572" t="str">
        <f>IF('Part III A-Sources of Funds'!$H$35="","",-FV('Part III A-Sources of Funds'!$J$35/12,12,H56/12,G69))</f>
        <v/>
      </c>
      <c r="I69" s="1572" t="str">
        <f>IF('Part III A-Sources of Funds'!$H$35="","",-FV('Part III A-Sources of Funds'!$J$35/12,12,I56/12,H69))</f>
        <v/>
      </c>
      <c r="J69" s="1572" t="str">
        <f>IF('Part III A-Sources of Funds'!$H$35="","",-FV('Part III A-Sources of Funds'!$J$35/12,12,J56/12,I69))</f>
        <v/>
      </c>
      <c r="K69" s="1572" t="str">
        <f>IF('Part III A-Sources of Funds'!$H$35="","",-FV('Part III A-Sources of Funds'!$J$35/12,12,K56/12,J69))</f>
        <v/>
      </c>
      <c r="M69" s="1462"/>
      <c r="N69" s="1463"/>
    </row>
    <row r="70" spans="1:14" ht="13.15" customHeight="1">
      <c r="A70" s="678" t="s">
        <v>3651</v>
      </c>
      <c r="B70" s="1572">
        <f>'Part III A-Sources of Funds'!$H$36</f>
        <v>0</v>
      </c>
      <c r="C70" s="1572">
        <f>B70</f>
        <v>0</v>
      </c>
      <c r="D70" s="1572">
        <f t="shared" ref="D70:K70" si="29">C70</f>
        <v>0</v>
      </c>
      <c r="E70" s="1572">
        <f t="shared" si="29"/>
        <v>0</v>
      </c>
      <c r="F70" s="1572">
        <f t="shared" si="29"/>
        <v>0</v>
      </c>
      <c r="G70" s="1572">
        <f t="shared" si="29"/>
        <v>0</v>
      </c>
      <c r="H70" s="1572">
        <f t="shared" si="29"/>
        <v>0</v>
      </c>
      <c r="I70" s="1572">
        <f t="shared" si="29"/>
        <v>0</v>
      </c>
      <c r="J70" s="1572">
        <f t="shared" si="29"/>
        <v>0</v>
      </c>
      <c r="K70" s="1572">
        <f t="shared" si="29"/>
        <v>0</v>
      </c>
      <c r="M70" s="1462"/>
      <c r="N70" s="1463"/>
    </row>
    <row r="71" spans="1:14" ht="13.15" customHeight="1">
      <c r="A71" s="29" t="s">
        <v>1776</v>
      </c>
      <c r="B71" s="1574">
        <f>IF('Part III A-Sources of Funds'!$H$37="","",-FV('Part III A-Sources of Funds'!$J$37/12,12,B59/12,K41))</f>
        <v>0</v>
      </c>
      <c r="C71" s="1574">
        <f>IF('Part III A-Sources of Funds'!$H$37="","",-FV('Part III A-Sources of Funds'!$J$37/12,12,C59/12,B71))</f>
        <v>0</v>
      </c>
      <c r="D71" s="1574">
        <f>IF('Part III A-Sources of Funds'!$H$37="","",-FV('Part III A-Sources of Funds'!$J$37/12,12,D59/12,C71))</f>
        <v>0</v>
      </c>
      <c r="E71" s="1574">
        <f>IF('Part III A-Sources of Funds'!$H$37="","",-FV('Part III A-Sources of Funds'!$J$37/12,12,E59/12,D71))</f>
        <v>0</v>
      </c>
      <c r="F71" s="1574">
        <f>IF('Part III A-Sources of Funds'!$H$37="","",-FV('Part III A-Sources of Funds'!$J$37/12,12,F59/12,E71))</f>
        <v>0</v>
      </c>
      <c r="G71" s="1574">
        <f>IF('Part III A-Sources of Funds'!$H$37="","",-FV('Part III A-Sources of Funds'!$J$37/12,12,G59/12,F71))</f>
        <v>0</v>
      </c>
      <c r="H71" s="1574">
        <f>IF('Part III A-Sources of Funds'!$H$37="","",-FV('Part III A-Sources of Funds'!$J$37/12,12,H59/12,G71))</f>
        <v>0</v>
      </c>
      <c r="I71" s="1574">
        <f>IF('Part III A-Sources of Funds'!$H$37="","",-FV('Part III A-Sources of Funds'!$J$37/12,12,I59/12,H71))</f>
        <v>0</v>
      </c>
      <c r="J71" s="1574">
        <f>IF('Part III A-Sources of Funds'!$H$37="","",-FV('Part III A-Sources of Funds'!$J$37/12,12,J59/12,I71))</f>
        <v>0</v>
      </c>
      <c r="K71" s="1574">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431804.42569214193</v>
      </c>
      <c r="C74" s="22">
        <f t="shared" si="31"/>
        <v>440440.51420598471</v>
      </c>
      <c r="D74" s="22">
        <f t="shared" si="31"/>
        <v>449249.32449010445</v>
      </c>
      <c r="E74" s="22">
        <f t="shared" si="31"/>
        <v>458234.31097990647</v>
      </c>
      <c r="F74" s="22">
        <f t="shared" si="31"/>
        <v>467398.99719950458</v>
      </c>
      <c r="G74" s="22">
        <f t="shared" si="31"/>
        <v>476746.9771434947</v>
      </c>
      <c r="H74" s="22">
        <f t="shared" si="31"/>
        <v>486281.91668636462</v>
      </c>
      <c r="I74" s="22">
        <f t="shared" si="31"/>
        <v>496007.55502009182</v>
      </c>
      <c r="J74" s="22">
        <f t="shared" si="31"/>
        <v>505927.70612049376</v>
      </c>
      <c r="K74" s="23">
        <f t="shared" si="31"/>
        <v>516046.26024290361</v>
      </c>
      <c r="M74" s="1460"/>
      <c r="N74" s="1461"/>
    </row>
    <row r="75" spans="1:14" ht="13.15" customHeight="1">
      <c r="A75" s="24" t="s">
        <v>1519</v>
      </c>
      <c r="B75" s="25">
        <f t="shared" ref="B75:K75" si="32">$B$15*(1+$B$5)^(B73-1)</f>
        <v>7703.1513007517888</v>
      </c>
      <c r="C75" s="25">
        <f t="shared" si="32"/>
        <v>7857.2143267668234</v>
      </c>
      <c r="D75" s="25">
        <f t="shared" si="32"/>
        <v>8014.3586133021608</v>
      </c>
      <c r="E75" s="25">
        <f t="shared" si="32"/>
        <v>8174.645785568202</v>
      </c>
      <c r="F75" s="25">
        <f t="shared" si="32"/>
        <v>8338.1387012795658</v>
      </c>
      <c r="G75" s="25">
        <f t="shared" si="32"/>
        <v>8504.9014753051579</v>
      </c>
      <c r="H75" s="25">
        <f t="shared" si="32"/>
        <v>8674.9995048112614</v>
      </c>
      <c r="I75" s="25">
        <f t="shared" si="32"/>
        <v>8848.4994949074862</v>
      </c>
      <c r="J75" s="25">
        <f t="shared" si="32"/>
        <v>9025.469484805637</v>
      </c>
      <c r="K75" s="26">
        <f t="shared" si="32"/>
        <v>9205.9788745017486</v>
      </c>
      <c r="M75" s="1462"/>
      <c r="N75" s="1463"/>
    </row>
    <row r="76" spans="1:14" ht="13.15" customHeight="1">
      <c r="A76" s="24" t="s">
        <v>3385</v>
      </c>
      <c r="B76" s="25">
        <f t="shared" ref="B76:K76" si="33">-(B74+B75)*$B$8</f>
        <v>-30765.530389502561</v>
      </c>
      <c r="C76" s="25">
        <f t="shared" si="33"/>
        <v>-31380.840997292613</v>
      </c>
      <c r="D76" s="25">
        <f t="shared" si="33"/>
        <v>-32008.457817238468</v>
      </c>
      <c r="E76" s="25">
        <f t="shared" si="33"/>
        <v>-32648.626973583232</v>
      </c>
      <c r="F76" s="25">
        <f t="shared" si="33"/>
        <v>-33301.599513054898</v>
      </c>
      <c r="G76" s="25">
        <f t="shared" si="33"/>
        <v>-33967.631503315992</v>
      </c>
      <c r="H76" s="25">
        <f t="shared" si="33"/>
        <v>-34646.984133382313</v>
      </c>
      <c r="I76" s="25">
        <f t="shared" si="33"/>
        <v>-35339.923816049959</v>
      </c>
      <c r="J76" s="25">
        <f t="shared" si="33"/>
        <v>-36046.722292370963</v>
      </c>
      <c r="K76" s="26">
        <f t="shared" si="33"/>
        <v>-36767.656738218378</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-254089.14682699708</v>
      </c>
      <c r="C79" s="25">
        <f t="shared" si="34"/>
        <v>-261711.82123180694</v>
      </c>
      <c r="D79" s="25">
        <f t="shared" si="34"/>
        <v>-269563.1758687612</v>
      </c>
      <c r="E79" s="25">
        <f t="shared" si="34"/>
        <v>-277650.07114482403</v>
      </c>
      <c r="F79" s="25">
        <f t="shared" si="34"/>
        <v>-285979.57327916869</v>
      </c>
      <c r="G79" s="25">
        <f t="shared" si="34"/>
        <v>-294558.96047754376</v>
      </c>
      <c r="H79" s="25">
        <f t="shared" si="34"/>
        <v>-303395.72929187014</v>
      </c>
      <c r="I79" s="25">
        <f t="shared" si="34"/>
        <v>-312497.60117062618</v>
      </c>
      <c r="J79" s="25">
        <f t="shared" si="34"/>
        <v>-321872.52920574497</v>
      </c>
      <c r="K79" s="26">
        <f t="shared" si="34"/>
        <v>-331528.70508191729</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-24525</v>
      </c>
      <c r="C80" s="25">
        <f>IF(AND('Part VII-Pro Forma'!$G$8="Yes",'Part VII-Pro Forma'!$G$9="Yes"),"Choose One!",IF('Part VII-Pro Forma'!$G$8="Yes",ROUND((-$K$8*(1+'Part VII-Pro Forma'!$B$6)^('Part VII-Pro Forma'!C73-1)),),IF('Part VII-Pro Forma'!$G$9="Yes",ROUND((-(SUM(C74:C77)*'Part VII-Pro Forma'!$K$9)),),"Choose mgt fee")))</f>
        <v>-25015</v>
      </c>
      <c r="D80" s="25">
        <f>IF(AND('Part VII-Pro Forma'!$G$8="Yes",'Part VII-Pro Forma'!$G$9="Yes"),"Choose One!",IF('Part VII-Pro Forma'!$G$8="Yes",ROUND((-$K$8*(1+'Part VII-Pro Forma'!$B$6)^('Part VII-Pro Forma'!D73-1)),),IF('Part VII-Pro Forma'!$G$9="Yes",ROUND((-(SUM(D74:D77)*'Part VII-Pro Forma'!$K$9)),),"Choose mgt fee")))</f>
        <v>-25515</v>
      </c>
      <c r="E80" s="25">
        <f>IF(AND('Part VII-Pro Forma'!$G$8="Yes",'Part VII-Pro Forma'!$G$9="Yes"),"Choose One!",IF('Part VII-Pro Forma'!$G$8="Yes",ROUND((-$K$8*(1+'Part VII-Pro Forma'!$B$6)^('Part VII-Pro Forma'!E73-1)),),IF('Part VII-Pro Forma'!$G$9="Yes",ROUND((-(SUM(E74:E77)*'Part VII-Pro Forma'!$K$9)),),"Choose mgt fee")))</f>
        <v>-26026</v>
      </c>
      <c r="F80" s="25">
        <f>IF(AND('Part VII-Pro Forma'!$G$8="Yes",'Part VII-Pro Forma'!$G$9="Yes"),"Choose One!",IF('Part VII-Pro Forma'!$G$8="Yes",ROUND((-$K$8*(1+'Part VII-Pro Forma'!$B$6)^('Part VII-Pro Forma'!F73-1)),),IF('Part VII-Pro Forma'!$G$9="Yes",ROUND((-(SUM(F74:F77)*'Part VII-Pro Forma'!$K$9)),),"Choose mgt fee")))</f>
        <v>-26546</v>
      </c>
      <c r="G80" s="25">
        <f>IF(AND('Part VII-Pro Forma'!$G$8="Yes",'Part VII-Pro Forma'!$G$9="Yes"),"Choose One!",IF('Part VII-Pro Forma'!$G$8="Yes",ROUND((-$K$8*(1+'Part VII-Pro Forma'!$B$6)^('Part VII-Pro Forma'!G73-1)),),IF('Part VII-Pro Forma'!$G$9="Yes",ROUND((-(SUM(G74:G77)*'Part VII-Pro Forma'!$K$9)),),"Choose mgt fee")))</f>
        <v>-27077</v>
      </c>
      <c r="H80" s="25">
        <f>IF(AND('Part VII-Pro Forma'!$G$8="Yes",'Part VII-Pro Forma'!$G$9="Yes"),"Choose One!",IF('Part VII-Pro Forma'!$G$8="Yes",ROUND((-$K$8*(1+'Part VII-Pro Forma'!$B$6)^('Part VII-Pro Forma'!H73-1)),),IF('Part VII-Pro Forma'!$G$9="Yes",ROUND((-(SUM(H74:H77)*'Part VII-Pro Forma'!$K$9)),),"Choose mgt fee")))</f>
        <v>-27619</v>
      </c>
      <c r="I80" s="25">
        <f>IF(AND('Part VII-Pro Forma'!$G$8="Yes",'Part VII-Pro Forma'!$G$9="Yes"),"Choose One!",IF('Part VII-Pro Forma'!$G$8="Yes",ROUND((-$K$8*(1+'Part VII-Pro Forma'!$B$6)^('Part VII-Pro Forma'!I73-1)),),IF('Part VII-Pro Forma'!$G$9="Yes",ROUND((-(SUM(I74:I77)*'Part VII-Pro Forma'!$K$9)),),"Choose mgt fee")))</f>
        <v>-28171</v>
      </c>
      <c r="J80" s="25">
        <f>IF(AND('Part VII-Pro Forma'!$G$8="Yes",'Part VII-Pro Forma'!$G$9="Yes"),"Choose One!",IF('Part VII-Pro Forma'!$G$8="Yes",ROUND((-$K$8*(1+'Part VII-Pro Forma'!$B$6)^('Part VII-Pro Forma'!J73-1)),),IF('Part VII-Pro Forma'!$G$9="Yes",ROUND((-(SUM(J74:J77)*'Part VII-Pro Forma'!$K$9)),),"Choose mgt fee")))</f>
        <v>-28734</v>
      </c>
      <c r="K80" s="25">
        <f>IF(AND('Part VII-Pro Forma'!$G$8="Yes",'Part VII-Pro Forma'!$G$9="Yes"),"Choose One!",IF('Part VII-Pro Forma'!$G$8="Yes",ROUND((-$K$8*(1+'Part VII-Pro Forma'!$B$6)^('Part VII-Pro Forma'!K73-1)),),IF('Part VII-Pro Forma'!$G$9="Yes",ROUND((-(SUM(K74:K77)*'Part VII-Pro Forma'!$K$9)),),"Choose mgt fee")))</f>
        <v>-29309</v>
      </c>
      <c r="M80" s="1462"/>
      <c r="N80" s="1463"/>
    </row>
    <row r="81" spans="1:14" ht="13.15" customHeight="1">
      <c r="A81" s="24" t="s">
        <v>1739</v>
      </c>
      <c r="B81" s="25">
        <f t="shared" ref="B81:K81" si="35">$B$21*(1+$B$7)^(B73-1)</f>
        <v>-36411.202490935371</v>
      </c>
      <c r="C81" s="25">
        <f t="shared" si="35"/>
        <v>-37503.538565663424</v>
      </c>
      <c r="D81" s="25">
        <f t="shared" si="35"/>
        <v>-38628.644722633333</v>
      </c>
      <c r="E81" s="25">
        <f t="shared" si="35"/>
        <v>-39787.504064312336</v>
      </c>
      <c r="F81" s="25">
        <f t="shared" si="35"/>
        <v>-40981.129186241698</v>
      </c>
      <c r="G81" s="25">
        <f t="shared" si="35"/>
        <v>-42210.563061828951</v>
      </c>
      <c r="H81" s="25">
        <f t="shared" si="35"/>
        <v>-43476.879953683827</v>
      </c>
      <c r="I81" s="25">
        <f t="shared" si="35"/>
        <v>-44781.186352294339</v>
      </c>
      <c r="J81" s="25">
        <f t="shared" si="35"/>
        <v>-46124.621942863167</v>
      </c>
      <c r="K81" s="26">
        <f t="shared" si="35"/>
        <v>-47508.360601149056</v>
      </c>
      <c r="M81" s="1462"/>
      <c r="N81" s="1463"/>
    </row>
    <row r="82" spans="1:14" ht="13.15" customHeight="1">
      <c r="A82" s="24" t="s">
        <v>1740</v>
      </c>
      <c r="B82" s="25">
        <f t="shared" ref="B82:K82" si="36">SUM(B74:B81)</f>
        <v>93716.697285458678</v>
      </c>
      <c r="C82" s="25">
        <f t="shared" si="36"/>
        <v>92686.527737988596</v>
      </c>
      <c r="D82" s="25">
        <f t="shared" si="36"/>
        <v>91548.404694773635</v>
      </c>
      <c r="E82" s="25">
        <f t="shared" si="36"/>
        <v>90296.754582755078</v>
      </c>
      <c r="F82" s="25">
        <f t="shared" si="36"/>
        <v>88928.833922318896</v>
      </c>
      <c r="G82" s="25">
        <f t="shared" si="36"/>
        <v>87437.723576111137</v>
      </c>
      <c r="H82" s="25">
        <f t="shared" si="36"/>
        <v>85818.322812239581</v>
      </c>
      <c r="I82" s="25">
        <f t="shared" si="36"/>
        <v>84066.343176028866</v>
      </c>
      <c r="J82" s="25">
        <f t="shared" si="36"/>
        <v>82175.30216432031</v>
      </c>
      <c r="K82" s="26">
        <f t="shared" si="36"/>
        <v>80138.516696120641</v>
      </c>
      <c r="M82" s="1462"/>
      <c r="N82" s="1463"/>
    </row>
    <row r="83" spans="1:14" ht="13.15" customHeight="1">
      <c r="A83" s="24" t="str">
        <f>$A53</f>
        <v>Mortgage A</v>
      </c>
      <c r="B83" s="1571">
        <f>IF('Part III A-Sources of Funds'!$M$32="", 0,-'Part III A-Sources of Funds'!$M$32)</f>
        <v>-62778</v>
      </c>
      <c r="C83" s="1571">
        <f>IF('Part III A-Sources of Funds'!$M$32="", 0,-'Part III A-Sources of Funds'!$M$32)</f>
        <v>-62778</v>
      </c>
      <c r="D83" s="1571">
        <f>IF('Part III A-Sources of Funds'!$M$32="", 0,-'Part III A-Sources of Funds'!$M$32)</f>
        <v>-62778</v>
      </c>
      <c r="E83" s="1571">
        <f>IF('Part III A-Sources of Funds'!$M$32="", 0,-'Part III A-Sources of Funds'!$M$32)</f>
        <v>-62778</v>
      </c>
      <c r="F83" s="1571">
        <f>IF('Part III A-Sources of Funds'!$M$32="", 0,-'Part III A-Sources of Funds'!$M$32)</f>
        <v>-62778</v>
      </c>
      <c r="G83" s="1571">
        <f>IF('Part III A-Sources of Funds'!$M$32="", 0,-'Part III A-Sources of Funds'!$M$32)</f>
        <v>-62778</v>
      </c>
      <c r="H83" s="1571">
        <f>IF('Part III A-Sources of Funds'!$M$32="", 0,-'Part III A-Sources of Funds'!$M$32)</f>
        <v>-62778</v>
      </c>
      <c r="I83" s="1571">
        <f>IF('Part III A-Sources of Funds'!$M$32="", 0,-'Part III A-Sources of Funds'!$M$32)</f>
        <v>-62778</v>
      </c>
      <c r="J83" s="1571">
        <f>IF('Part III A-Sources of Funds'!$M$32="", 0,-'Part III A-Sources of Funds'!$M$32)</f>
        <v>-62778</v>
      </c>
      <c r="K83" s="1571">
        <f>IF('Part III A-Sources of Funds'!$M$32="", 0,-'Part III A-Sources of Funds'!$M$32)</f>
        <v>-62778</v>
      </c>
      <c r="M83" s="1462"/>
      <c r="N83" s="1463"/>
    </row>
    <row r="84" spans="1:14" ht="13.15" customHeight="1">
      <c r="A84" s="24" t="str">
        <f>$A54</f>
        <v>Mortgage B</v>
      </c>
      <c r="B84" s="1572">
        <f>IF('Part III A-Sources of Funds'!$M$33="", 0,-'Part III A-Sources of Funds'!$M$33)</f>
        <v>0</v>
      </c>
      <c r="C84" s="1572">
        <f>IF('Part III A-Sources of Funds'!$M$33="", 0,-'Part III A-Sources of Funds'!$M$33)</f>
        <v>0</v>
      </c>
      <c r="D84" s="1572">
        <f>IF('Part III A-Sources of Funds'!$M$33="", 0,-'Part III A-Sources of Funds'!$M$33)</f>
        <v>0</v>
      </c>
      <c r="E84" s="1572">
        <f>IF('Part III A-Sources of Funds'!$M$33="", 0,-'Part III A-Sources of Funds'!$M$33)</f>
        <v>0</v>
      </c>
      <c r="F84" s="1572">
        <f>IF('Part III A-Sources of Funds'!$M$33="", 0,-'Part III A-Sources of Funds'!$M$33)</f>
        <v>0</v>
      </c>
      <c r="G84" s="1572">
        <f>IF('Part III A-Sources of Funds'!$M$33="", 0,-'Part III A-Sources of Funds'!$M$33)</f>
        <v>0</v>
      </c>
      <c r="H84" s="1572">
        <f>IF('Part III A-Sources of Funds'!$M$33="", 0,-'Part III A-Sources of Funds'!$M$33)</f>
        <v>0</v>
      </c>
      <c r="I84" s="1572">
        <f>IF('Part III A-Sources of Funds'!$M$33="", 0,-'Part III A-Sources of Funds'!$M$33)</f>
        <v>0</v>
      </c>
      <c r="J84" s="1572">
        <f>IF('Part III A-Sources of Funds'!$M$33="", 0,-'Part III A-Sources of Funds'!$M$33)</f>
        <v>0</v>
      </c>
      <c r="K84" s="1572">
        <f>IF('Part III A-Sources of Funds'!$M$33="", 0,-'Part III A-Sources of Funds'!$M$33)</f>
        <v>0</v>
      </c>
      <c r="M84" s="1462"/>
      <c r="N84" s="1463"/>
    </row>
    <row r="85" spans="1:14" ht="13.15" customHeight="1">
      <c r="A85" s="24" t="str">
        <f>$A55</f>
        <v>Mortgage C</v>
      </c>
      <c r="B85" s="1572">
        <f>IF('Part III A-Sources of Funds'!$M$34="", 0,-'Part III A-Sources of Funds'!$M$34)</f>
        <v>0</v>
      </c>
      <c r="C85" s="1572">
        <f>IF('Part III A-Sources of Funds'!$M$34="", 0,-'Part III A-Sources of Funds'!$M$34)</f>
        <v>0</v>
      </c>
      <c r="D85" s="1572">
        <f>IF('Part III A-Sources of Funds'!$M$34="", 0,-'Part III A-Sources of Funds'!$M$34)</f>
        <v>0</v>
      </c>
      <c r="E85" s="1572">
        <f>IF('Part III A-Sources of Funds'!$M$34="", 0,-'Part III A-Sources of Funds'!$M$34)</f>
        <v>0</v>
      </c>
      <c r="F85" s="1572">
        <f>IF('Part III A-Sources of Funds'!$M$34="", 0,-'Part III A-Sources of Funds'!$M$34)</f>
        <v>0</v>
      </c>
      <c r="G85" s="1572">
        <f>IF('Part III A-Sources of Funds'!$M$34="", 0,-'Part III A-Sources of Funds'!$M$34)</f>
        <v>0</v>
      </c>
      <c r="H85" s="1572">
        <f>IF('Part III A-Sources of Funds'!$M$34="", 0,-'Part III A-Sources of Funds'!$M$34)</f>
        <v>0</v>
      </c>
      <c r="I85" s="1572">
        <f>IF('Part III A-Sources of Funds'!$M$34="", 0,-'Part III A-Sources of Funds'!$M$34)</f>
        <v>0</v>
      </c>
      <c r="J85" s="1572">
        <f>IF('Part III A-Sources of Funds'!$M$34="", 0,-'Part III A-Sources of Funds'!$M$34)</f>
        <v>0</v>
      </c>
      <c r="K85" s="1572">
        <f>IF('Part III A-Sources of Funds'!$M$34="", 0,-'Part III A-Sources of Funds'!$M$34)</f>
        <v>0</v>
      </c>
      <c r="M85" s="1462"/>
      <c r="N85" s="1463"/>
    </row>
    <row r="86" spans="1:14" ht="13.15" customHeight="1">
      <c r="A86" s="24" t="str">
        <f>$A56</f>
        <v>D/S Other Source</v>
      </c>
      <c r="B86" s="1572">
        <f>IF('Part III A-Sources of Funds'!$M$35="", 0,-'Part III A-Sources of Funds'!$M$35)</f>
        <v>0</v>
      </c>
      <c r="C86" s="1572">
        <f>IF('Part III A-Sources of Funds'!$M$35="", 0,-'Part III A-Sources of Funds'!$M$35)</f>
        <v>0</v>
      </c>
      <c r="D86" s="1572">
        <f>IF('Part III A-Sources of Funds'!$M$35="", 0,-'Part III A-Sources of Funds'!$M$35)</f>
        <v>0</v>
      </c>
      <c r="E86" s="1572">
        <f>IF('Part III A-Sources of Funds'!$M$35="", 0,-'Part III A-Sources of Funds'!$M$35)</f>
        <v>0</v>
      </c>
      <c r="F86" s="1572">
        <f>IF('Part III A-Sources of Funds'!$M$35="", 0,-'Part III A-Sources of Funds'!$M$35)</f>
        <v>0</v>
      </c>
      <c r="G86" s="1572">
        <f>IF('Part III A-Sources of Funds'!$M$35="", 0,-'Part III A-Sources of Funds'!$M$35)</f>
        <v>0</v>
      </c>
      <c r="H86" s="1572">
        <f>IF('Part III A-Sources of Funds'!$M$35="", 0,-'Part III A-Sources of Funds'!$M$35)</f>
        <v>0</v>
      </c>
      <c r="I86" s="1572">
        <f>IF('Part III A-Sources of Funds'!$M$35="", 0,-'Part III A-Sources of Funds'!$M$35)</f>
        <v>0</v>
      </c>
      <c r="J86" s="1572">
        <f>IF('Part III A-Sources of Funds'!$M$35="", 0,-'Part III A-Sources of Funds'!$M$35)</f>
        <v>0</v>
      </c>
      <c r="K86" s="1572">
        <f>IF('Part III A-Sources of Funds'!$M$35="", 0,-'Part III A-Sources of Funds'!$M$35)</f>
        <v>0</v>
      </c>
      <c r="M86" s="1462"/>
      <c r="N86" s="1463"/>
    </row>
    <row r="87" spans="1:14" ht="13.15" customHeight="1">
      <c r="A87" s="24" t="s">
        <v>1241</v>
      </c>
      <c r="B87" s="1573"/>
      <c r="C87" s="1573"/>
      <c r="D87" s="1573"/>
      <c r="E87" s="1573"/>
      <c r="F87" s="1573"/>
      <c r="G87" s="1573"/>
      <c r="H87" s="1573"/>
      <c r="I87" s="1573"/>
      <c r="J87" s="1573"/>
      <c r="K87" s="1573"/>
      <c r="M87" s="1462"/>
      <c r="N87" s="1463"/>
    </row>
    <row r="88" spans="1:14" ht="13.15" customHeight="1">
      <c r="A88" s="24" t="s">
        <v>1686</v>
      </c>
      <c r="B88" s="1572">
        <f>K58*1.03</f>
        <v>0</v>
      </c>
      <c r="C88" s="1572">
        <f>B88*1.03</f>
        <v>0</v>
      </c>
      <c r="D88" s="1572">
        <f t="shared" ref="D88:K88" si="37">C88*1.03</f>
        <v>0</v>
      </c>
      <c r="E88" s="1572">
        <f t="shared" si="37"/>
        <v>0</v>
      </c>
      <c r="F88" s="1572">
        <f t="shared" si="37"/>
        <v>0</v>
      </c>
      <c r="G88" s="1572">
        <f t="shared" si="37"/>
        <v>0</v>
      </c>
      <c r="H88" s="1572">
        <f t="shared" si="37"/>
        <v>0</v>
      </c>
      <c r="I88" s="1572">
        <f t="shared" si="37"/>
        <v>0</v>
      </c>
      <c r="J88" s="1572">
        <f t="shared" si="37"/>
        <v>0</v>
      </c>
      <c r="K88" s="1572">
        <f t="shared" si="37"/>
        <v>0</v>
      </c>
      <c r="M88" s="1462"/>
      <c r="N88" s="1463"/>
    </row>
    <row r="89" spans="1:14" ht="13.15" customHeight="1">
      <c r="A89" s="24" t="s">
        <v>1741</v>
      </c>
      <c r="B89" s="1574">
        <f>IF('Part III A-Sources of Funds'!$M$37="", 0,-'Part III A-Sources of Funds'!$M$37)</f>
        <v>0</v>
      </c>
      <c r="C89" s="1574">
        <f>IF('Part III A-Sources of Funds'!$M$37="", 0,-'Part III A-Sources of Funds'!$M$37)</f>
        <v>0</v>
      </c>
      <c r="D89" s="1574">
        <f>IF('Part III A-Sources of Funds'!$M$37="", 0,-'Part III A-Sources of Funds'!$M$37)</f>
        <v>0</v>
      </c>
      <c r="E89" s="1574">
        <f>IF('Part III A-Sources of Funds'!$M$37="", 0,-'Part III A-Sources of Funds'!$M$37)</f>
        <v>0</v>
      </c>
      <c r="F89" s="1574">
        <f>IF('Part III A-Sources of Funds'!$M$37="", 0,-'Part III A-Sources of Funds'!$M$37)</f>
        <v>0</v>
      </c>
      <c r="G89" s="1574">
        <f>IF('Part III A-Sources of Funds'!$M$37="", 0,-'Part III A-Sources of Funds'!$M$37)</f>
        <v>0</v>
      </c>
      <c r="H89" s="1574">
        <f>IF('Part III A-Sources of Funds'!$M$37="", 0,-'Part III A-Sources of Funds'!$M$37)</f>
        <v>0</v>
      </c>
      <c r="I89" s="1574">
        <f>IF('Part III A-Sources of Funds'!$M$37="", 0,-'Part III A-Sources of Funds'!$M$37)</f>
        <v>0</v>
      </c>
      <c r="J89" s="1574">
        <f>IF('Part III A-Sources of Funds'!$M$37="", 0,-'Part III A-Sources of Funds'!$M$37)</f>
        <v>0</v>
      </c>
      <c r="K89" s="1572">
        <f>IF('Part III A-Sources of Funds'!$M$37="", 0,-'Part III A-Sources of Funds'!$M$37)</f>
        <v>0</v>
      </c>
      <c r="M89" s="1462"/>
      <c r="N89" s="1463"/>
    </row>
    <row r="90" spans="1:14" ht="13.15" customHeight="1">
      <c r="A90" s="24" t="s">
        <v>1687</v>
      </c>
      <c r="B90" s="25">
        <f t="shared" ref="B90:K90" si="38">SUM(B82:B89)</f>
        <v>30938.697285458678</v>
      </c>
      <c r="C90" s="25">
        <f t="shared" si="38"/>
        <v>29908.527737988596</v>
      </c>
      <c r="D90" s="25">
        <f t="shared" si="38"/>
        <v>28770.404694773635</v>
      </c>
      <c r="E90" s="25">
        <f t="shared" si="38"/>
        <v>27518.754582755078</v>
      </c>
      <c r="F90" s="25">
        <f t="shared" si="38"/>
        <v>26150.833922318896</v>
      </c>
      <c r="G90" s="25">
        <f t="shared" si="38"/>
        <v>24659.723576111137</v>
      </c>
      <c r="H90" s="25">
        <f t="shared" si="38"/>
        <v>23040.322812239581</v>
      </c>
      <c r="I90" s="25">
        <f t="shared" si="38"/>
        <v>21288.343176028866</v>
      </c>
      <c r="J90" s="25">
        <f t="shared" si="38"/>
        <v>19397.30216432031</v>
      </c>
      <c r="K90" s="23">
        <f t="shared" si="38"/>
        <v>17360.516696120641</v>
      </c>
      <c r="M90" s="1462"/>
      <c r="N90" s="1463"/>
    </row>
    <row r="91" spans="1:14" ht="13.15" customHeight="1">
      <c r="A91" s="24" t="str">
        <f>$A61</f>
        <v>DCR Mortgage A</v>
      </c>
      <c r="B91" s="27">
        <f>IF(B83=0,"",-B82/B83)</f>
        <v>1.4928270617964681</v>
      </c>
      <c r="C91" s="27">
        <f t="shared" ref="C91:K91" si="39">IF(C83=0,"",-C82/C83)</f>
        <v>1.4764173394818025</v>
      </c>
      <c r="D91" s="27">
        <f t="shared" si="39"/>
        <v>1.458288010047686</v>
      </c>
      <c r="E91" s="27">
        <f t="shared" si="39"/>
        <v>1.4383502912286961</v>
      </c>
      <c r="F91" s="27">
        <f t="shared" si="39"/>
        <v>1.416560481734348</v>
      </c>
      <c r="G91" s="27">
        <f t="shared" si="39"/>
        <v>1.3928083656075558</v>
      </c>
      <c r="H91" s="27">
        <f t="shared" si="39"/>
        <v>1.3670126925394179</v>
      </c>
      <c r="I91" s="27">
        <f t="shared" si="39"/>
        <v>1.3391051511043497</v>
      </c>
      <c r="J91" s="27">
        <f t="shared" si="39"/>
        <v>1.3089824805556136</v>
      </c>
      <c r="K91" s="28">
        <f t="shared" si="39"/>
        <v>1.2765382251126294</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1.2974893845475182</v>
      </c>
      <c r="C95" s="378">
        <f t="shared" ref="C95:K95" si="43">IF(OR(C80="Choose mgt fee",C80="Choose One!"),"",(C74+C75+C76+C77+C78) / -(C79+C80+C81))</f>
        <v>1.2858662828363296</v>
      </c>
      <c r="D95" s="378">
        <f t="shared" si="43"/>
        <v>1.274337829033676</v>
      </c>
      <c r="E95" s="378">
        <f t="shared" si="43"/>
        <v>1.2629005259954365</v>
      </c>
      <c r="F95" s="378">
        <f t="shared" si="43"/>
        <v>1.2515619457908873</v>
      </c>
      <c r="G95" s="378">
        <f t="shared" si="43"/>
        <v>1.2403148523326464</v>
      </c>
      <c r="H95" s="378">
        <f t="shared" si="43"/>
        <v>1.2291595344021942</v>
      </c>
      <c r="I95" s="378">
        <f t="shared" si="43"/>
        <v>1.2180993371828748</v>
      </c>
      <c r="J95" s="378">
        <f t="shared" si="43"/>
        <v>1.207130954870592</v>
      </c>
      <c r="K95" s="379">
        <f t="shared" si="43"/>
        <v>1.1962514725397633</v>
      </c>
      <c r="M95" s="1462"/>
      <c r="N95" s="1463"/>
    </row>
    <row r="96" spans="1:14" ht="13.15" customHeight="1">
      <c r="A96" s="678" t="s">
        <v>3666</v>
      </c>
      <c r="B96" s="1575">
        <f>IF('Part III A-Sources of Funds'!$H$32="","",-FV('Part III A-Sources of Funds'!$J$32/12,12,B83/12,K66))</f>
        <v>540095.03210696543</v>
      </c>
      <c r="C96" s="1575">
        <f>IF('Part III A-Sources of Funds'!$H$32="","",-FV('Part III A-Sources of Funds'!$J$32/12,12,C83/12,B96))</f>
        <v>482454.27241733042</v>
      </c>
      <c r="D96" s="1575">
        <f>IF('Part III A-Sources of Funds'!$H$32="","",-FV('Part III A-Sources of Funds'!$J$32/12,12,D83/12,C96))</f>
        <v>424234.45591034589</v>
      </c>
      <c r="E96" s="1575">
        <f>IF('Part III A-Sources of Funds'!$H$32="","",-FV('Part III A-Sources of Funds'!$J$32/12,12,E83/12,D96))</f>
        <v>365429.7654038734</v>
      </c>
      <c r="F96" s="1575">
        <f>IF('Part III A-Sources of Funds'!$H$32="","",-FV('Part III A-Sources of Funds'!$J$32/12,12,F83/12,E96))</f>
        <v>306034.32527659013</v>
      </c>
      <c r="G96" s="1575">
        <f>IF('Part III A-Sources of Funds'!$H$32="","",-FV('Part III A-Sources of Funds'!$J$32/12,12,G83/12,F96))</f>
        <v>246042.20088091126</v>
      </c>
      <c r="H96" s="1575">
        <f>IF('Part III A-Sources of Funds'!$H$32="","",-FV('Part III A-Sources of Funds'!$J$32/12,12,H83/12,G96))</f>
        <v>185447.39795001451</v>
      </c>
      <c r="I96" s="1575">
        <f>IF('Part III A-Sources of Funds'!$H$32="","",-FV('Part III A-Sources of Funds'!$J$32/12,12,I83/12,H96))</f>
        <v>124243.86199890757</v>
      </c>
      <c r="J96" s="1575">
        <f>IF('Part III A-Sources of Funds'!$H$32="","",-FV('Part III A-Sources of Funds'!$J$32/12,12,J83/12,I96))</f>
        <v>62425.477719478658</v>
      </c>
      <c r="K96" s="1575">
        <f>IF('Part III A-Sources of Funds'!$H$32="","",-FV('Part III A-Sources of Funds'!$J$32/12,12,K83/12,J96))</f>
        <v>-13.931630530089024</v>
      </c>
      <c r="M96" s="1462"/>
      <c r="N96" s="1463"/>
    </row>
    <row r="97" spans="1:14" ht="13.15" customHeight="1">
      <c r="A97" s="678" t="s">
        <v>3667</v>
      </c>
      <c r="B97" s="1572" t="str">
        <f>IF('Part III A-Sources of Funds'!$H$33="","",-FV('Part III A-Sources of Funds'!$J$33/12,12,B84/12,K67))</f>
        <v/>
      </c>
      <c r="C97" s="1572" t="str">
        <f>IF('Part III A-Sources of Funds'!$H$33="","",-FV('Part III A-Sources of Funds'!$J$33/12,12,C84/12,B97))</f>
        <v/>
      </c>
      <c r="D97" s="1572" t="str">
        <f>IF('Part III A-Sources of Funds'!$H$33="","",-FV('Part III A-Sources of Funds'!$J$33/12,12,D84/12,C97))</f>
        <v/>
      </c>
      <c r="E97" s="1572" t="str">
        <f>IF('Part III A-Sources of Funds'!$H$33="","",-FV('Part III A-Sources of Funds'!$J$33/12,12,E84/12,D97))</f>
        <v/>
      </c>
      <c r="F97" s="1572" t="str">
        <f>IF('Part III A-Sources of Funds'!$H$33="","",-FV('Part III A-Sources of Funds'!$J$33/12,12,F84/12,E97))</f>
        <v/>
      </c>
      <c r="G97" s="1572" t="str">
        <f>IF('Part III A-Sources of Funds'!$H$33="","",-FV('Part III A-Sources of Funds'!$J$33/12,12,G84/12,F97))</f>
        <v/>
      </c>
      <c r="H97" s="1572" t="str">
        <f>IF('Part III A-Sources of Funds'!$H$33="","",-FV('Part III A-Sources of Funds'!$J$33/12,12,H84/12,G97))</f>
        <v/>
      </c>
      <c r="I97" s="1572" t="str">
        <f>IF('Part III A-Sources of Funds'!$H$33="","",-FV('Part III A-Sources of Funds'!$J$33/12,12,I84/12,H97))</f>
        <v/>
      </c>
      <c r="J97" s="1572" t="str">
        <f>IF('Part III A-Sources of Funds'!$H$33="","",-FV('Part III A-Sources of Funds'!$J$33/12,12,J84/12,I97))</f>
        <v/>
      </c>
      <c r="K97" s="1572" t="str">
        <f>IF('Part III A-Sources of Funds'!$H$33="","",-FV('Part III A-Sources of Funds'!$J$33/12,12,K84/12,J97))</f>
        <v/>
      </c>
      <c r="M97" s="1462"/>
      <c r="N97" s="1463"/>
    </row>
    <row r="98" spans="1:14" ht="13.15" customHeight="1">
      <c r="A98" s="678" t="s">
        <v>3668</v>
      </c>
      <c r="B98" s="1572" t="str">
        <f>IF('Part III A-Sources of Funds'!$H$34="","",-FV('Part III A-Sources of Funds'!$J$34/12,12,B85/12,K68))</f>
        <v/>
      </c>
      <c r="C98" s="1572" t="str">
        <f>IF('Part III A-Sources of Funds'!$H$34="","",-FV('Part III A-Sources of Funds'!$J$34/12,12,C85/12,B98))</f>
        <v/>
      </c>
      <c r="D98" s="1572" t="str">
        <f>IF('Part III A-Sources of Funds'!$H$34="","",-FV('Part III A-Sources of Funds'!$J$34/12,12,D85/12,C98))</f>
        <v/>
      </c>
      <c r="E98" s="1572" t="str">
        <f>IF('Part III A-Sources of Funds'!$H$34="","",-FV('Part III A-Sources of Funds'!$J$34/12,12,E85/12,D98))</f>
        <v/>
      </c>
      <c r="F98" s="1572" t="str">
        <f>IF('Part III A-Sources of Funds'!$H$34="","",-FV('Part III A-Sources of Funds'!$J$34/12,12,F85/12,E98))</f>
        <v/>
      </c>
      <c r="G98" s="1572" t="str">
        <f>IF('Part III A-Sources of Funds'!$H$34="","",-FV('Part III A-Sources of Funds'!$J$34/12,12,G85/12,F98))</f>
        <v/>
      </c>
      <c r="H98" s="1572" t="str">
        <f>IF('Part III A-Sources of Funds'!$H$34="","",-FV('Part III A-Sources of Funds'!$J$34/12,12,H85/12,G98))</f>
        <v/>
      </c>
      <c r="I98" s="1572" t="str">
        <f>IF('Part III A-Sources of Funds'!$H$34="","",-FV('Part III A-Sources of Funds'!$J$34/12,12,I85/12,H98))</f>
        <v/>
      </c>
      <c r="J98" s="1572" t="str">
        <f>IF('Part III A-Sources of Funds'!$H$34="","",-FV('Part III A-Sources of Funds'!$J$34/12,12,J85/12,I98))</f>
        <v/>
      </c>
      <c r="K98" s="1572" t="str">
        <f>IF('Part III A-Sources of Funds'!$H$34="","",-FV('Part III A-Sources of Funds'!$J$34/12,12,K85/12,J98))</f>
        <v/>
      </c>
      <c r="M98" s="1462"/>
      <c r="N98" s="1463"/>
    </row>
    <row r="99" spans="1:14" ht="13.15" customHeight="1">
      <c r="A99" s="24" t="s">
        <v>1268</v>
      </c>
      <c r="B99" s="1572" t="str">
        <f>IF('Part III A-Sources of Funds'!$H$35="","",-FV('Part III A-Sources of Funds'!$J$35/12,12,B86/12,K69))</f>
        <v/>
      </c>
      <c r="C99" s="1572" t="str">
        <f>IF('Part III A-Sources of Funds'!$H$35="","",-FV('Part III A-Sources of Funds'!$J$35/12,12,C86/12,B99))</f>
        <v/>
      </c>
      <c r="D99" s="1572" t="str">
        <f>IF('Part III A-Sources of Funds'!$H$35="","",-FV('Part III A-Sources of Funds'!$J$35/12,12,D86/12,C99))</f>
        <v/>
      </c>
      <c r="E99" s="1572" t="str">
        <f>IF('Part III A-Sources of Funds'!$H$35="","",-FV('Part III A-Sources of Funds'!$J$35/12,12,E86/12,D99))</f>
        <v/>
      </c>
      <c r="F99" s="1572" t="str">
        <f>IF('Part III A-Sources of Funds'!$H$35="","",-FV('Part III A-Sources of Funds'!$J$35/12,12,F86/12,E99))</f>
        <v/>
      </c>
      <c r="G99" s="1572" t="str">
        <f>IF('Part III A-Sources of Funds'!$H$35="","",-FV('Part III A-Sources of Funds'!$J$35/12,12,G86/12,F99))</f>
        <v/>
      </c>
      <c r="H99" s="1572" t="str">
        <f>IF('Part III A-Sources of Funds'!$H$35="","",-FV('Part III A-Sources of Funds'!$J$35/12,12,H86/12,G99))</f>
        <v/>
      </c>
      <c r="I99" s="1572" t="str">
        <f>IF('Part III A-Sources of Funds'!$H$35="","",-FV('Part III A-Sources of Funds'!$J$35/12,12,I86/12,H99))</f>
        <v/>
      </c>
      <c r="J99" s="1572" t="str">
        <f>IF('Part III A-Sources of Funds'!$H$35="","",-FV('Part III A-Sources of Funds'!$J$35/12,12,J86/12,I99))</f>
        <v/>
      </c>
      <c r="K99" s="1572" t="str">
        <f>IF('Part III A-Sources of Funds'!$H$35="","",-FV('Part III A-Sources of Funds'!$J$35/12,12,K86/12,J99))</f>
        <v/>
      </c>
      <c r="M99" s="1462"/>
      <c r="N99" s="1463"/>
    </row>
    <row r="100" spans="1:14" ht="13.15" customHeight="1">
      <c r="A100" s="678" t="s">
        <v>3651</v>
      </c>
      <c r="B100" s="1572">
        <f>'Part III A-Sources of Funds'!$H$36</f>
        <v>0</v>
      </c>
      <c r="C100" s="1572">
        <f>B100</f>
        <v>0</v>
      </c>
      <c r="D100" s="1572">
        <f t="shared" ref="D100:K100" si="44">C100</f>
        <v>0</v>
      </c>
      <c r="E100" s="1572">
        <f t="shared" si="44"/>
        <v>0</v>
      </c>
      <c r="F100" s="1572">
        <f t="shared" si="44"/>
        <v>0</v>
      </c>
      <c r="G100" s="1572">
        <f t="shared" si="44"/>
        <v>0</v>
      </c>
      <c r="H100" s="1572">
        <f t="shared" si="44"/>
        <v>0</v>
      </c>
      <c r="I100" s="1572">
        <f t="shared" si="44"/>
        <v>0</v>
      </c>
      <c r="J100" s="1572">
        <f t="shared" si="44"/>
        <v>0</v>
      </c>
      <c r="K100" s="1572">
        <f t="shared" si="44"/>
        <v>0</v>
      </c>
      <c r="M100" s="1462"/>
      <c r="N100" s="1463"/>
    </row>
    <row r="101" spans="1:14" ht="13.15" customHeight="1">
      <c r="A101" s="29" t="s">
        <v>1776</v>
      </c>
      <c r="B101" s="1574">
        <f>IF('Part III A-Sources of Funds'!$H$37="","",-FV('Part III A-Sources of Funds'!$J$37/12,12,B89/12,K71))</f>
        <v>0</v>
      </c>
      <c r="C101" s="1574">
        <f>IF('Part III A-Sources of Funds'!$H$37="","",-FV('Part III A-Sources of Funds'!$J$37/12,12,C89/12,B101))</f>
        <v>0</v>
      </c>
      <c r="D101" s="1574">
        <f>IF('Part III A-Sources of Funds'!$H$37="","",-FV('Part III A-Sources of Funds'!$J$37/12,12,D89/12,C101))</f>
        <v>0</v>
      </c>
      <c r="E101" s="1574">
        <f>IF('Part III A-Sources of Funds'!$H$37="","",-FV('Part III A-Sources of Funds'!$J$37/12,12,E89/12,D101))</f>
        <v>0</v>
      </c>
      <c r="F101" s="1574">
        <f>IF('Part III A-Sources of Funds'!$H$37="","",-FV('Part III A-Sources of Funds'!$J$37/12,12,F89/12,E101))</f>
        <v>0</v>
      </c>
      <c r="G101" s="1574">
        <f>IF('Part III A-Sources of Funds'!$H$37="","",-FV('Part III A-Sources of Funds'!$J$37/12,12,G89/12,F101))</f>
        <v>0</v>
      </c>
      <c r="H101" s="1574">
        <f>IF('Part III A-Sources of Funds'!$H$37="","",-FV('Part III A-Sources of Funds'!$J$37/12,12,H89/12,G101))</f>
        <v>0</v>
      </c>
      <c r="I101" s="1574">
        <f>IF('Part III A-Sources of Funds'!$H$37="","",-FV('Part III A-Sources of Funds'!$J$37/12,12,I89/12,H101))</f>
        <v>0</v>
      </c>
      <c r="J101" s="1574">
        <f>IF('Part III A-Sources of Funds'!$H$37="","",-FV('Part III A-Sources of Funds'!$J$37/12,12,J89/12,I101))</f>
        <v>0</v>
      </c>
      <c r="K101" s="1574">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6"/>
      <c r="C106" s="1576"/>
      <c r="D106" s="1576"/>
      <c r="E106" s="1576"/>
      <c r="F106" s="1577"/>
      <c r="G106" s="1363"/>
      <c r="H106" s="1576"/>
      <c r="I106" s="1576"/>
      <c r="J106" s="1576"/>
      <c r="K106" s="1577"/>
      <c r="M106" s="952" t="s">
        <v>3965</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topLeftCell="A272" zoomScale="97" zoomScaleNormal="97" zoomScaleSheetLayoutView="40" workbookViewId="0">
      <selection activeCell="A272"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2012-016 Monroe Elementary Apartments, Monroe, Walton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78" t="s">
        <v>3982</v>
      </c>
      <c r="Q31" s="232"/>
    </row>
    <row r="32" spans="1:19" ht="12" customHeight="1">
      <c r="B32" s="55" t="s">
        <v>2865</v>
      </c>
      <c r="C32" s="62" t="s">
        <v>994</v>
      </c>
      <c r="E32" s="38"/>
      <c r="F32" s="38"/>
      <c r="G32" s="38"/>
      <c r="H32" s="38"/>
      <c r="J32" s="1579" t="s">
        <v>3050</v>
      </c>
      <c r="K32" s="1580"/>
      <c r="L32" s="1580"/>
      <c r="M32" s="1580"/>
      <c r="N32" s="1581"/>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24.75" customHeight="1">
      <c r="A34" s="1582" t="s">
        <v>4040</v>
      </c>
      <c r="B34" s="1583"/>
      <c r="C34" s="1583"/>
      <c r="D34" s="1583"/>
      <c r="E34" s="1583"/>
      <c r="F34" s="1583"/>
      <c r="G34" s="1583"/>
      <c r="H34" s="1583"/>
      <c r="I34" s="1583"/>
      <c r="J34" s="1583"/>
      <c r="K34" s="1583"/>
      <c r="L34" s="1583"/>
      <c r="M34" s="1583"/>
      <c r="N34" s="1583"/>
      <c r="O34" s="1583"/>
      <c r="P34" s="1583"/>
      <c r="Q34" s="1584"/>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5" t="str">
        <f>'Part I-Project Information'!$H$65</f>
        <v>HFOP</v>
      </c>
      <c r="K43" s="1586"/>
      <c r="L43" s="1587"/>
      <c r="M43" s="855"/>
      <c r="N43" s="855"/>
      <c r="P43" s="1578" t="s">
        <v>3984</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82"/>
      <c r="B45" s="1583"/>
      <c r="C45" s="1583"/>
      <c r="D45" s="1583"/>
      <c r="E45" s="1583"/>
      <c r="F45" s="1583"/>
      <c r="G45" s="1583"/>
      <c r="H45" s="1583"/>
      <c r="I45" s="1583"/>
      <c r="J45" s="1584"/>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8" t="s">
        <v>4041</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8" t="s">
        <v>3984</v>
      </c>
      <c r="Q51" s="232"/>
    </row>
    <row r="52" spans="1:31" ht="10.9" customHeight="1">
      <c r="A52" s="194"/>
      <c r="B52" s="50"/>
      <c r="C52" s="79" t="s">
        <v>2591</v>
      </c>
      <c r="D52" s="38" t="s">
        <v>2669</v>
      </c>
      <c r="E52" s="850"/>
      <c r="F52" s="850"/>
      <c r="G52" s="850"/>
      <c r="H52" s="40"/>
      <c r="I52" s="50"/>
      <c r="J52" s="50"/>
      <c r="O52" s="79" t="s">
        <v>2591</v>
      </c>
      <c r="P52" s="1578" t="s">
        <v>3984</v>
      </c>
      <c r="Q52" s="232"/>
    </row>
    <row r="53" spans="1:31" ht="10.9" customHeight="1">
      <c r="A53" s="194"/>
      <c r="B53" s="50"/>
      <c r="C53" s="79" t="s">
        <v>2592</v>
      </c>
      <c r="D53" s="38" t="s">
        <v>374</v>
      </c>
      <c r="E53" s="850"/>
      <c r="J53" s="79"/>
      <c r="K53" s="79" t="s">
        <v>2592</v>
      </c>
      <c r="L53" s="1588"/>
      <c r="M53" s="1589"/>
      <c r="N53" s="1589"/>
      <c r="O53" s="1589"/>
      <c r="P53" s="1590"/>
      <c r="Q53" s="232"/>
    </row>
    <row r="54" spans="1:31" ht="11.25" customHeight="1">
      <c r="B54" s="127" t="s">
        <v>2737</v>
      </c>
      <c r="D54" s="127"/>
      <c r="E54" s="127"/>
      <c r="F54" s="127"/>
      <c r="G54" s="127"/>
      <c r="H54" s="48"/>
      <c r="I54" s="180"/>
      <c r="J54" s="180"/>
      <c r="K54" s="180"/>
      <c r="L54" s="851"/>
      <c r="M54" s="851"/>
      <c r="N54" s="851"/>
      <c r="O54" s="851"/>
      <c r="P54" s="851"/>
      <c r="Q54" s="60"/>
    </row>
    <row r="55" spans="1:31" ht="25.5" customHeight="1">
      <c r="A55" s="1582" t="s">
        <v>4081</v>
      </c>
      <c r="B55" s="1583"/>
      <c r="C55" s="1583"/>
      <c r="D55" s="1583"/>
      <c r="E55" s="1583"/>
      <c r="F55" s="1583"/>
      <c r="G55" s="1583"/>
      <c r="H55" s="1583"/>
      <c r="I55" s="1583"/>
      <c r="J55" s="1583"/>
      <c r="K55" s="1583"/>
      <c r="L55" s="1583"/>
      <c r="M55" s="1583"/>
      <c r="N55" s="1583"/>
      <c r="O55" s="1583"/>
      <c r="P55" s="1583"/>
      <c r="Q55" s="1584"/>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91" t="s">
        <v>4042</v>
      </c>
      <c r="N61" s="1592"/>
      <c r="O61" s="1592"/>
      <c r="P61" s="1593"/>
      <c r="Q61" s="232"/>
    </row>
    <row r="62" spans="1:31" ht="12" customHeight="1">
      <c r="B62" s="55" t="s">
        <v>2865</v>
      </c>
      <c r="C62" s="62" t="s">
        <v>2918</v>
      </c>
      <c r="D62" s="183"/>
      <c r="E62" s="183"/>
      <c r="F62" s="183"/>
      <c r="L62" s="803" t="s">
        <v>2865</v>
      </c>
      <c r="M62" s="1591" t="s">
        <v>4082</v>
      </c>
      <c r="N62" s="1592"/>
      <c r="O62" s="1592"/>
      <c r="P62" s="1593"/>
      <c r="Q62" s="232"/>
    </row>
    <row r="63" spans="1:31" ht="12" customHeight="1">
      <c r="B63" s="55" t="s">
        <v>1145</v>
      </c>
      <c r="C63" s="62" t="s">
        <v>3463</v>
      </c>
      <c r="D63" s="183"/>
      <c r="E63" s="183"/>
      <c r="F63" s="183"/>
      <c r="L63" s="803" t="s">
        <v>1145</v>
      </c>
      <c r="M63" s="1591" t="s">
        <v>4083</v>
      </c>
      <c r="N63" s="1592"/>
      <c r="O63" s="1592"/>
      <c r="P63" s="1593"/>
      <c r="Q63" s="352"/>
    </row>
    <row r="64" spans="1:31" ht="12" customHeight="1">
      <c r="B64" s="55" t="s">
        <v>3004</v>
      </c>
      <c r="C64" s="62" t="s">
        <v>3464</v>
      </c>
      <c r="D64" s="183"/>
      <c r="E64" s="183"/>
      <c r="F64" s="183"/>
      <c r="L64" s="803" t="s">
        <v>3004</v>
      </c>
      <c r="M64" s="1594">
        <v>0.107</v>
      </c>
      <c r="N64" s="1592"/>
      <c r="O64" s="1592"/>
      <c r="P64" s="1593"/>
      <c r="Q64" s="232"/>
    </row>
    <row r="65" spans="1:31" ht="22.15" customHeight="1">
      <c r="B65" s="192" t="s">
        <v>2588</v>
      </c>
      <c r="C65" s="1125" t="s">
        <v>3869</v>
      </c>
      <c r="D65" s="1125"/>
      <c r="E65" s="1125"/>
      <c r="F65" s="1125"/>
      <c r="G65" s="1125"/>
      <c r="H65" s="1125"/>
      <c r="I65" s="1125"/>
      <c r="J65" s="1125"/>
      <c r="K65" s="1125"/>
      <c r="L65" s="1125"/>
      <c r="M65" s="850"/>
      <c r="O65" s="803" t="s">
        <v>2588</v>
      </c>
      <c r="P65" s="1578" t="s">
        <v>3984</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95" t="s">
        <v>4043</v>
      </c>
      <c r="E67" s="1596" t="s">
        <v>4044</v>
      </c>
      <c r="F67" s="1596"/>
      <c r="G67" s="1596"/>
      <c r="H67" s="62">
        <v>3</v>
      </c>
      <c r="I67" s="1595"/>
      <c r="J67" s="1596"/>
      <c r="K67" s="1596"/>
      <c r="L67" s="1596"/>
      <c r="M67" s="62">
        <v>5</v>
      </c>
      <c r="N67" s="1595"/>
      <c r="O67" s="1596"/>
      <c r="P67" s="1596"/>
      <c r="Q67" s="1596"/>
    </row>
    <row r="68" spans="1:31" ht="12" customHeight="1">
      <c r="B68" s="55"/>
      <c r="C68" s="62">
        <v>2</v>
      </c>
      <c r="D68" s="1595"/>
      <c r="E68" s="1596"/>
      <c r="F68" s="1596"/>
      <c r="G68" s="1596"/>
      <c r="H68" s="62">
        <v>4</v>
      </c>
      <c r="I68" s="1595"/>
      <c r="J68" s="1596"/>
      <c r="K68" s="1596"/>
      <c r="L68" s="1596"/>
      <c r="M68" s="62">
        <v>6</v>
      </c>
      <c r="N68" s="1595"/>
      <c r="O68" s="1596"/>
      <c r="P68" s="1596"/>
      <c r="Q68" s="1596"/>
    </row>
    <row r="69" spans="1:31" ht="12" customHeight="1">
      <c r="B69" s="55" t="s">
        <v>2589</v>
      </c>
      <c r="C69" s="62" t="s">
        <v>0</v>
      </c>
      <c r="D69" s="183"/>
      <c r="E69" s="183"/>
      <c r="F69" s="183"/>
      <c r="G69" s="183"/>
      <c r="H69" s="183"/>
      <c r="I69" s="50"/>
      <c r="J69" s="50"/>
      <c r="K69" s="183"/>
      <c r="L69" s="850"/>
      <c r="M69" s="850"/>
      <c r="O69" s="803" t="s">
        <v>2589</v>
      </c>
      <c r="P69" s="1597" t="s">
        <v>3984</v>
      </c>
      <c r="Q69" s="352"/>
    </row>
    <row r="70" spans="1:31" ht="11.25" customHeight="1">
      <c r="B70" s="191" t="s">
        <v>2737</v>
      </c>
      <c r="D70" s="191"/>
      <c r="E70" s="191"/>
      <c r="F70" s="191"/>
      <c r="G70" s="191"/>
      <c r="H70" s="48"/>
      <c r="I70" s="180"/>
      <c r="J70" s="180"/>
      <c r="K70" s="180"/>
      <c r="L70" s="851"/>
      <c r="M70" s="851"/>
      <c r="N70" s="851"/>
      <c r="O70" s="851"/>
      <c r="P70" s="851"/>
      <c r="Q70" s="60"/>
    </row>
    <row r="71" spans="1:31" ht="40.5" customHeight="1">
      <c r="A71" s="1582" t="s">
        <v>4045</v>
      </c>
      <c r="B71" s="1583"/>
      <c r="C71" s="1583"/>
      <c r="D71" s="1583"/>
      <c r="E71" s="1583"/>
      <c r="F71" s="1583"/>
      <c r="G71" s="1583"/>
      <c r="H71" s="1583"/>
      <c r="I71" s="1583"/>
      <c r="J71" s="1583"/>
      <c r="K71" s="1583"/>
      <c r="L71" s="1583"/>
      <c r="M71" s="1583"/>
      <c r="N71" s="1583"/>
      <c r="O71" s="1583"/>
      <c r="P71" s="1583"/>
      <c r="Q71" s="1584"/>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8" t="s">
        <v>3982</v>
      </c>
      <c r="Q76" s="232"/>
    </row>
    <row r="77" spans="1:31" ht="12" customHeight="1">
      <c r="B77" s="55" t="s">
        <v>2865</v>
      </c>
      <c r="C77" s="62" t="s">
        <v>1871</v>
      </c>
      <c r="D77" s="62"/>
      <c r="E77" s="62"/>
      <c r="F77" s="62"/>
      <c r="G77" s="62"/>
      <c r="H77" s="62"/>
      <c r="I77" s="62"/>
      <c r="J77" s="62"/>
      <c r="K77" s="62"/>
      <c r="L77" s="38"/>
      <c r="M77" s="38"/>
      <c r="O77" s="803" t="s">
        <v>2865</v>
      </c>
      <c r="P77" s="1578" t="s">
        <v>3982</v>
      </c>
      <c r="Q77" s="232"/>
    </row>
    <row r="78" spans="1:31" ht="12" customHeight="1">
      <c r="A78" s="182"/>
      <c r="B78" s="44"/>
      <c r="D78" s="47" t="s">
        <v>790</v>
      </c>
      <c r="E78" s="50"/>
      <c r="F78" s="50"/>
      <c r="G78" s="50"/>
      <c r="H78" s="50"/>
      <c r="I78" s="50"/>
      <c r="K78" s="47" t="s">
        <v>791</v>
      </c>
      <c r="M78" s="1598"/>
      <c r="N78" s="1599"/>
      <c r="O78" s="1599"/>
      <c r="P78" s="1600"/>
      <c r="Q78" s="232"/>
    </row>
    <row r="79" spans="1:31" ht="22.9" customHeight="1">
      <c r="A79" s="194"/>
      <c r="B79" s="180"/>
      <c r="C79" s="201" t="s">
        <v>2590</v>
      </c>
      <c r="D79" s="1096" t="s">
        <v>638</v>
      </c>
      <c r="E79" s="1601"/>
      <c r="F79" s="1601"/>
      <c r="G79" s="1601"/>
      <c r="H79" s="1601"/>
      <c r="I79" s="1601"/>
      <c r="J79" s="1601"/>
      <c r="K79" s="1601"/>
      <c r="L79" s="1601"/>
      <c r="M79" s="1601"/>
      <c r="N79" s="1601"/>
      <c r="O79" s="201" t="s">
        <v>2590</v>
      </c>
      <c r="P79" s="1578"/>
      <c r="Q79" s="232"/>
    </row>
    <row r="80" spans="1:31" ht="12" customHeight="1">
      <c r="A80" s="194"/>
      <c r="B80" s="180"/>
      <c r="C80" s="79" t="s">
        <v>2591</v>
      </c>
      <c r="D80" s="62" t="s">
        <v>171</v>
      </c>
      <c r="E80" s="62"/>
      <c r="F80" s="62"/>
      <c r="G80" s="62"/>
      <c r="H80" s="62"/>
      <c r="I80" s="62"/>
      <c r="J80" s="62"/>
      <c r="K80" s="62"/>
      <c r="L80" s="62"/>
      <c r="M80" s="62"/>
      <c r="O80" s="79" t="s">
        <v>2591</v>
      </c>
      <c r="P80" s="1578"/>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02"/>
      <c r="Q81" s="354"/>
      <c r="AE81" s="806"/>
      <c r="AF81" s="806"/>
    </row>
    <row r="82" spans="1:32" ht="12" customHeight="1">
      <c r="B82" s="55" t="s">
        <v>1145</v>
      </c>
      <c r="C82" s="62" t="s">
        <v>173</v>
      </c>
      <c r="D82" s="62"/>
      <c r="E82" s="62"/>
      <c r="F82" s="62"/>
      <c r="G82" s="62"/>
      <c r="H82" s="62"/>
      <c r="I82" s="62"/>
      <c r="J82" s="62"/>
      <c r="K82" s="62"/>
      <c r="L82" s="62"/>
      <c r="M82" s="62"/>
      <c r="O82" s="803" t="s">
        <v>1145</v>
      </c>
      <c r="P82" s="1578"/>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8" t="s">
        <v>3984</v>
      </c>
      <c r="Q84" s="232"/>
    </row>
    <row r="85" spans="1:32" ht="12" customHeight="1">
      <c r="B85" s="55"/>
      <c r="C85" s="79" t="s">
        <v>2591</v>
      </c>
      <c r="D85" s="62" t="s">
        <v>2011</v>
      </c>
      <c r="E85" s="62"/>
      <c r="F85" s="62"/>
      <c r="G85" s="62"/>
      <c r="H85" s="62"/>
      <c r="I85" s="62"/>
      <c r="J85" s="62"/>
      <c r="K85" s="62"/>
      <c r="L85" s="38"/>
      <c r="M85" s="38"/>
      <c r="O85" s="79" t="s">
        <v>2591</v>
      </c>
      <c r="P85" s="1578" t="s">
        <v>3982</v>
      </c>
      <c r="Q85" s="232"/>
    </row>
    <row r="86" spans="1:32" ht="12" customHeight="1">
      <c r="B86" s="55"/>
      <c r="C86" s="79" t="s">
        <v>2592</v>
      </c>
      <c r="D86" s="62" t="s">
        <v>2012</v>
      </c>
      <c r="E86" s="62"/>
      <c r="F86" s="62"/>
      <c r="G86" s="62"/>
      <c r="H86" s="62"/>
      <c r="I86" s="62"/>
      <c r="J86" s="62"/>
      <c r="K86" s="62"/>
      <c r="L86" s="38"/>
      <c r="M86" s="38"/>
      <c r="O86" s="79" t="s">
        <v>2592</v>
      </c>
      <c r="P86" s="1578" t="s">
        <v>3982</v>
      </c>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82" t="s">
        <v>4084</v>
      </c>
      <c r="B88" s="1583"/>
      <c r="C88" s="1583"/>
      <c r="D88" s="1583"/>
      <c r="E88" s="1583"/>
      <c r="F88" s="1583"/>
      <c r="G88" s="1583"/>
      <c r="H88" s="1583"/>
      <c r="I88" s="1583"/>
      <c r="J88" s="1583"/>
      <c r="K88" s="1583"/>
      <c r="L88" s="1583"/>
      <c r="M88" s="1583"/>
      <c r="N88" s="1583"/>
      <c r="O88" s="1583"/>
      <c r="P88" s="1583"/>
      <c r="Q88" s="1584"/>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91" t="s">
        <v>4046</v>
      </c>
      <c r="N94" s="1592"/>
      <c r="O94" s="1592"/>
      <c r="P94" s="1603"/>
      <c r="Q94" s="232"/>
    </row>
    <row r="95" spans="1:32" ht="12" customHeight="1">
      <c r="B95" s="55" t="s">
        <v>2865</v>
      </c>
      <c r="C95" s="62" t="s">
        <v>2141</v>
      </c>
      <c r="D95" s="183"/>
      <c r="E95" s="183"/>
      <c r="F95" s="183"/>
      <c r="G95" s="183"/>
      <c r="H95" s="183"/>
      <c r="I95" s="50"/>
      <c r="J95" s="50"/>
      <c r="K95" s="183"/>
      <c r="L95" s="183"/>
      <c r="M95" s="850"/>
      <c r="O95" s="803" t="s">
        <v>2865</v>
      </c>
      <c r="P95" s="1578" t="s">
        <v>3982</v>
      </c>
      <c r="Q95" s="352"/>
    </row>
    <row r="96" spans="1:32" ht="12" customHeight="1">
      <c r="B96" s="55" t="s">
        <v>1145</v>
      </c>
      <c r="C96" s="62" t="s">
        <v>186</v>
      </c>
      <c r="D96" s="183"/>
      <c r="E96" s="183"/>
      <c r="F96" s="183"/>
      <c r="G96" s="183"/>
      <c r="H96" s="183"/>
      <c r="I96" s="50"/>
      <c r="J96" s="50"/>
      <c r="K96" s="183"/>
      <c r="L96" s="850"/>
      <c r="M96" s="850"/>
      <c r="O96" s="803" t="s">
        <v>1145</v>
      </c>
      <c r="P96" s="1578" t="s">
        <v>3984</v>
      </c>
      <c r="Q96" s="232"/>
    </row>
    <row r="97" spans="2:17" ht="12" customHeight="1">
      <c r="B97" s="55"/>
      <c r="C97" s="78" t="s">
        <v>2590</v>
      </c>
      <c r="D97" s="62" t="s">
        <v>3937</v>
      </c>
      <c r="E97" s="183"/>
      <c r="F97" s="183"/>
      <c r="G97" s="183"/>
      <c r="H97" s="183"/>
      <c r="I97" s="50"/>
      <c r="J97" s="50"/>
      <c r="K97" s="183"/>
      <c r="L97" s="79" t="s">
        <v>2590</v>
      </c>
      <c r="M97" s="1588" t="s">
        <v>4046</v>
      </c>
      <c r="N97" s="1589"/>
      <c r="O97" s="1589"/>
      <c r="P97" s="1590"/>
      <c r="Q97" s="352"/>
    </row>
    <row r="98" spans="2:17" ht="12" customHeight="1">
      <c r="B98" s="189"/>
      <c r="C98" s="79" t="s">
        <v>2591</v>
      </c>
      <c r="D98" s="44" t="s">
        <v>3644</v>
      </c>
      <c r="E98" s="50"/>
      <c r="F98" s="50"/>
      <c r="G98" s="50"/>
      <c r="H98" s="62"/>
      <c r="I98" s="50"/>
      <c r="J98" s="50"/>
      <c r="K98" s="183"/>
      <c r="L98" s="850"/>
      <c r="M98" s="850"/>
      <c r="O98" s="803" t="s">
        <v>2591</v>
      </c>
      <c r="P98" s="1597">
        <v>63.4</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04" t="s">
        <v>4047</v>
      </c>
      <c r="E100" s="1605"/>
      <c r="F100" s="1605"/>
      <c r="G100" s="1605"/>
      <c r="H100" s="1605"/>
      <c r="I100" s="1605"/>
      <c r="J100" s="1605"/>
      <c r="K100" s="1605"/>
      <c r="L100" s="1605"/>
      <c r="M100" s="1605"/>
      <c r="N100" s="1605"/>
      <c r="O100" s="1606"/>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8" t="s">
        <v>3982</v>
      </c>
      <c r="Q102" s="232"/>
    </row>
    <row r="103" spans="2:17" ht="12" customHeight="1">
      <c r="B103" s="55"/>
      <c r="C103" s="79" t="s">
        <v>2591</v>
      </c>
      <c r="D103" s="62" t="s">
        <v>1816</v>
      </c>
      <c r="E103" s="183"/>
      <c r="F103" s="183"/>
      <c r="G103" s="183"/>
      <c r="H103" s="50"/>
      <c r="I103" s="50"/>
      <c r="J103" s="50"/>
      <c r="K103" s="183"/>
      <c r="L103" s="850"/>
      <c r="M103" s="850"/>
      <c r="O103" s="79" t="s">
        <v>2591</v>
      </c>
      <c r="P103" s="1597" t="s">
        <v>3982</v>
      </c>
      <c r="Q103" s="352"/>
    </row>
    <row r="104" spans="2:17" ht="12" customHeight="1">
      <c r="B104" s="55"/>
      <c r="C104" s="79"/>
      <c r="D104" s="62" t="s">
        <v>3764</v>
      </c>
      <c r="E104" s="728" t="s">
        <v>3419</v>
      </c>
      <c r="F104" s="62" t="s">
        <v>3765</v>
      </c>
      <c r="G104" s="50"/>
      <c r="H104" s="62"/>
      <c r="I104" s="50"/>
      <c r="J104" s="50"/>
      <c r="K104" s="183"/>
      <c r="L104" s="850"/>
      <c r="M104" s="850"/>
      <c r="O104" s="728" t="s">
        <v>3419</v>
      </c>
      <c r="P104" s="1607"/>
      <c r="Q104" s="448"/>
    </row>
    <row r="105" spans="2:17" ht="12" customHeight="1">
      <c r="B105" s="55"/>
      <c r="C105" s="79"/>
      <c r="E105" s="728" t="s">
        <v>3420</v>
      </c>
      <c r="F105" s="62" t="s">
        <v>3766</v>
      </c>
      <c r="G105" s="50"/>
      <c r="H105" s="62"/>
      <c r="I105" s="50"/>
      <c r="J105" s="50"/>
      <c r="K105" s="183"/>
      <c r="L105" s="850"/>
      <c r="M105" s="850"/>
      <c r="O105" s="728" t="s">
        <v>3420</v>
      </c>
      <c r="P105" s="1597"/>
      <c r="Q105" s="352"/>
    </row>
    <row r="106" spans="2:17" ht="12" customHeight="1">
      <c r="B106" s="55"/>
      <c r="C106" s="79"/>
      <c r="E106" s="728" t="s">
        <v>3421</v>
      </c>
      <c r="F106" s="62" t="s">
        <v>3767</v>
      </c>
      <c r="G106" s="50"/>
      <c r="H106" s="62"/>
      <c r="I106" s="50"/>
      <c r="J106" s="50"/>
      <c r="K106" s="183"/>
      <c r="L106" s="850"/>
      <c r="M106" s="850"/>
      <c r="O106" s="728" t="s">
        <v>3421</v>
      </c>
      <c r="P106" s="1597"/>
      <c r="Q106" s="352"/>
    </row>
    <row r="107" spans="2:17" ht="12" customHeight="1">
      <c r="B107" s="55"/>
      <c r="C107" s="79" t="s">
        <v>2592</v>
      </c>
      <c r="D107" s="62" t="s">
        <v>1817</v>
      </c>
      <c r="E107" s="183"/>
      <c r="F107" s="183"/>
      <c r="G107" s="183"/>
      <c r="H107" s="62"/>
      <c r="I107" s="50"/>
      <c r="J107" s="50"/>
      <c r="K107" s="183"/>
      <c r="L107" s="850"/>
      <c r="M107" s="850"/>
      <c r="O107" s="79" t="s">
        <v>2592</v>
      </c>
      <c r="P107" s="1578" t="s">
        <v>3982</v>
      </c>
      <c r="Q107" s="232"/>
    </row>
    <row r="108" spans="2:17" ht="12" customHeight="1">
      <c r="B108" s="55"/>
      <c r="C108" s="79"/>
      <c r="D108" s="62" t="s">
        <v>3764</v>
      </c>
      <c r="E108" s="728" t="s">
        <v>3419</v>
      </c>
      <c r="F108" s="62" t="s">
        <v>3768</v>
      </c>
      <c r="G108" s="50"/>
      <c r="H108" s="62"/>
      <c r="I108" s="50"/>
      <c r="J108" s="50"/>
      <c r="K108" s="183"/>
      <c r="L108" s="850"/>
      <c r="O108" s="728" t="s">
        <v>3419</v>
      </c>
      <c r="P108" s="1607"/>
      <c r="Q108" s="353"/>
    </row>
    <row r="109" spans="2:17" ht="12" customHeight="1">
      <c r="B109" s="55"/>
      <c r="C109" s="79"/>
      <c r="E109" s="728" t="s">
        <v>3420</v>
      </c>
      <c r="F109" s="62" t="s">
        <v>3769</v>
      </c>
      <c r="G109" s="50"/>
      <c r="H109" s="62"/>
      <c r="I109" s="50"/>
      <c r="J109" s="50"/>
      <c r="K109" s="183"/>
      <c r="L109" s="850"/>
      <c r="O109" s="728" t="s">
        <v>3420</v>
      </c>
      <c r="P109" s="1597"/>
      <c r="Q109" s="352"/>
    </row>
    <row r="110" spans="2:17" ht="12" customHeight="1">
      <c r="B110" s="55"/>
      <c r="C110" s="79"/>
      <c r="E110" s="728" t="s">
        <v>3421</v>
      </c>
      <c r="F110" s="62" t="s">
        <v>3767</v>
      </c>
      <c r="G110" s="50"/>
      <c r="H110" s="62"/>
      <c r="I110" s="50"/>
      <c r="J110" s="50"/>
      <c r="K110" s="183"/>
      <c r="L110" s="850"/>
      <c r="O110" s="728" t="s">
        <v>3421</v>
      </c>
      <c r="P110" s="1597"/>
      <c r="Q110" s="352"/>
    </row>
    <row r="111" spans="2:17" ht="12" customHeight="1">
      <c r="B111" s="44"/>
      <c r="C111" s="79" t="s">
        <v>3331</v>
      </c>
      <c r="D111" s="62" t="s">
        <v>3770</v>
      </c>
      <c r="E111" s="183"/>
      <c r="F111" s="183"/>
      <c r="G111" s="183"/>
      <c r="H111" s="183"/>
      <c r="I111" s="50"/>
      <c r="J111" s="50"/>
      <c r="K111" s="183"/>
      <c r="L111" s="850"/>
      <c r="M111" s="850"/>
      <c r="O111" s="79" t="s">
        <v>3331</v>
      </c>
      <c r="P111" s="1578" t="s">
        <v>3982</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78" t="s">
        <v>3984</v>
      </c>
      <c r="G113" s="232"/>
      <c r="H113" s="79" t="s">
        <v>3331</v>
      </c>
      <c r="I113" s="62" t="s">
        <v>2156</v>
      </c>
      <c r="J113" s="1578" t="s">
        <v>3984</v>
      </c>
      <c r="K113" s="232"/>
      <c r="L113" s="803" t="s">
        <v>107</v>
      </c>
      <c r="M113" s="62" t="s">
        <v>2157</v>
      </c>
      <c r="O113" s="1578" t="s">
        <v>3982</v>
      </c>
      <c r="P113" s="232"/>
    </row>
    <row r="114" spans="1:31" ht="12" customHeight="1">
      <c r="B114" s="44"/>
      <c r="C114" s="79" t="s">
        <v>2591</v>
      </c>
      <c r="D114" s="62" t="s">
        <v>3502</v>
      </c>
      <c r="E114" s="183"/>
      <c r="F114" s="1578" t="s">
        <v>3984</v>
      </c>
      <c r="G114" s="232"/>
      <c r="H114" s="79" t="s">
        <v>2153</v>
      </c>
      <c r="I114" s="62" t="s">
        <v>3772</v>
      </c>
      <c r="J114" s="1608" t="s">
        <v>3982</v>
      </c>
      <c r="K114" s="663"/>
      <c r="L114" s="803" t="s">
        <v>743</v>
      </c>
      <c r="M114" s="65" t="s">
        <v>3773</v>
      </c>
      <c r="O114" s="1608" t="s">
        <v>3982</v>
      </c>
      <c r="P114" s="663"/>
    </row>
    <row r="115" spans="1:31" ht="12" customHeight="1">
      <c r="B115" s="44"/>
      <c r="C115" s="79" t="s">
        <v>2592</v>
      </c>
      <c r="D115" s="62" t="s">
        <v>3771</v>
      </c>
      <c r="E115" s="183"/>
      <c r="F115" s="1578" t="s">
        <v>3982</v>
      </c>
      <c r="G115" s="232"/>
      <c r="H115" s="79" t="s">
        <v>2154</v>
      </c>
      <c r="I115" s="62" t="s">
        <v>2155</v>
      </c>
      <c r="J115" s="1608" t="s">
        <v>3982</v>
      </c>
      <c r="K115" s="663"/>
      <c r="L115" s="803" t="s">
        <v>744</v>
      </c>
      <c r="M115" s="65" t="s">
        <v>3774</v>
      </c>
      <c r="O115" s="1608" t="s">
        <v>3982</v>
      </c>
      <c r="P115" s="663"/>
    </row>
    <row r="116" spans="1:31" ht="12" customHeight="1">
      <c r="B116" s="44"/>
      <c r="C116" s="803" t="s">
        <v>745</v>
      </c>
      <c r="D116" s="62" t="s">
        <v>3775</v>
      </c>
      <c r="E116" s="183"/>
      <c r="F116" s="183"/>
      <c r="G116" s="183"/>
      <c r="H116" s="183"/>
      <c r="J116" s="1588"/>
      <c r="K116" s="1589"/>
      <c r="L116" s="1589"/>
      <c r="M116" s="1589"/>
      <c r="N116" s="1589"/>
      <c r="O116" s="1589"/>
      <c r="P116" s="1590"/>
      <c r="Q116" s="232"/>
    </row>
    <row r="117" spans="1:31" ht="12" customHeight="1">
      <c r="B117" s="55" t="s">
        <v>2589</v>
      </c>
      <c r="C117" s="62" t="s">
        <v>1851</v>
      </c>
      <c r="D117" s="183"/>
      <c r="E117" s="183"/>
      <c r="F117" s="183"/>
      <c r="G117" s="183"/>
      <c r="H117" s="183"/>
      <c r="I117" s="50"/>
      <c r="J117" s="50"/>
      <c r="K117" s="183"/>
      <c r="L117" s="183"/>
      <c r="M117" s="850"/>
      <c r="O117" s="803" t="s">
        <v>2589</v>
      </c>
      <c r="P117" s="1578" t="s">
        <v>3984</v>
      </c>
      <c r="Q117" s="232"/>
    </row>
    <row r="118" spans="1:31" ht="12" customHeight="1">
      <c r="A118" s="194"/>
      <c r="B118" s="50"/>
      <c r="C118" s="79" t="s">
        <v>2590</v>
      </c>
      <c r="D118" s="62" t="s">
        <v>995</v>
      </c>
      <c r="E118" s="183"/>
      <c r="F118" s="183"/>
      <c r="G118" s="183"/>
      <c r="H118" s="183"/>
      <c r="O118" s="79" t="s">
        <v>2590</v>
      </c>
      <c r="P118" s="1578" t="s">
        <v>3984</v>
      </c>
      <c r="Q118" s="232"/>
    </row>
    <row r="119" spans="1:31" ht="12" customHeight="1">
      <c r="A119" s="194"/>
      <c r="B119" s="180"/>
      <c r="C119" s="79" t="s">
        <v>2591</v>
      </c>
      <c r="D119" s="62" t="s">
        <v>681</v>
      </c>
      <c r="E119" s="62"/>
      <c r="F119" s="62"/>
      <c r="G119" s="62"/>
      <c r="H119" s="62"/>
      <c r="I119" s="50"/>
      <c r="J119" s="50"/>
      <c r="K119" s="62"/>
      <c r="L119" s="62"/>
      <c r="M119" s="62"/>
      <c r="O119" s="79" t="s">
        <v>2591</v>
      </c>
      <c r="P119" s="1578" t="s">
        <v>3984</v>
      </c>
      <c r="Q119" s="232"/>
    </row>
    <row r="120" spans="1:31" ht="12" customHeight="1">
      <c r="A120" s="194"/>
      <c r="B120" s="180"/>
      <c r="C120" s="79" t="s">
        <v>2592</v>
      </c>
      <c r="D120" s="62" t="s">
        <v>951</v>
      </c>
      <c r="E120" s="62"/>
      <c r="F120" s="62"/>
      <c r="G120" s="62"/>
      <c r="H120" s="62"/>
      <c r="I120" s="50"/>
      <c r="J120" s="50"/>
      <c r="K120" s="62"/>
      <c r="L120" s="62"/>
      <c r="M120" s="62"/>
      <c r="O120" s="79" t="s">
        <v>2592</v>
      </c>
      <c r="P120" s="1578" t="s">
        <v>3984</v>
      </c>
      <c r="Q120" s="232"/>
    </row>
    <row r="121" spans="1:31" ht="12" customHeight="1">
      <c r="B121" s="55" t="s">
        <v>2825</v>
      </c>
      <c r="C121" s="62" t="s">
        <v>2607</v>
      </c>
      <c r="D121" s="183"/>
      <c r="E121" s="183"/>
      <c r="F121" s="183"/>
      <c r="G121" s="183"/>
      <c r="H121" s="183"/>
      <c r="I121" s="50"/>
      <c r="J121" s="50"/>
      <c r="K121" s="183"/>
      <c r="L121" s="183"/>
      <c r="M121" s="850"/>
      <c r="O121" s="803" t="s">
        <v>2825</v>
      </c>
      <c r="P121" s="1578"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29.25" customHeight="1">
      <c r="A124" s="1582" t="s">
        <v>4069</v>
      </c>
      <c r="B124" s="1583"/>
      <c r="C124" s="1583"/>
      <c r="D124" s="1583"/>
      <c r="E124" s="1583"/>
      <c r="F124" s="1583"/>
      <c r="G124" s="1583"/>
      <c r="H124" s="1583"/>
      <c r="I124" s="1583"/>
      <c r="J124" s="1583"/>
      <c r="K124" s="1583"/>
      <c r="L124" s="1583"/>
      <c r="M124" s="1583"/>
      <c r="N124" s="1583"/>
      <c r="O124" s="1583"/>
      <c r="P124" s="1583"/>
      <c r="Q124" s="1584"/>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78" t="s">
        <v>3984</v>
      </c>
      <c r="Q129" s="232"/>
    </row>
    <row r="130" spans="1:31" ht="12" customHeight="1">
      <c r="A130" s="189"/>
      <c r="B130" s="55" t="s">
        <v>2865</v>
      </c>
      <c r="C130" s="190" t="s">
        <v>185</v>
      </c>
      <c r="D130" s="190"/>
      <c r="E130" s="190"/>
      <c r="F130" s="190"/>
      <c r="G130" s="190"/>
      <c r="H130" s="190"/>
      <c r="M130" s="803" t="s">
        <v>2865</v>
      </c>
      <c r="N130" s="1609" t="s">
        <v>4048</v>
      </c>
      <c r="O130" s="1610"/>
      <c r="P130" s="1147"/>
      <c r="Q130" s="1148"/>
    </row>
    <row r="131" spans="1:31" ht="12" customHeight="1">
      <c r="A131" s="189"/>
      <c r="B131" s="55" t="s">
        <v>1145</v>
      </c>
      <c r="C131" s="190" t="s">
        <v>952</v>
      </c>
      <c r="D131" s="190"/>
      <c r="E131" s="190"/>
      <c r="F131" s="190"/>
      <c r="G131" s="190"/>
      <c r="H131" s="190"/>
      <c r="J131" s="803" t="s">
        <v>1145</v>
      </c>
      <c r="K131" s="1591" t="s">
        <v>3990</v>
      </c>
      <c r="L131" s="1592"/>
      <c r="M131" s="1592"/>
      <c r="N131" s="1592"/>
      <c r="O131" s="1592"/>
      <c r="P131" s="1603"/>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82" t="s">
        <v>4070</v>
      </c>
      <c r="B133" s="1583"/>
      <c r="C133" s="1583"/>
      <c r="D133" s="1583"/>
      <c r="E133" s="1583"/>
      <c r="F133" s="1583"/>
      <c r="G133" s="1583"/>
      <c r="H133" s="1583"/>
      <c r="I133" s="1583"/>
      <c r="J133" s="1583"/>
      <c r="K133" s="1583"/>
      <c r="L133" s="1583"/>
      <c r="M133" s="1583"/>
      <c r="N133" s="1583"/>
      <c r="O133" s="1583"/>
      <c r="P133" s="1583"/>
      <c r="Q133" s="1584"/>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8" t="s">
        <v>3984</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78"/>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78"/>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82" t="s">
        <v>4071</v>
      </c>
      <c r="B142" s="1583"/>
      <c r="C142" s="1583"/>
      <c r="D142" s="1583"/>
      <c r="E142" s="1583"/>
      <c r="F142" s="1583"/>
      <c r="G142" s="1583"/>
      <c r="H142" s="1583"/>
      <c r="I142" s="1583"/>
      <c r="J142" s="1583"/>
      <c r="K142" s="1583"/>
      <c r="L142" s="1583"/>
      <c r="M142" s="1583"/>
      <c r="N142" s="1583"/>
      <c r="O142" s="1583"/>
      <c r="P142" s="1583"/>
      <c r="Q142" s="1584"/>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8" t="s">
        <v>3984</v>
      </c>
      <c r="Q147" s="232"/>
    </row>
    <row r="148" spans="1:32" ht="12" customHeight="1">
      <c r="B148" s="192" t="s">
        <v>2865</v>
      </c>
      <c r="C148" s="197" t="s">
        <v>3779</v>
      </c>
      <c r="D148" s="197"/>
      <c r="E148" s="197"/>
      <c r="F148" s="197"/>
      <c r="G148" s="197"/>
      <c r="H148" s="197"/>
      <c r="I148" s="197"/>
      <c r="J148" s="197"/>
      <c r="K148" s="197"/>
      <c r="L148" s="197"/>
      <c r="M148" s="197"/>
      <c r="O148" s="219" t="s">
        <v>2865</v>
      </c>
      <c r="P148" s="1578" t="s">
        <v>3984</v>
      </c>
      <c r="Q148" s="232"/>
    </row>
    <row r="149" spans="1:32" ht="12" customHeight="1">
      <c r="B149" s="192" t="s">
        <v>1145</v>
      </c>
      <c r="C149" s="197" t="s">
        <v>3780</v>
      </c>
      <c r="D149" s="197"/>
      <c r="E149" s="197"/>
      <c r="F149" s="197"/>
      <c r="G149" s="197"/>
      <c r="H149" s="197"/>
      <c r="I149" s="197"/>
      <c r="J149" s="197"/>
      <c r="K149" s="197"/>
      <c r="L149" s="197"/>
      <c r="M149" s="197"/>
      <c r="O149" s="219" t="s">
        <v>1145</v>
      </c>
      <c r="P149" s="1578" t="s">
        <v>3984</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8" t="s">
        <v>3984</v>
      </c>
      <c r="Q150" s="232"/>
    </row>
    <row r="151" spans="1:32" ht="12" customHeight="1">
      <c r="B151" s="192"/>
      <c r="C151" s="197"/>
      <c r="D151" s="197"/>
      <c r="E151" s="728" t="s">
        <v>2591</v>
      </c>
      <c r="F151" s="197" t="s">
        <v>3782</v>
      </c>
      <c r="G151" s="197"/>
      <c r="H151" s="197"/>
      <c r="I151" s="197"/>
      <c r="J151" s="197"/>
      <c r="K151" s="197"/>
      <c r="L151" s="197"/>
      <c r="M151" s="197"/>
      <c r="O151" s="728" t="s">
        <v>2591</v>
      </c>
      <c r="P151" s="1578" t="s">
        <v>3984</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02" t="s">
        <v>3984</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8" t="s">
        <v>3984</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02" t="s">
        <v>3984</v>
      </c>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78" t="s">
        <v>3984</v>
      </c>
      <c r="Q155" s="232"/>
    </row>
    <row r="156" spans="1:32" ht="12" customHeight="1">
      <c r="B156" s="192" t="s">
        <v>2588</v>
      </c>
      <c r="C156" s="197" t="s">
        <v>3352</v>
      </c>
      <c r="D156" s="197"/>
      <c r="E156" s="197"/>
      <c r="F156" s="197"/>
      <c r="G156" s="197"/>
      <c r="H156" s="197"/>
      <c r="I156" s="197"/>
      <c r="J156" s="197"/>
      <c r="K156" s="197"/>
      <c r="L156" s="197"/>
      <c r="M156" s="197"/>
      <c r="O156" s="219" t="s">
        <v>2588</v>
      </c>
      <c r="P156" s="1578" t="s">
        <v>3984</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82" t="s">
        <v>4072</v>
      </c>
      <c r="B158" s="1583"/>
      <c r="C158" s="1583"/>
      <c r="D158" s="1583"/>
      <c r="E158" s="1583"/>
      <c r="F158" s="1583"/>
      <c r="G158" s="1583"/>
      <c r="H158" s="1583"/>
      <c r="I158" s="1583"/>
      <c r="J158" s="1583"/>
      <c r="K158" s="1583"/>
      <c r="L158" s="1583"/>
      <c r="M158" s="1583"/>
      <c r="N158" s="1583"/>
      <c r="O158" s="1583"/>
      <c r="P158" s="1583"/>
      <c r="Q158" s="1584"/>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8" t="s">
        <v>4049</v>
      </c>
      <c r="K163" s="1589"/>
      <c r="L163" s="1589"/>
      <c r="M163" s="1589"/>
      <c r="N163" s="1590"/>
      <c r="O163" s="79" t="s">
        <v>2590</v>
      </c>
      <c r="P163" s="1578" t="s">
        <v>3982</v>
      </c>
      <c r="Q163" s="232"/>
    </row>
    <row r="164" spans="1:31" ht="12" customHeight="1">
      <c r="A164" s="189"/>
      <c r="B164" s="180"/>
      <c r="C164" s="143"/>
      <c r="D164" s="143"/>
      <c r="E164" s="143"/>
      <c r="F164" s="143"/>
      <c r="H164" s="79" t="s">
        <v>2591</v>
      </c>
      <c r="I164" s="62" t="s">
        <v>2204</v>
      </c>
      <c r="J164" s="1588" t="s">
        <v>3985</v>
      </c>
      <c r="K164" s="1589"/>
      <c r="L164" s="1589"/>
      <c r="M164" s="1589"/>
      <c r="N164" s="1590"/>
      <c r="O164" s="79" t="s">
        <v>2591</v>
      </c>
      <c r="P164" s="1578" t="s">
        <v>3984</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82" t="s">
        <v>4085</v>
      </c>
      <c r="B166" s="1583"/>
      <c r="C166" s="1583"/>
      <c r="D166" s="1583"/>
      <c r="E166" s="1583"/>
      <c r="F166" s="1583"/>
      <c r="G166" s="1583"/>
      <c r="H166" s="1583"/>
      <c r="I166" s="1583"/>
      <c r="J166" s="1583"/>
      <c r="K166" s="1583"/>
      <c r="L166" s="1583"/>
      <c r="M166" s="1583"/>
      <c r="N166" s="1583"/>
      <c r="O166" s="1583"/>
      <c r="P166" s="1583"/>
      <c r="Q166" s="1584"/>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8"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8"/>
      <c r="Q173" s="232"/>
    </row>
    <row r="174" spans="1:31" ht="11.45" customHeight="1">
      <c r="A174" s="189"/>
      <c r="B174" s="192" t="s">
        <v>2865</v>
      </c>
      <c r="C174" s="1125" t="s">
        <v>2720</v>
      </c>
      <c r="D174" s="1125"/>
      <c r="E174" s="1125"/>
      <c r="F174" s="1125"/>
      <c r="G174" s="1125"/>
      <c r="H174" s="79" t="s">
        <v>2590</v>
      </c>
      <c r="I174" s="62" t="s">
        <v>894</v>
      </c>
      <c r="J174" s="1588" t="s">
        <v>3985</v>
      </c>
      <c r="K174" s="1589"/>
      <c r="L174" s="1589"/>
      <c r="M174" s="1589"/>
      <c r="N174" s="1590"/>
      <c r="O174" s="79" t="s">
        <v>2030</v>
      </c>
      <c r="P174" s="1578" t="s">
        <v>3984</v>
      </c>
      <c r="Q174" s="232"/>
    </row>
    <row r="175" spans="1:31" ht="11.45" customHeight="1">
      <c r="A175" s="189"/>
      <c r="B175" s="861"/>
      <c r="C175" s="1125"/>
      <c r="D175" s="1125"/>
      <c r="E175" s="1125"/>
      <c r="F175" s="1125"/>
      <c r="G175" s="1125"/>
      <c r="H175" s="79" t="s">
        <v>2591</v>
      </c>
      <c r="I175" s="62" t="s">
        <v>125</v>
      </c>
      <c r="J175" s="1588" t="s">
        <v>3985</v>
      </c>
      <c r="K175" s="1589"/>
      <c r="L175" s="1589"/>
      <c r="M175" s="1589"/>
      <c r="N175" s="1590"/>
      <c r="O175" s="79" t="s">
        <v>2591</v>
      </c>
      <c r="P175" s="1578" t="s">
        <v>3984</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82" t="s">
        <v>4073</v>
      </c>
      <c r="B177" s="1583"/>
      <c r="C177" s="1583"/>
      <c r="D177" s="1583"/>
      <c r="E177" s="1583"/>
      <c r="F177" s="1583"/>
      <c r="G177" s="1583"/>
      <c r="H177" s="1583"/>
      <c r="I177" s="1583"/>
      <c r="J177" s="1583"/>
      <c r="K177" s="1583"/>
      <c r="L177" s="1583"/>
      <c r="M177" s="1583"/>
      <c r="N177" s="1583"/>
      <c r="O177" s="1583"/>
      <c r="P177" s="1583"/>
      <c r="Q177" s="1584"/>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8" t="s">
        <v>3984</v>
      </c>
      <c r="Q183" s="232"/>
    </row>
    <row r="184" spans="1:32" ht="11.45" customHeight="1">
      <c r="B184" s="55" t="s">
        <v>2865</v>
      </c>
      <c r="C184" s="62" t="s">
        <v>176</v>
      </c>
      <c r="D184" s="62"/>
      <c r="E184" s="62"/>
      <c r="F184" s="62"/>
      <c r="G184" s="62"/>
      <c r="H184" s="62"/>
      <c r="I184" s="50"/>
      <c r="J184" s="50"/>
      <c r="K184" s="50"/>
      <c r="L184" s="190"/>
      <c r="M184" s="190"/>
      <c r="O184" s="219" t="s">
        <v>2865</v>
      </c>
      <c r="P184" s="1578" t="s">
        <v>3984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8" t="s">
        <v>3984</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8" t="s">
        <v>3984</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82" t="s">
        <v>4074</v>
      </c>
      <c r="B188" s="1583"/>
      <c r="C188" s="1583"/>
      <c r="D188" s="1583"/>
      <c r="E188" s="1583"/>
      <c r="F188" s="1583"/>
      <c r="G188" s="1583"/>
      <c r="H188" s="1583"/>
      <c r="I188" s="1583"/>
      <c r="J188" s="1583"/>
      <c r="K188" s="1583"/>
      <c r="L188" s="1583"/>
      <c r="M188" s="1583"/>
      <c r="N188" s="1583"/>
      <c r="O188" s="1583"/>
      <c r="P188" s="1583"/>
      <c r="Q188" s="1584"/>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8" t="s">
        <v>3982</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8" t="s">
        <v>768</v>
      </c>
      <c r="N196" s="1589"/>
      <c r="O196" s="1590"/>
      <c r="P196" s="1578" t="s">
        <v>4041</v>
      </c>
      <c r="Q196" s="232"/>
    </row>
    <row r="197" spans="1:32" ht="11.45" customHeight="1">
      <c r="B197" s="55"/>
      <c r="C197" s="79" t="s">
        <v>2591</v>
      </c>
      <c r="D197" s="38" t="s">
        <v>180</v>
      </c>
      <c r="E197" s="38"/>
      <c r="F197" s="38"/>
      <c r="G197" s="38"/>
      <c r="H197" s="38"/>
      <c r="I197" s="50"/>
      <c r="J197" s="50"/>
      <c r="K197" s="50"/>
      <c r="L197" s="79" t="s">
        <v>2082</v>
      </c>
      <c r="M197" s="1588" t="s">
        <v>4050</v>
      </c>
      <c r="N197" s="1589"/>
      <c r="O197" s="1590"/>
      <c r="P197" s="1578" t="s">
        <v>4041</v>
      </c>
      <c r="Q197" s="232"/>
    </row>
    <row r="198" spans="1:32" ht="11.45" customHeight="1">
      <c r="B198" s="55"/>
      <c r="C198" s="79" t="s">
        <v>2592</v>
      </c>
      <c r="D198" s="38" t="s">
        <v>796</v>
      </c>
      <c r="E198" s="38"/>
      <c r="F198" s="38"/>
      <c r="G198" s="38"/>
      <c r="H198" s="38"/>
      <c r="I198" s="50"/>
      <c r="J198" s="50"/>
      <c r="K198" s="50"/>
      <c r="L198" s="79" t="s">
        <v>2083</v>
      </c>
      <c r="M198" s="1611" t="s">
        <v>4051</v>
      </c>
      <c r="N198" s="1612"/>
      <c r="O198" s="1613"/>
      <c r="P198" s="1578" t="s">
        <v>4041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8" t="s">
        <v>4041</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4" t="s">
        <v>4052</v>
      </c>
      <c r="E203" s="1615"/>
      <c r="F203" s="1615"/>
      <c r="G203" s="1615"/>
      <c r="H203" s="1616"/>
      <c r="I203" s="447"/>
      <c r="J203" s="292"/>
      <c r="K203" s="79" t="s">
        <v>2592</v>
      </c>
      <c r="L203" s="1614" t="s">
        <v>4054</v>
      </c>
      <c r="M203" s="1615"/>
      <c r="N203" s="1615"/>
      <c r="O203" s="1616"/>
      <c r="P203" s="355"/>
      <c r="Q203" s="292"/>
      <c r="AE203" s="64"/>
      <c r="AF203" s="64"/>
    </row>
    <row r="204" spans="1:32" s="51" customFormat="1" ht="11.45" customHeight="1">
      <c r="A204" s="126"/>
      <c r="B204" s="61"/>
      <c r="C204" s="79" t="s">
        <v>2591</v>
      </c>
      <c r="D204" s="1617" t="s">
        <v>4053</v>
      </c>
      <c r="E204" s="1618"/>
      <c r="F204" s="1618"/>
      <c r="G204" s="1618"/>
      <c r="H204" s="1619"/>
      <c r="I204" s="652"/>
      <c r="J204" s="293"/>
      <c r="K204" s="79" t="s">
        <v>3331</v>
      </c>
      <c r="L204" s="1617" t="s">
        <v>4055</v>
      </c>
      <c r="M204" s="1618"/>
      <c r="N204" s="1618"/>
      <c r="O204" s="1619"/>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8" t="s">
        <v>4041</v>
      </c>
      <c r="Q206" s="232"/>
    </row>
    <row r="207" spans="1:32" ht="11.45" customHeight="1">
      <c r="B207" s="55"/>
      <c r="C207" s="79" t="s">
        <v>2590</v>
      </c>
      <c r="D207" s="62" t="s">
        <v>188</v>
      </c>
      <c r="E207" s="62"/>
      <c r="F207" s="62"/>
      <c r="G207" s="62"/>
      <c r="H207" s="62"/>
      <c r="I207" s="50"/>
      <c r="J207" s="40"/>
      <c r="K207" s="50"/>
      <c r="L207" s="40"/>
      <c r="M207" s="40"/>
      <c r="O207" s="79" t="s">
        <v>2590</v>
      </c>
      <c r="P207" s="1578" t="s">
        <v>3984</v>
      </c>
      <c r="Q207" s="232"/>
    </row>
    <row r="208" spans="1:32" ht="11.45" customHeight="1">
      <c r="C208" s="79" t="s">
        <v>2591</v>
      </c>
      <c r="D208" s="38" t="s">
        <v>2490</v>
      </c>
      <c r="E208" s="38"/>
      <c r="F208" s="38"/>
      <c r="G208" s="38"/>
      <c r="H208" s="38"/>
      <c r="I208" s="50"/>
      <c r="J208" s="40"/>
      <c r="K208" s="50"/>
      <c r="L208" s="40"/>
      <c r="M208" s="40"/>
      <c r="O208" s="79" t="s">
        <v>2591</v>
      </c>
      <c r="P208" s="1578" t="s">
        <v>3984</v>
      </c>
      <c r="Q208" s="232"/>
    </row>
    <row r="209" spans="1:31" ht="11.45" customHeight="1">
      <c r="C209" s="79" t="s">
        <v>2592</v>
      </c>
      <c r="D209" s="38" t="s">
        <v>2107</v>
      </c>
      <c r="E209" s="38"/>
      <c r="F209" s="38"/>
      <c r="G209" s="38"/>
      <c r="H209" s="38"/>
      <c r="I209" s="50"/>
      <c r="J209" s="40"/>
      <c r="K209" s="50"/>
      <c r="L209" s="40"/>
      <c r="M209" s="40"/>
      <c r="O209" s="79" t="s">
        <v>2592</v>
      </c>
      <c r="P209" s="1578" t="s">
        <v>3984</v>
      </c>
      <c r="Q209" s="232"/>
    </row>
    <row r="210" spans="1:31" ht="11.45" customHeight="1">
      <c r="B210" s="55"/>
      <c r="C210" s="79" t="s">
        <v>3331</v>
      </c>
      <c r="D210" s="38" t="s">
        <v>189</v>
      </c>
      <c r="E210" s="38"/>
      <c r="F210" s="38"/>
      <c r="G210" s="38"/>
      <c r="H210" s="38"/>
      <c r="I210" s="50"/>
      <c r="J210" s="40"/>
      <c r="K210" s="50"/>
      <c r="L210" s="40"/>
      <c r="M210" s="40"/>
      <c r="O210" s="79" t="s">
        <v>3331</v>
      </c>
      <c r="P210" s="1578" t="s">
        <v>3984</v>
      </c>
      <c r="Q210" s="232"/>
    </row>
    <row r="211" spans="1:31" ht="11.45" customHeight="1">
      <c r="B211" s="55"/>
      <c r="C211" s="79" t="s">
        <v>2153</v>
      </c>
      <c r="D211" s="62" t="s">
        <v>1256</v>
      </c>
      <c r="E211" s="62"/>
      <c r="F211" s="62"/>
      <c r="G211" s="62"/>
      <c r="H211" s="62"/>
      <c r="I211" s="50"/>
      <c r="J211" s="40"/>
      <c r="K211" s="50"/>
      <c r="L211" s="40"/>
      <c r="M211" s="40"/>
      <c r="O211" s="79" t="s">
        <v>1257</v>
      </c>
      <c r="P211" s="1578" t="s">
        <v>3984</v>
      </c>
      <c r="Q211" s="232"/>
    </row>
    <row r="212" spans="1:31" ht="11.45" customHeight="1">
      <c r="B212" s="55"/>
      <c r="C212" s="79"/>
      <c r="D212" s="62" t="s">
        <v>2084</v>
      </c>
      <c r="E212" s="62"/>
      <c r="F212" s="62"/>
      <c r="G212" s="62"/>
      <c r="H212" s="62"/>
      <c r="I212" s="50"/>
      <c r="J212" s="40"/>
      <c r="K212" s="50"/>
      <c r="L212" s="40"/>
      <c r="M212" s="40"/>
      <c r="O212" s="79" t="s">
        <v>1258</v>
      </c>
      <c r="P212" s="1578" t="s">
        <v>3982</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8" t="s">
        <v>4041</v>
      </c>
      <c r="Q214" s="232"/>
    </row>
    <row r="215" spans="1:31" ht="11.45" customHeight="1">
      <c r="B215" s="55"/>
      <c r="C215" s="79" t="s">
        <v>2590</v>
      </c>
      <c r="D215" s="47" t="s">
        <v>1807</v>
      </c>
      <c r="E215" s="50"/>
      <c r="F215" s="50"/>
      <c r="G215" s="47"/>
      <c r="H215" s="38"/>
      <c r="I215" s="50"/>
      <c r="J215" s="38"/>
      <c r="K215" s="50"/>
      <c r="L215" s="38"/>
      <c r="M215" s="38"/>
      <c r="O215" s="79" t="s">
        <v>2590</v>
      </c>
      <c r="P215" s="1578" t="s">
        <v>3984</v>
      </c>
      <c r="Q215" s="232"/>
    </row>
    <row r="216" spans="1:31" ht="11.45" customHeight="1">
      <c r="B216" s="55"/>
      <c r="C216" s="79" t="s">
        <v>2591</v>
      </c>
      <c r="D216" s="47" t="s">
        <v>181</v>
      </c>
      <c r="E216" s="50"/>
      <c r="F216" s="50"/>
      <c r="G216" s="38"/>
      <c r="H216" s="38"/>
      <c r="I216" s="50"/>
      <c r="J216" s="38"/>
      <c r="K216" s="50"/>
      <c r="L216" s="38"/>
      <c r="M216" s="38"/>
      <c r="O216" s="79" t="s">
        <v>2591</v>
      </c>
      <c r="P216" s="1578" t="s">
        <v>3984</v>
      </c>
      <c r="Q216" s="232"/>
    </row>
    <row r="217" spans="1:31" ht="11.45" customHeight="1">
      <c r="B217" s="55"/>
      <c r="C217" s="79" t="s">
        <v>2592</v>
      </c>
      <c r="D217" s="38" t="s">
        <v>2468</v>
      </c>
      <c r="E217" s="50"/>
      <c r="F217" s="50"/>
      <c r="G217" s="38"/>
      <c r="H217" s="38"/>
      <c r="I217" s="50"/>
      <c r="J217" s="38"/>
      <c r="K217" s="50"/>
      <c r="L217" s="38"/>
      <c r="M217" s="38"/>
      <c r="O217" s="79" t="s">
        <v>3340</v>
      </c>
      <c r="P217" s="1578" t="s">
        <v>3984</v>
      </c>
      <c r="Q217" s="232"/>
    </row>
    <row r="218" spans="1:31" ht="11.45" customHeight="1">
      <c r="B218" s="44"/>
      <c r="C218" s="50"/>
      <c r="D218" s="38" t="s">
        <v>1852</v>
      </c>
      <c r="E218" s="50"/>
      <c r="F218" s="50"/>
      <c r="G218" s="38"/>
      <c r="H218" s="38"/>
      <c r="I218" s="50"/>
      <c r="J218" s="38"/>
      <c r="K218" s="50"/>
      <c r="L218" s="38"/>
      <c r="M218" s="38"/>
      <c r="O218" s="79" t="s">
        <v>3341</v>
      </c>
      <c r="P218" s="1578"/>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82" t="s">
        <v>4058</v>
      </c>
      <c r="B220" s="1583"/>
      <c r="C220" s="1583"/>
      <c r="D220" s="1583"/>
      <c r="E220" s="1583"/>
      <c r="F220" s="1583"/>
      <c r="G220" s="1583"/>
      <c r="H220" s="1583"/>
      <c r="I220" s="1583"/>
      <c r="J220" s="1583"/>
      <c r="K220" s="1583"/>
      <c r="L220" s="1583"/>
      <c r="M220" s="1583"/>
      <c r="N220" s="1583"/>
      <c r="O220" s="1583"/>
      <c r="P220" s="1583"/>
      <c r="Q220" s="1584"/>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8" t="s">
        <v>4056</v>
      </c>
      <c r="N226" s="1589"/>
      <c r="O226" s="1590"/>
      <c r="P226" s="1149" t="s">
        <v>2626</v>
      </c>
      <c r="Q226" s="1150"/>
    </row>
    <row r="227" spans="1:32" ht="11.45" customHeight="1">
      <c r="B227" s="55" t="s">
        <v>2865</v>
      </c>
      <c r="C227" s="62" t="s">
        <v>1795</v>
      </c>
      <c r="D227" s="62"/>
      <c r="E227" s="62"/>
      <c r="F227" s="62"/>
      <c r="G227" s="62"/>
      <c r="H227" s="62"/>
      <c r="I227" s="50"/>
      <c r="J227" s="50"/>
      <c r="K227" s="50"/>
      <c r="L227" s="803" t="s">
        <v>2865</v>
      </c>
      <c r="M227" s="1620">
        <v>41069</v>
      </c>
      <c r="N227" s="1621"/>
      <c r="O227" s="1622"/>
      <c r="P227" s="1130"/>
      <c r="Q227" s="1131"/>
    </row>
    <row r="228" spans="1:32" s="199" customFormat="1" ht="11.45" customHeight="1">
      <c r="B228" s="55" t="s">
        <v>1145</v>
      </c>
      <c r="C228" s="62" t="s">
        <v>2823</v>
      </c>
      <c r="D228" s="62"/>
      <c r="E228" s="62"/>
      <c r="F228" s="62"/>
      <c r="G228" s="62"/>
      <c r="H228" s="62"/>
      <c r="I228" s="126"/>
      <c r="J228" s="126"/>
      <c r="K228" s="126"/>
      <c r="L228" s="803" t="s">
        <v>1145</v>
      </c>
      <c r="M228" s="1588" t="s">
        <v>4057</v>
      </c>
      <c r="N228" s="1589"/>
      <c r="O228" s="1590"/>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8" t="s">
        <v>3982</v>
      </c>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8" t="s">
        <v>4041</v>
      </c>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82" t="s">
        <v>4086</v>
      </c>
      <c r="B232" s="1583"/>
      <c r="C232" s="1583"/>
      <c r="D232" s="1583"/>
      <c r="E232" s="1583"/>
      <c r="F232" s="1583"/>
      <c r="G232" s="1583"/>
      <c r="H232" s="1583"/>
      <c r="I232" s="1583"/>
      <c r="J232" s="1583"/>
      <c r="K232" s="1583"/>
      <c r="L232" s="1583"/>
      <c r="M232" s="1583"/>
      <c r="N232" s="1583"/>
      <c r="O232" s="1583"/>
      <c r="P232" s="1583"/>
      <c r="Q232" s="1584"/>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602" t="s">
        <v>3984</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8" t="s">
        <v>3984</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82" t="s">
        <v>4075</v>
      </c>
      <c r="B241" s="1583"/>
      <c r="C241" s="1583"/>
      <c r="D241" s="1583"/>
      <c r="E241" s="1583"/>
      <c r="F241" s="1583"/>
      <c r="G241" s="1583"/>
      <c r="H241" s="1583"/>
      <c r="I241" s="1583"/>
      <c r="J241" s="1583"/>
      <c r="K241" s="1583"/>
      <c r="L241" s="1583"/>
      <c r="M241" s="1583"/>
      <c r="N241" s="1583"/>
      <c r="O241" s="1583"/>
      <c r="P241" s="1583"/>
      <c r="Q241" s="1584"/>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78" t="s">
        <v>4041</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78" t="s">
        <v>4041</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82"/>
      <c r="B250" s="1583"/>
      <c r="C250" s="1583"/>
      <c r="D250" s="1583"/>
      <c r="E250" s="1583"/>
      <c r="F250" s="1583"/>
      <c r="G250" s="1583"/>
      <c r="H250" s="1583"/>
      <c r="I250" s="1583"/>
      <c r="J250" s="1583"/>
      <c r="K250" s="1583"/>
      <c r="L250" s="1583"/>
      <c r="M250" s="1583"/>
      <c r="N250" s="1583"/>
      <c r="O250" s="1583"/>
      <c r="P250" s="1583"/>
      <c r="Q250" s="1584"/>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602" t="s">
        <v>3984</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78" t="s">
        <v>3984</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02" t="s">
        <v>3984</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8" t="s">
        <v>3984</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02" t="s">
        <v>3984</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82" t="s">
        <v>4059</v>
      </c>
      <c r="B261" s="1583"/>
      <c r="C261" s="1583"/>
      <c r="D261" s="1583"/>
      <c r="E261" s="1583"/>
      <c r="F261" s="1583"/>
      <c r="G261" s="1583"/>
      <c r="H261" s="1583"/>
      <c r="I261" s="1583"/>
      <c r="J261" s="1583"/>
      <c r="K261" s="1583"/>
      <c r="L261" s="1583"/>
      <c r="M261" s="1583"/>
      <c r="N261" s="1583"/>
      <c r="O261" s="1583"/>
      <c r="P261" s="1583"/>
      <c r="Q261" s="1584"/>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78" t="s">
        <v>3984</v>
      </c>
      <c r="Q265" s="232"/>
    </row>
    <row r="266" spans="1:256" ht="12" customHeight="1">
      <c r="B266" s="197" t="s">
        <v>3112</v>
      </c>
      <c r="C266" s="197"/>
      <c r="D266" s="197"/>
      <c r="E266" s="197"/>
      <c r="F266" s="197"/>
      <c r="G266" s="197"/>
      <c r="H266" s="197"/>
      <c r="I266" s="197"/>
      <c r="J266" s="197"/>
      <c r="K266" s="197"/>
      <c r="L266" s="197"/>
      <c r="P266" s="1578" t="s">
        <v>3984</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602" t="s">
        <v>3984</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23" t="s">
        <v>2027</v>
      </c>
      <c r="H271" s="1624"/>
      <c r="I271" s="1624"/>
      <c r="J271" s="1624"/>
      <c r="K271" s="1624"/>
      <c r="L271" s="1624"/>
      <c r="M271" s="1624"/>
      <c r="N271" s="1625"/>
      <c r="O271" s="298" t="s">
        <v>2590</v>
      </c>
      <c r="P271" s="1602" t="s">
        <v>3984</v>
      </c>
      <c r="Q271" s="354"/>
    </row>
    <row r="272" spans="1:256" ht="23.25" customHeight="1">
      <c r="A272" s="194"/>
      <c r="C272" s="294" t="s">
        <v>2591</v>
      </c>
      <c r="D272" s="1110" t="s">
        <v>1648</v>
      </c>
      <c r="E272" s="1111"/>
      <c r="F272" s="1112"/>
      <c r="G272" s="1582" t="s">
        <v>3788</v>
      </c>
      <c r="H272" s="1446"/>
      <c r="I272" s="1446"/>
      <c r="J272" s="1446"/>
      <c r="K272" s="1446"/>
      <c r="L272" s="1446"/>
      <c r="M272" s="1446"/>
      <c r="N272" s="1447"/>
      <c r="O272" s="298" t="s">
        <v>2591</v>
      </c>
      <c r="P272" s="1602" t="s">
        <v>3984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6"/>
      <c r="E275" s="1627"/>
      <c r="F275" s="1627"/>
      <c r="G275" s="1627"/>
      <c r="H275" s="1627"/>
      <c r="I275" s="1627"/>
      <c r="J275" s="1627"/>
      <c r="K275" s="1627"/>
      <c r="L275" s="1627"/>
      <c r="M275" s="1627"/>
      <c r="N275" s="1628"/>
      <c r="O275" s="298" t="s">
        <v>2590</v>
      </c>
      <c r="P275" s="1602"/>
      <c r="Q275" s="354"/>
      <c r="AE275" s="806"/>
      <c r="AF275" s="806"/>
    </row>
    <row r="276" spans="1:256" s="182" customFormat="1" ht="11.25" customHeight="1">
      <c r="A276" s="194"/>
      <c r="C276" s="294" t="s">
        <v>2591</v>
      </c>
      <c r="D276" s="1626"/>
      <c r="E276" s="1627"/>
      <c r="F276" s="1627"/>
      <c r="G276" s="1627"/>
      <c r="H276" s="1627"/>
      <c r="I276" s="1627"/>
      <c r="J276" s="1627"/>
      <c r="K276" s="1627"/>
      <c r="L276" s="1627"/>
      <c r="M276" s="1627"/>
      <c r="N276" s="1628"/>
      <c r="O276" s="298" t="s">
        <v>2591</v>
      </c>
      <c r="P276" s="1602"/>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82" t="s">
        <v>4060</v>
      </c>
      <c r="B279" s="1583"/>
      <c r="C279" s="1583"/>
      <c r="D279" s="1583"/>
      <c r="E279" s="1583"/>
      <c r="F279" s="1583"/>
      <c r="G279" s="1583"/>
      <c r="H279" s="1583"/>
      <c r="I279" s="1583"/>
      <c r="J279" s="1583"/>
      <c r="K279" s="1583"/>
      <c r="L279" s="1583"/>
      <c r="M279" s="1583"/>
      <c r="N279" s="1583"/>
      <c r="O279" s="1583"/>
      <c r="P279" s="1583"/>
      <c r="Q279" s="1584"/>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78" t="s">
        <v>3984</v>
      </c>
      <c r="Q285" s="232"/>
    </row>
    <row r="286" spans="1:256" ht="11.45" customHeight="1">
      <c r="B286" s="195" t="s">
        <v>3285</v>
      </c>
      <c r="P286" s="1578" t="s">
        <v>3982</v>
      </c>
      <c r="Q286" s="232"/>
    </row>
    <row r="287" spans="1:256" ht="11.45" customHeight="1">
      <c r="B287" s="195" t="s">
        <v>850</v>
      </c>
      <c r="L287" s="1629" t="s">
        <v>4076</v>
      </c>
      <c r="M287" s="1630"/>
      <c r="N287" s="1630"/>
      <c r="O287" s="1631"/>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82" t="s">
        <v>4087</v>
      </c>
      <c r="B290" s="1583"/>
      <c r="C290" s="1583"/>
      <c r="D290" s="1583"/>
      <c r="E290" s="1583"/>
      <c r="F290" s="1583"/>
      <c r="G290" s="1583"/>
      <c r="H290" s="1583"/>
      <c r="I290" s="1583"/>
      <c r="J290" s="1583"/>
      <c r="K290" s="1583"/>
      <c r="L290" s="1583"/>
      <c r="M290" s="1583"/>
      <c r="N290" s="1583"/>
      <c r="O290" s="1583"/>
      <c r="P290" s="1583"/>
      <c r="Q290" s="1584"/>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78" t="s">
        <v>3984</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78" t="s">
        <v>3984</v>
      </c>
      <c r="Q297" s="232"/>
    </row>
    <row r="298" spans="1:31" ht="11.45" customHeight="1">
      <c r="B298" s="192" t="s">
        <v>1145</v>
      </c>
      <c r="C298" s="197" t="s">
        <v>3837</v>
      </c>
      <c r="D298" s="197"/>
      <c r="E298" s="197"/>
      <c r="F298" s="197"/>
      <c r="G298" s="197"/>
      <c r="H298" s="197"/>
      <c r="I298" s="197"/>
      <c r="J298" s="197"/>
      <c r="K298" s="197"/>
      <c r="L298" s="197"/>
      <c r="M298" s="197"/>
      <c r="O298" s="219" t="s">
        <v>1145</v>
      </c>
      <c r="P298" s="1578" t="s">
        <v>3984</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78" t="s">
        <v>3984</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28.5" customHeight="1">
      <c r="A301" s="1582" t="s">
        <v>4096</v>
      </c>
      <c r="B301" s="1583"/>
      <c r="C301" s="1583"/>
      <c r="D301" s="1583"/>
      <c r="E301" s="1583"/>
      <c r="F301" s="1583"/>
      <c r="G301" s="1583"/>
      <c r="H301" s="1583"/>
      <c r="I301" s="1583"/>
      <c r="J301" s="1583"/>
      <c r="K301" s="1583"/>
      <c r="L301" s="1583"/>
      <c r="M301" s="1583"/>
      <c r="N301" s="1583"/>
      <c r="O301" s="1583"/>
      <c r="P301" s="1583"/>
      <c r="Q301" s="1584"/>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591"/>
      <c r="L306" s="1592"/>
      <c r="M306" s="1592"/>
      <c r="N306" s="1592"/>
      <c r="O306" s="1592"/>
      <c r="P306" s="1603"/>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602"/>
      <c r="Q307" s="232"/>
    </row>
    <row r="308" spans="1:32" ht="11.45" customHeight="1">
      <c r="B308" s="55" t="s">
        <v>1145</v>
      </c>
      <c r="C308" s="62" t="s">
        <v>3874</v>
      </c>
      <c r="D308" s="62"/>
      <c r="E308" s="62"/>
      <c r="F308" s="62"/>
      <c r="G308" s="62"/>
      <c r="H308" s="62"/>
      <c r="I308" s="62"/>
      <c r="J308" s="62"/>
      <c r="K308" s="62"/>
      <c r="L308" s="38"/>
      <c r="M308" s="38"/>
      <c r="O308" s="803" t="s">
        <v>1145</v>
      </c>
      <c r="P308" s="1578"/>
      <c r="Q308" s="232"/>
    </row>
    <row r="309" spans="1:32" ht="11.45" customHeight="1">
      <c r="B309" s="55" t="s">
        <v>3004</v>
      </c>
      <c r="C309" s="62" t="s">
        <v>3875</v>
      </c>
      <c r="D309" s="62"/>
      <c r="E309" s="62"/>
      <c r="F309" s="62"/>
      <c r="G309" s="62"/>
      <c r="H309" s="62"/>
      <c r="I309" s="62"/>
      <c r="J309" s="62"/>
      <c r="K309" s="62"/>
      <c r="L309" s="62"/>
      <c r="M309" s="62"/>
      <c r="O309" s="803" t="s">
        <v>3004</v>
      </c>
      <c r="P309" s="1578"/>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02"/>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02"/>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8"/>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82"/>
      <c r="B314" s="1583"/>
      <c r="C314" s="1583"/>
      <c r="D314" s="1583"/>
      <c r="E314" s="1583"/>
      <c r="F314" s="1583"/>
      <c r="G314" s="1583"/>
      <c r="H314" s="1583"/>
      <c r="I314" s="1583"/>
      <c r="J314" s="1583"/>
      <c r="K314" s="1583"/>
      <c r="L314" s="1583"/>
      <c r="M314" s="1583"/>
      <c r="N314" s="1583"/>
      <c r="O314" s="1583"/>
      <c r="P314" s="1583"/>
      <c r="Q314" s="1584"/>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02"/>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02"/>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02"/>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02"/>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02"/>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82"/>
      <c r="B337" s="1583"/>
      <c r="C337" s="1583"/>
      <c r="D337" s="1583"/>
      <c r="E337" s="1583"/>
      <c r="F337" s="1583"/>
      <c r="G337" s="1583"/>
      <c r="H337" s="1583"/>
      <c r="I337" s="1583"/>
      <c r="J337" s="1583"/>
      <c r="K337" s="1583"/>
      <c r="L337" s="1583"/>
      <c r="M337" s="1583"/>
      <c r="N337" s="1583"/>
      <c r="O337" s="1583"/>
      <c r="P337" s="1583"/>
      <c r="Q337" s="1584"/>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88"/>
      <c r="F342" s="1589"/>
      <c r="G342" s="1589"/>
      <c r="H342" s="1589"/>
      <c r="I342" s="1590"/>
      <c r="J342" s="1168" t="s">
        <v>3832</v>
      </c>
      <c r="K342" s="1169"/>
      <c r="L342" s="1170"/>
      <c r="M342" s="1588"/>
      <c r="N342" s="1589"/>
      <c r="O342" s="1589"/>
      <c r="P342" s="1589"/>
      <c r="Q342" s="1590"/>
    </row>
    <row r="343" spans="1:31" ht="11.45" customHeight="1">
      <c r="B343" s="55" t="s">
        <v>2865</v>
      </c>
      <c r="C343" s="62" t="s">
        <v>2593</v>
      </c>
      <c r="D343" s="62"/>
      <c r="E343" s="62"/>
      <c r="F343" s="62"/>
      <c r="G343" s="62"/>
      <c r="H343" s="62"/>
      <c r="I343" s="62"/>
      <c r="J343" s="62"/>
      <c r="K343" s="62"/>
      <c r="L343" s="38"/>
      <c r="M343" s="38"/>
      <c r="O343" s="803" t="s">
        <v>2865</v>
      </c>
      <c r="P343" s="1578"/>
      <c r="Q343" s="232"/>
    </row>
    <row r="344" spans="1:31" ht="11.45" customHeight="1">
      <c r="B344" s="55" t="s">
        <v>1145</v>
      </c>
      <c r="C344" s="62" t="s">
        <v>2008</v>
      </c>
      <c r="D344" s="62"/>
      <c r="E344" s="62"/>
      <c r="F344" s="62"/>
      <c r="G344" s="62"/>
      <c r="H344" s="62"/>
      <c r="I344" s="62"/>
      <c r="J344" s="62"/>
      <c r="K344" s="62"/>
      <c r="L344" s="62"/>
      <c r="M344" s="62"/>
      <c r="O344" s="803" t="s">
        <v>1145</v>
      </c>
      <c r="P344" s="1578"/>
      <c r="Q344" s="232"/>
    </row>
    <row r="345" spans="1:31" ht="11.45" customHeight="1">
      <c r="B345" s="55" t="s">
        <v>3004</v>
      </c>
      <c r="C345" s="62" t="s">
        <v>3877</v>
      </c>
      <c r="D345" s="62"/>
      <c r="E345" s="62"/>
      <c r="F345" s="62"/>
      <c r="G345" s="62"/>
      <c r="H345" s="62"/>
      <c r="I345" s="62"/>
      <c r="J345" s="62"/>
      <c r="K345" s="62"/>
      <c r="L345" s="62"/>
      <c r="M345" s="62"/>
      <c r="O345" s="803" t="s">
        <v>3004</v>
      </c>
      <c r="P345" s="1578"/>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8"/>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02"/>
      <c r="Q347" s="232"/>
    </row>
    <row r="348" spans="1:31" ht="11.45" customHeight="1">
      <c r="B348" s="55" t="s">
        <v>2825</v>
      </c>
      <c r="C348" s="38" t="s">
        <v>792</v>
      </c>
      <c r="D348" s="203"/>
      <c r="E348" s="203"/>
      <c r="F348" s="203"/>
      <c r="G348" s="203"/>
      <c r="H348" s="203"/>
      <c r="I348" s="203"/>
      <c r="J348" s="203"/>
      <c r="K348" s="203"/>
      <c r="L348" s="203"/>
      <c r="M348" s="203"/>
      <c r="O348" s="803" t="s">
        <v>2825</v>
      </c>
      <c r="P348" s="1578"/>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82"/>
      <c r="B350" s="1583"/>
      <c r="C350" s="1583"/>
      <c r="D350" s="1583"/>
      <c r="E350" s="1583"/>
      <c r="F350" s="1583"/>
      <c r="G350" s="1583"/>
      <c r="H350" s="1583"/>
      <c r="I350" s="1583"/>
      <c r="J350" s="1583"/>
      <c r="K350" s="1583"/>
      <c r="L350" s="1583"/>
      <c r="M350" s="1583"/>
      <c r="N350" s="1583"/>
      <c r="O350" s="1583"/>
      <c r="P350" s="1583"/>
      <c r="Q350" s="1584"/>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32" t="s">
        <v>4088</v>
      </c>
      <c r="O355" s="1633"/>
      <c r="P355" s="1172" t="s">
        <v>2626</v>
      </c>
      <c r="Q355" s="1173"/>
      <c r="AE355" s="6"/>
      <c r="AF355" s="6"/>
    </row>
    <row r="356" spans="1:32" s="2" customFormat="1" ht="12" customHeight="1">
      <c r="B356" s="55" t="s">
        <v>2865</v>
      </c>
      <c r="C356" s="158" t="s">
        <v>1</v>
      </c>
      <c r="D356" s="203"/>
      <c r="E356" s="203"/>
      <c r="G356" s="803" t="s">
        <v>2865</v>
      </c>
      <c r="H356" s="1634" t="s">
        <v>4089</v>
      </c>
      <c r="I356" s="1635"/>
      <c r="J356" s="1635"/>
      <c r="K356" s="1635"/>
      <c r="L356" s="1635"/>
      <c r="M356" s="1635"/>
      <c r="N356" s="1635"/>
      <c r="O356" s="1635"/>
      <c r="P356" s="1636"/>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8" t="s">
        <v>3984</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82" t="s">
        <v>4090</v>
      </c>
      <c r="B359" s="1583"/>
      <c r="C359" s="1583"/>
      <c r="D359" s="1583"/>
      <c r="E359" s="1583"/>
      <c r="F359" s="1583"/>
      <c r="G359" s="1583"/>
      <c r="H359" s="1583"/>
      <c r="I359" s="1583"/>
      <c r="J359" s="1583"/>
      <c r="K359" s="1583"/>
      <c r="L359" s="1583"/>
      <c r="M359" s="1583"/>
      <c r="N359" s="1583"/>
      <c r="O359" s="1583"/>
      <c r="P359" s="1583"/>
      <c r="Q359" s="1584"/>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78" t="s">
        <v>3984</v>
      </c>
      <c r="Q365" s="232"/>
    </row>
    <row r="366" spans="1:32" ht="12" customHeight="1">
      <c r="A366" s="194"/>
      <c r="B366" s="55" t="s">
        <v>2865</v>
      </c>
      <c r="C366" s="62" t="s">
        <v>3839</v>
      </c>
      <c r="D366" s="727"/>
      <c r="E366" s="727"/>
      <c r="O366" s="803" t="s">
        <v>2865</v>
      </c>
      <c r="P366" s="1578" t="s">
        <v>3982</v>
      </c>
      <c r="Q366" s="232"/>
    </row>
    <row r="367" spans="1:32" ht="12" customHeight="1">
      <c r="A367" s="194"/>
      <c r="B367" s="55" t="s">
        <v>1145</v>
      </c>
      <c r="C367" s="62" t="s">
        <v>3895</v>
      </c>
      <c r="D367" s="727"/>
      <c r="E367" s="727"/>
      <c r="O367" s="803" t="s">
        <v>1145</v>
      </c>
      <c r="P367" s="1578" t="s">
        <v>3982</v>
      </c>
      <c r="Q367" s="232"/>
    </row>
    <row r="368" spans="1:32" ht="12" customHeight="1">
      <c r="A368" s="194"/>
      <c r="B368" s="55" t="s">
        <v>3004</v>
      </c>
      <c r="C368" s="62" t="s">
        <v>3831</v>
      </c>
      <c r="E368" s="190"/>
      <c r="O368" s="803" t="s">
        <v>3004</v>
      </c>
      <c r="P368" s="1578" t="s">
        <v>3982</v>
      </c>
      <c r="Q368" s="232"/>
    </row>
    <row r="369" spans="1:31" ht="12" customHeight="1">
      <c r="B369" s="55" t="s">
        <v>2588</v>
      </c>
      <c r="C369" s="62" t="s">
        <v>2967</v>
      </c>
      <c r="E369" s="190"/>
      <c r="G369" s="803" t="s">
        <v>2588</v>
      </c>
      <c r="H369" s="1604"/>
      <c r="I369" s="1605"/>
      <c r="J369" s="1605"/>
      <c r="K369" s="1605"/>
      <c r="L369" s="1605"/>
      <c r="M369" s="1605"/>
      <c r="N369" s="1605"/>
      <c r="O369" s="1606"/>
      <c r="P369" s="1578"/>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82" t="s">
        <v>4077</v>
      </c>
      <c r="B371" s="1583"/>
      <c r="C371" s="1583"/>
      <c r="D371" s="1583"/>
      <c r="E371" s="1583"/>
      <c r="F371" s="1583"/>
      <c r="G371" s="1583"/>
      <c r="H371" s="1583"/>
      <c r="I371" s="1583"/>
      <c r="J371" s="1583"/>
      <c r="K371" s="1583"/>
      <c r="L371" s="1583"/>
      <c r="M371" s="1583"/>
      <c r="N371" s="1583"/>
      <c r="O371" s="1583"/>
      <c r="P371" s="1583"/>
      <c r="Q371" s="1584"/>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8" t="s">
        <v>4041</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8" t="s">
        <v>3984</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82"/>
      <c r="B379" s="1583"/>
      <c r="C379" s="1583"/>
      <c r="D379" s="1583"/>
      <c r="E379" s="1583"/>
      <c r="F379" s="1583"/>
      <c r="G379" s="1583"/>
      <c r="H379" s="1583"/>
      <c r="I379" s="1583"/>
      <c r="J379" s="1584"/>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8" t="s">
        <v>3982</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8"/>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8"/>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78"/>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7"/>
      <c r="H388" s="662" t="s">
        <v>291</v>
      </c>
      <c r="J388" s="184" t="s">
        <v>3106</v>
      </c>
      <c r="K388" s="38"/>
      <c r="N388" s="1637"/>
      <c r="O388" s="662" t="s">
        <v>291</v>
      </c>
    </row>
    <row r="389" spans="1:32" ht="12" customHeight="1">
      <c r="A389" s="50"/>
      <c r="B389" s="55"/>
      <c r="C389" s="184" t="s">
        <v>3104</v>
      </c>
      <c r="D389" s="44"/>
      <c r="E389" s="50"/>
      <c r="F389" s="38"/>
      <c r="G389" s="1637"/>
      <c r="H389" s="662"/>
      <c r="J389" s="184" t="s">
        <v>3107</v>
      </c>
      <c r="K389" s="38"/>
      <c r="N389" s="1637"/>
      <c r="O389" s="662"/>
    </row>
    <row r="390" spans="1:32" ht="12" customHeight="1">
      <c r="A390" s="50"/>
      <c r="B390" s="55"/>
      <c r="C390" s="184" t="s">
        <v>3105</v>
      </c>
      <c r="D390" s="44"/>
      <c r="E390" s="50"/>
      <c r="F390" s="38"/>
      <c r="G390" s="1637"/>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8"/>
      <c r="H392" s="232"/>
      <c r="J392" s="697" t="s">
        <v>1705</v>
      </c>
      <c r="K392" s="38"/>
      <c r="N392" s="1578"/>
      <c r="O392" s="232"/>
    </row>
    <row r="393" spans="1:32" ht="12" customHeight="1">
      <c r="A393" s="50"/>
      <c r="B393" s="55"/>
      <c r="C393" s="697" t="s">
        <v>1704</v>
      </c>
      <c r="D393" s="38"/>
      <c r="E393" s="38"/>
      <c r="F393" s="38"/>
      <c r="G393" s="1578"/>
      <c r="H393" s="232"/>
      <c r="J393" s="697" t="s">
        <v>3166</v>
      </c>
      <c r="N393" s="1638"/>
      <c r="O393" s="1639"/>
      <c r="P393" s="1639"/>
      <c r="Q393" s="1640"/>
    </row>
    <row r="394" spans="1:32" ht="12" customHeight="1">
      <c r="B394" s="191" t="s">
        <v>2737</v>
      </c>
      <c r="D394" s="191"/>
      <c r="E394" s="191"/>
      <c r="F394" s="191"/>
      <c r="G394" s="191"/>
      <c r="H394" s="48"/>
      <c r="I394" s="180"/>
      <c r="J394" s="180"/>
      <c r="K394" s="180"/>
      <c r="P394" s="851"/>
      <c r="Q394" s="60"/>
    </row>
    <row r="395" spans="1:32" ht="12" customHeight="1">
      <c r="A395" s="1582"/>
      <c r="B395" s="1583"/>
      <c r="C395" s="1583"/>
      <c r="D395" s="1583"/>
      <c r="E395" s="1583"/>
      <c r="F395" s="1583"/>
      <c r="G395" s="1583"/>
      <c r="H395" s="1583"/>
      <c r="I395" s="1583"/>
      <c r="J395" s="1583"/>
      <c r="K395" s="1583"/>
      <c r="L395" s="1583"/>
      <c r="M395" s="1583"/>
      <c r="N395" s="1583"/>
      <c r="O395" s="1583"/>
      <c r="P395" s="1583"/>
      <c r="Q395" s="1584"/>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602" t="s">
        <v>4041</v>
      </c>
      <c r="Q400" s="354"/>
      <c r="AE400" s="806"/>
      <c r="AF400" s="806"/>
    </row>
    <row r="401" spans="1:32" s="182" customFormat="1" ht="25.5" customHeight="1">
      <c r="B401" s="192" t="s">
        <v>2865</v>
      </c>
      <c r="C401" s="1162" t="s">
        <v>3882</v>
      </c>
      <c r="D401" s="1162"/>
      <c r="E401" s="1162"/>
      <c r="F401" s="1162"/>
      <c r="G401" s="1162"/>
      <c r="H401" s="1162"/>
      <c r="I401" s="1162"/>
      <c r="J401" s="1162"/>
      <c r="K401" s="1162"/>
      <c r="L401" s="1162"/>
      <c r="M401" s="1162"/>
      <c r="N401" s="1162"/>
      <c r="O401" s="219" t="s">
        <v>2865</v>
      </c>
      <c r="P401" s="1602" t="s">
        <v>4041</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02" t="s">
        <v>4041</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602" t="s">
        <v>4041</v>
      </c>
      <c r="Q403" s="354"/>
      <c r="AE403" s="806"/>
      <c r="AF403" s="806"/>
    </row>
    <row r="404" spans="1:32" s="182" customFormat="1" ht="22.5" customHeight="1">
      <c r="B404" s="192" t="s">
        <v>2588</v>
      </c>
      <c r="C404" s="1162" t="s">
        <v>3885</v>
      </c>
      <c r="D404" s="1162"/>
      <c r="E404" s="1162"/>
      <c r="F404" s="1162"/>
      <c r="G404" s="1162"/>
      <c r="H404" s="1162"/>
      <c r="I404" s="1162"/>
      <c r="J404" s="1162"/>
      <c r="K404" s="1162"/>
      <c r="L404" s="1162"/>
      <c r="M404" s="1162"/>
      <c r="N404" s="1162"/>
      <c r="O404" s="219" t="s">
        <v>2588</v>
      </c>
      <c r="P404" s="1602" t="s">
        <v>4041</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02" t="s">
        <v>4041</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82" t="s">
        <v>4061</v>
      </c>
      <c r="B407" s="1583"/>
      <c r="C407" s="1583"/>
      <c r="D407" s="1583"/>
      <c r="E407" s="1583"/>
      <c r="F407" s="1583"/>
      <c r="G407" s="1583"/>
      <c r="H407" s="1583"/>
      <c r="I407" s="1583"/>
      <c r="J407" s="1583"/>
      <c r="K407" s="1583"/>
      <c r="L407" s="1583"/>
      <c r="M407" s="1583"/>
      <c r="N407" s="1583"/>
      <c r="O407" s="1583"/>
      <c r="P407" s="1583"/>
      <c r="Q407" s="1584"/>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7" customHeight="1">
      <c r="A413" s="1582" t="s">
        <v>4093</v>
      </c>
      <c r="B413" s="1583"/>
      <c r="C413" s="1583"/>
      <c r="D413" s="1583"/>
      <c r="E413" s="1583"/>
      <c r="F413" s="1583"/>
      <c r="G413" s="1583"/>
      <c r="H413" s="1583"/>
      <c r="I413" s="1583"/>
      <c r="J413" s="1583"/>
      <c r="K413" s="1583"/>
      <c r="L413" s="1583"/>
      <c r="M413" s="1583"/>
      <c r="N413" s="1583"/>
      <c r="O413" s="1583"/>
      <c r="P413" s="1583"/>
      <c r="Q413" s="1584"/>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41"/>
      <c r="B419" s="1641"/>
      <c r="C419" s="1641"/>
      <c r="D419" s="1641"/>
      <c r="E419" s="1641"/>
      <c r="F419" s="1641"/>
      <c r="G419" s="1641"/>
      <c r="H419" s="1641"/>
      <c r="I419" s="1641"/>
      <c r="J419" s="1641"/>
      <c r="K419" s="1641"/>
      <c r="L419" s="1641"/>
      <c r="M419" s="1641"/>
      <c r="N419" s="1641"/>
      <c r="O419" s="1641"/>
      <c r="P419" s="1641"/>
      <c r="Q419" s="1641"/>
      <c r="AE419" s="807"/>
      <c r="AF419" s="807"/>
    </row>
    <row r="420" spans="1:32" s="199" customFormat="1" ht="12" customHeight="1">
      <c r="A420" s="1641"/>
      <c r="B420" s="1641"/>
      <c r="C420" s="1641"/>
      <c r="D420" s="1641"/>
      <c r="E420" s="1641"/>
      <c r="F420" s="1641"/>
      <c r="G420" s="1641"/>
      <c r="H420" s="1641"/>
      <c r="I420" s="1641"/>
      <c r="J420" s="1641"/>
      <c r="K420" s="1641"/>
      <c r="L420" s="1641"/>
      <c r="M420" s="1641"/>
      <c r="N420" s="1641"/>
      <c r="O420" s="1641"/>
      <c r="P420" s="1641"/>
      <c r="Q420" s="1641"/>
      <c r="AE420" s="807"/>
      <c r="AF420" s="807"/>
    </row>
    <row r="421" spans="1:32" s="199" customFormat="1" ht="12" customHeight="1">
      <c r="A421" s="1641"/>
      <c r="B421" s="1641"/>
      <c r="C421" s="1641"/>
      <c r="D421" s="1641"/>
      <c r="E421" s="1641"/>
      <c r="F421" s="1641"/>
      <c r="G421" s="1641"/>
      <c r="H421" s="1641"/>
      <c r="I421" s="1641"/>
      <c r="J421" s="1641"/>
      <c r="K421" s="1641"/>
      <c r="L421" s="1641"/>
      <c r="M421" s="1641"/>
      <c r="N421" s="1641"/>
      <c r="O421" s="1641"/>
      <c r="P421" s="1641"/>
      <c r="Q421" s="1641"/>
      <c r="AE421" s="807"/>
      <c r="AF421" s="807"/>
    </row>
    <row r="422" spans="1:32" s="199" customFormat="1" ht="12" customHeight="1">
      <c r="A422" s="1641"/>
      <c r="B422" s="1641"/>
      <c r="C422" s="1641"/>
      <c r="D422" s="1641"/>
      <c r="E422" s="1641"/>
      <c r="F422" s="1641"/>
      <c r="G422" s="1641"/>
      <c r="H422" s="1641"/>
      <c r="I422" s="1641"/>
      <c r="J422" s="1641"/>
      <c r="K422" s="1641"/>
      <c r="L422" s="1641"/>
      <c r="M422" s="1641"/>
      <c r="N422" s="1641"/>
      <c r="O422" s="1641"/>
      <c r="P422" s="1641"/>
      <c r="Q422" s="1641"/>
      <c r="AE422" s="807"/>
      <c r="AF422" s="807"/>
    </row>
    <row r="423" spans="1:32" s="199" customFormat="1" ht="12" customHeight="1">
      <c r="A423" s="1641"/>
      <c r="B423" s="1641"/>
      <c r="C423" s="1641"/>
      <c r="D423" s="1641"/>
      <c r="E423" s="1641"/>
      <c r="F423" s="1641"/>
      <c r="G423" s="1641"/>
      <c r="H423" s="1641"/>
      <c r="I423" s="1641"/>
      <c r="J423" s="1641"/>
      <c r="K423" s="1641"/>
      <c r="L423" s="1641"/>
      <c r="M423" s="1641"/>
      <c r="N423" s="1641"/>
      <c r="O423" s="1641"/>
      <c r="P423" s="1641"/>
      <c r="Q423" s="1641"/>
      <c r="AE423" s="807"/>
      <c r="AF423" s="807"/>
    </row>
    <row r="424" spans="1:32" s="199" customFormat="1" ht="12" customHeight="1">
      <c r="A424" s="1641"/>
      <c r="B424" s="1641"/>
      <c r="C424" s="1641"/>
      <c r="D424" s="1641"/>
      <c r="E424" s="1641"/>
      <c r="F424" s="1641"/>
      <c r="G424" s="1641"/>
      <c r="H424" s="1641"/>
      <c r="I424" s="1641"/>
      <c r="J424" s="1641"/>
      <c r="K424" s="1641"/>
      <c r="L424" s="1641"/>
      <c r="M424" s="1641"/>
      <c r="N424" s="1641"/>
      <c r="O424" s="1641"/>
      <c r="P424" s="1641"/>
      <c r="Q424" s="1641"/>
      <c r="AE424" s="807"/>
      <c r="AF424" s="807"/>
    </row>
    <row r="425" spans="1:32" s="199" customFormat="1" ht="12" customHeight="1">
      <c r="A425" s="1641"/>
      <c r="B425" s="1641"/>
      <c r="C425" s="1641"/>
      <c r="D425" s="1641"/>
      <c r="E425" s="1641"/>
      <c r="F425" s="1641"/>
      <c r="G425" s="1641"/>
      <c r="H425" s="1641"/>
      <c r="I425" s="1641"/>
      <c r="J425" s="1641"/>
      <c r="K425" s="1641"/>
      <c r="L425" s="1641"/>
      <c r="M425" s="1641"/>
      <c r="N425" s="1641"/>
      <c r="O425" s="1641"/>
      <c r="P425" s="1641"/>
      <c r="Q425" s="1641"/>
      <c r="AE425" s="807"/>
      <c r="AF425" s="807"/>
    </row>
    <row r="426" spans="1:32" s="199" customFormat="1" ht="12" customHeight="1">
      <c r="A426" s="1641"/>
      <c r="B426" s="1641"/>
      <c r="C426" s="1641"/>
      <c r="D426" s="1641"/>
      <c r="E426" s="1641"/>
      <c r="F426" s="1641"/>
      <c r="G426" s="1641"/>
      <c r="H426" s="1641"/>
      <c r="I426" s="1641"/>
      <c r="J426" s="1641"/>
      <c r="K426" s="1641"/>
      <c r="L426" s="1641"/>
      <c r="M426" s="1641"/>
      <c r="N426" s="1641"/>
      <c r="O426" s="1641"/>
      <c r="P426" s="1641"/>
      <c r="Q426" s="1641"/>
      <c r="AE426" s="807"/>
      <c r="AF426" s="807"/>
    </row>
    <row r="427" spans="1:32" s="199" customFormat="1" ht="12" customHeight="1">
      <c r="A427" s="1641"/>
      <c r="B427" s="1641"/>
      <c r="C427" s="1641"/>
      <c r="D427" s="1641"/>
      <c r="E427" s="1641"/>
      <c r="F427" s="1641"/>
      <c r="G427" s="1641"/>
      <c r="H427" s="1641"/>
      <c r="I427" s="1641"/>
      <c r="J427" s="1641"/>
      <c r="K427" s="1641"/>
      <c r="L427" s="1641"/>
      <c r="M427" s="1641"/>
      <c r="N427" s="1641"/>
      <c r="O427" s="1641"/>
      <c r="P427" s="1641"/>
      <c r="Q427" s="1641"/>
      <c r="AE427" s="807"/>
      <c r="AF427" s="807"/>
    </row>
    <row r="428" spans="1:32" s="199" customFormat="1" ht="12" customHeight="1">
      <c r="A428" s="1641"/>
      <c r="B428" s="1641"/>
      <c r="C428" s="1641"/>
      <c r="D428" s="1641"/>
      <c r="E428" s="1641"/>
      <c r="F428" s="1641"/>
      <c r="G428" s="1641"/>
      <c r="H428" s="1641"/>
      <c r="I428" s="1641"/>
      <c r="J428" s="1641"/>
      <c r="K428" s="1641"/>
      <c r="L428" s="1641"/>
      <c r="M428" s="1641"/>
      <c r="N428" s="1641"/>
      <c r="O428" s="1641"/>
      <c r="P428" s="1641"/>
      <c r="Q428" s="1641"/>
      <c r="AE428" s="807"/>
      <c r="AF428" s="807"/>
    </row>
    <row r="429" spans="1:32" s="199" customFormat="1" ht="12" customHeight="1">
      <c r="A429" s="1641"/>
      <c r="B429" s="1641"/>
      <c r="C429" s="1641"/>
      <c r="D429" s="1641"/>
      <c r="E429" s="1641"/>
      <c r="F429" s="1641"/>
      <c r="G429" s="1641"/>
      <c r="H429" s="1641"/>
      <c r="I429" s="1641"/>
      <c r="J429" s="1641"/>
      <c r="K429" s="1641"/>
      <c r="L429" s="1641"/>
      <c r="M429" s="1641"/>
      <c r="N429" s="1641"/>
      <c r="O429" s="1641"/>
      <c r="P429" s="1641"/>
      <c r="Q429" s="1641"/>
      <c r="AE429" s="807"/>
      <c r="AF429" s="807"/>
    </row>
    <row r="430" spans="1:32" s="199" customFormat="1" ht="12" customHeight="1">
      <c r="A430" s="1641"/>
      <c r="B430" s="1641"/>
      <c r="C430" s="1641"/>
      <c r="D430" s="1641"/>
      <c r="E430" s="1641"/>
      <c r="F430" s="1641"/>
      <c r="G430" s="1641"/>
      <c r="H430" s="1641"/>
      <c r="I430" s="1641"/>
      <c r="J430" s="1641"/>
      <c r="K430" s="1641"/>
      <c r="L430" s="1641"/>
      <c r="M430" s="1641"/>
      <c r="N430" s="1641"/>
      <c r="O430" s="1641"/>
      <c r="P430" s="1641"/>
      <c r="Q430" s="1641"/>
      <c r="AE430" s="807"/>
      <c r="AF430" s="807"/>
    </row>
    <row r="431" spans="1:32" s="199" customFormat="1" ht="12" customHeight="1">
      <c r="A431" s="1641"/>
      <c r="B431" s="1641"/>
      <c r="C431" s="1641"/>
      <c r="D431" s="1641"/>
      <c r="E431" s="1641"/>
      <c r="F431" s="1641"/>
      <c r="G431" s="1641"/>
      <c r="H431" s="1641"/>
      <c r="I431" s="1641"/>
      <c r="J431" s="1641"/>
      <c r="K431" s="1641"/>
      <c r="L431" s="1641"/>
      <c r="M431" s="1641"/>
      <c r="N431" s="1641"/>
      <c r="O431" s="1641"/>
      <c r="P431" s="1641"/>
      <c r="Q431" s="1641"/>
      <c r="AE431" s="807"/>
      <c r="AF431" s="807"/>
    </row>
    <row r="432" spans="1:32" s="199" customFormat="1" ht="12" customHeight="1">
      <c r="A432" s="1641"/>
      <c r="B432" s="1641"/>
      <c r="C432" s="1641"/>
      <c r="D432" s="1641"/>
      <c r="E432" s="1641"/>
      <c r="F432" s="1641"/>
      <c r="G432" s="1641"/>
      <c r="H432" s="1641"/>
      <c r="I432" s="1641"/>
      <c r="J432" s="1641"/>
      <c r="K432" s="1641"/>
      <c r="L432" s="1641"/>
      <c r="M432" s="1641"/>
      <c r="N432" s="1641"/>
      <c r="O432" s="1641"/>
      <c r="P432" s="1641"/>
      <c r="Q432" s="1641"/>
      <c r="AE432" s="807"/>
      <c r="AF432" s="807"/>
    </row>
    <row r="433" spans="1:32" s="199" customFormat="1" ht="12" customHeight="1">
      <c r="A433" s="1641"/>
      <c r="B433" s="1641"/>
      <c r="C433" s="1641"/>
      <c r="D433" s="1641"/>
      <c r="E433" s="1641"/>
      <c r="F433" s="1641"/>
      <c r="G433" s="1641"/>
      <c r="H433" s="1641"/>
      <c r="I433" s="1641"/>
      <c r="J433" s="1641"/>
      <c r="K433" s="1641"/>
      <c r="L433" s="1641"/>
      <c r="M433" s="1641"/>
      <c r="N433" s="1641"/>
      <c r="O433" s="1641"/>
      <c r="P433" s="1641"/>
      <c r="Q433" s="1641"/>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22" zoomScale="96" zoomScaleNormal="96" workbookViewId="0">
      <selection activeCell="A2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2012-016 Monroe Elementary Apartments, Monroe, Walton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42"/>
      <c r="P10" s="66"/>
    </row>
    <row r="11" spans="1:19" s="50" customFormat="1" ht="11.25" customHeight="1">
      <c r="A11" s="255" t="s">
        <v>2865</v>
      </c>
      <c r="B11" s="236" t="s">
        <v>1122</v>
      </c>
      <c r="D11" s="56"/>
      <c r="E11" s="56"/>
      <c r="F11" s="823" t="s">
        <v>3620</v>
      </c>
      <c r="G11" s="38">
        <f>K16</f>
        <v>0</v>
      </c>
      <c r="H11" s="244" t="s">
        <v>302</v>
      </c>
      <c r="J11" s="57"/>
      <c r="M11" s="7">
        <v>0</v>
      </c>
      <c r="N11" s="78" t="s">
        <v>2865</v>
      </c>
      <c r="O11" s="1642"/>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42"/>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2"/>
      <c r="B14" s="1583"/>
      <c r="C14" s="1583"/>
      <c r="D14" s="1583"/>
      <c r="E14" s="1583"/>
      <c r="F14" s="1583"/>
      <c r="G14" s="1583"/>
      <c r="H14" s="1583"/>
      <c r="I14" s="1583"/>
      <c r="J14" s="1583"/>
      <c r="K14" s="1583"/>
      <c r="L14" s="1583"/>
      <c r="M14" s="1583"/>
      <c r="N14" s="1583"/>
      <c r="O14" s="1583"/>
      <c r="P14" s="1584"/>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43">
        <v>10</v>
      </c>
      <c r="K31" s="660" t="s">
        <v>3859</v>
      </c>
      <c r="L31" s="691">
        <f>IF(OR('Part VI-Revenues &amp; Expenses'!$M$60="", 'Part VI-Revenues &amp; Expenses'!$M$60=0),0,I31/'Part VI-Revenues &amp; Expenses'!$M$60)</f>
        <v>0.20833333333333334</v>
      </c>
      <c r="M31" s="1">
        <v>3</v>
      </c>
      <c r="N31" s="690"/>
      <c r="O31" s="1205" t="s">
        <v>3928</v>
      </c>
      <c r="P31" s="735">
        <v>0.15</v>
      </c>
    </row>
    <row r="32" spans="1:19" s="688" customFormat="1" ht="11.25" customHeight="1">
      <c r="A32" s="687" t="s">
        <v>2865</v>
      </c>
      <c r="B32" s="155" t="s">
        <v>3703</v>
      </c>
      <c r="E32" s="689"/>
      <c r="H32" s="660" t="s">
        <v>3704</v>
      </c>
      <c r="I32" s="1643"/>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2"/>
      <c r="B34" s="1583"/>
      <c r="C34" s="1583"/>
      <c r="D34" s="1583"/>
      <c r="E34" s="1583"/>
      <c r="F34" s="1583"/>
      <c r="G34" s="1583"/>
      <c r="H34" s="1583"/>
      <c r="I34" s="1583"/>
      <c r="J34" s="1583"/>
      <c r="K34" s="1583"/>
      <c r="L34" s="1583"/>
      <c r="M34" s="1583"/>
      <c r="N34" s="1583"/>
      <c r="O34" s="1583"/>
      <c r="P34" s="1584"/>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4">
        <v>12</v>
      </c>
      <c r="P40" s="85"/>
      <c r="R40" s="558"/>
    </row>
    <row r="41" spans="1:18" s="51" customFormat="1" ht="12.6" customHeight="1">
      <c r="A41" s="189" t="s">
        <v>2865</v>
      </c>
      <c r="B41" s="236" t="s">
        <v>2748</v>
      </c>
      <c r="D41" s="49"/>
      <c r="E41" s="244" t="s">
        <v>588</v>
      </c>
      <c r="F41" s="585"/>
      <c r="G41" s="585"/>
      <c r="H41" s="585"/>
      <c r="M41" s="180" t="s">
        <v>1777</v>
      </c>
      <c r="N41" s="803" t="s">
        <v>2865</v>
      </c>
      <c r="O41" s="1642"/>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2"/>
      <c r="B44" s="1583"/>
      <c r="C44" s="1583"/>
      <c r="D44" s="1583"/>
      <c r="E44" s="1583"/>
      <c r="F44" s="1583"/>
      <c r="G44" s="1583"/>
      <c r="H44" s="1583"/>
      <c r="I44" s="1583"/>
      <c r="J44" s="1583"/>
      <c r="K44" s="1583"/>
      <c r="L44" s="1583"/>
      <c r="M44" s="1583"/>
      <c r="N44" s="1583"/>
      <c r="O44" s="1583"/>
      <c r="P44" s="1584"/>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1</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4"/>
      <c r="P50" s="85"/>
      <c r="R50" s="558"/>
    </row>
    <row r="51" spans="1:18" s="51" customFormat="1" ht="12.6" customHeight="1">
      <c r="A51" s="189" t="s">
        <v>2865</v>
      </c>
      <c r="B51" s="236" t="s">
        <v>3718</v>
      </c>
      <c r="E51" s="49"/>
      <c r="K51" s="56"/>
      <c r="L51" s="558" t="str">
        <f>IF(OR($O51=$M51,$O51=0,$O51=""),"","* * Check Score! * *")</f>
        <v/>
      </c>
      <c r="M51" s="3">
        <v>2</v>
      </c>
      <c r="N51" s="803" t="s">
        <v>2865</v>
      </c>
      <c r="O51" s="1644"/>
      <c r="P51" s="85"/>
      <c r="R51" s="558"/>
    </row>
    <row r="52" spans="1:18" s="51" customFormat="1" ht="12.6" customHeight="1">
      <c r="A52" s="189" t="s">
        <v>1145</v>
      </c>
      <c r="B52" s="236" t="s">
        <v>3760</v>
      </c>
      <c r="E52" s="49"/>
      <c r="K52" s="56"/>
      <c r="L52" s="558" t="str">
        <f>IF(OR($O52=$M52,$O52=0,$O52=""),"","* * Check Score! * *")</f>
        <v/>
      </c>
      <c r="M52" s="3">
        <v>1</v>
      </c>
      <c r="N52" s="250" t="s">
        <v>1145</v>
      </c>
      <c r="O52" s="1644">
        <v>1</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2" t="s">
        <v>4097</v>
      </c>
      <c r="B54" s="1583"/>
      <c r="C54" s="1583"/>
      <c r="D54" s="1583"/>
      <c r="E54" s="1583"/>
      <c r="F54" s="1583"/>
      <c r="G54" s="1583"/>
      <c r="H54" s="1583"/>
      <c r="I54" s="1583"/>
      <c r="J54" s="1583"/>
      <c r="K54" s="1583"/>
      <c r="L54" s="1583"/>
      <c r="M54" s="1583"/>
      <c r="N54" s="1583"/>
      <c r="O54" s="1583"/>
      <c r="P54" s="1584"/>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4">
        <v>1</v>
      </c>
      <c r="P58" s="85"/>
      <c r="Q58" s="148" t="s">
        <v>612</v>
      </c>
    </row>
    <row r="59" spans="1:18" s="51" customFormat="1" ht="12.6" customHeight="1">
      <c r="A59" s="209"/>
      <c r="B59" s="586" t="s">
        <v>1120</v>
      </c>
      <c r="D59" s="49"/>
      <c r="H59" s="57"/>
      <c r="I59" s="57"/>
      <c r="J59" s="57"/>
      <c r="K59" s="57"/>
      <c r="L59" s="57"/>
      <c r="M59" s="3"/>
      <c r="N59" s="601"/>
      <c r="O59" s="1578" t="s">
        <v>3982</v>
      </c>
      <c r="P59" s="232"/>
      <c r="Q59" s="148"/>
    </row>
    <row r="60" spans="1:18" s="51" customFormat="1" ht="12.6" customHeight="1">
      <c r="A60" s="209"/>
      <c r="B60" s="586" t="s">
        <v>1119</v>
      </c>
      <c r="D60" s="49"/>
      <c r="H60" s="57"/>
      <c r="I60" s="1554" t="s">
        <v>4062</v>
      </c>
      <c r="J60" s="1645"/>
      <c r="K60" s="1645"/>
      <c r="L60" s="1646"/>
      <c r="M60" s="3"/>
      <c r="N60" s="601"/>
      <c r="O60" s="601"/>
      <c r="P60" s="601"/>
      <c r="Q60" s="148"/>
    </row>
    <row r="61" spans="1:18" s="51" customFormat="1" ht="12.6" customHeight="1">
      <c r="A61" s="209"/>
      <c r="B61" s="586" t="s">
        <v>1121</v>
      </c>
      <c r="D61" s="49"/>
      <c r="H61" s="57"/>
      <c r="I61" s="57"/>
      <c r="J61" s="57"/>
      <c r="K61" s="57"/>
      <c r="L61" s="57"/>
      <c r="M61" s="3"/>
      <c r="N61" s="601"/>
      <c r="O61" s="1578" t="s">
        <v>3982</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2" t="s">
        <v>4063</v>
      </c>
      <c r="B63" s="1583"/>
      <c r="C63" s="1583"/>
      <c r="D63" s="1583"/>
      <c r="E63" s="1583"/>
      <c r="F63" s="1583"/>
      <c r="G63" s="1583"/>
      <c r="H63" s="1583"/>
      <c r="I63" s="1583"/>
      <c r="J63" s="1583"/>
      <c r="K63" s="1583"/>
      <c r="L63" s="1583"/>
      <c r="M63" s="1583"/>
      <c r="N63" s="1583"/>
      <c r="O63" s="1583"/>
      <c r="P63" s="1584"/>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4"/>
      <c r="P67" s="85"/>
      <c r="Q67" s="148" t="s">
        <v>612</v>
      </c>
    </row>
    <row r="68" spans="1:18" s="51" customFormat="1" ht="12.6" customHeight="1">
      <c r="A68" s="209"/>
      <c r="B68" s="586" t="s">
        <v>3705</v>
      </c>
      <c r="D68" s="49"/>
      <c r="E68" s="44"/>
      <c r="I68" s="1647"/>
      <c r="J68" s="1645"/>
      <c r="K68" s="1645"/>
      <c r="L68" s="1646"/>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2"/>
      <c r="B70" s="1583"/>
      <c r="C70" s="1583"/>
      <c r="D70" s="1583"/>
      <c r="E70" s="1583"/>
      <c r="F70" s="1583"/>
      <c r="G70" s="1583"/>
      <c r="H70" s="1583"/>
      <c r="I70" s="1583"/>
      <c r="J70" s="1583"/>
      <c r="K70" s="1583"/>
      <c r="L70" s="1583"/>
      <c r="M70" s="1583"/>
      <c r="N70" s="1583"/>
      <c r="O70" s="1583"/>
      <c r="P70" s="1584"/>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48" t="s">
        <v>4064</v>
      </c>
      <c r="K74" s="1649"/>
      <c r="L74" s="1650"/>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8" t="s">
        <v>3984</v>
      </c>
      <c r="P76" s="232"/>
      <c r="Q76" s="148"/>
    </row>
    <row r="77" spans="1:18" ht="11.45" customHeight="1">
      <c r="A77" s="550" t="str">
        <f>IF($I$90="Stable Communities &lt; 10%", "X","")</f>
        <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51"/>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52"/>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51"/>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52"/>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8" t="s">
        <v>3984</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3"/>
      <c r="B86" s="1654"/>
      <c r="C86" s="1654"/>
      <c r="D86" s="1654"/>
      <c r="E86" s="1654"/>
      <c r="F86" s="1654"/>
      <c r="G86" s="1654"/>
      <c r="H86" s="1654"/>
      <c r="I86" s="1654"/>
      <c r="J86" s="1654"/>
      <c r="K86" s="1654"/>
      <c r="L86" s="1654"/>
      <c r="M86" s="1654"/>
      <c r="N86" s="1654"/>
      <c r="O86" s="1654"/>
      <c r="P86" s="1655"/>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4065</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1"/>
      <c r="P94" s="355"/>
    </row>
    <row r="95" spans="1:18" ht="11.45" customHeight="1">
      <c r="B95" s="231" t="s">
        <v>3420</v>
      </c>
      <c r="C95" s="665" t="s">
        <v>3367</v>
      </c>
      <c r="E95" s="160"/>
      <c r="G95" s="132" t="s">
        <v>3368</v>
      </c>
      <c r="M95" s="694" t="str">
        <f>IF(AND($I$90="Stable Communities &lt; 10%",O95=""), "X","")</f>
        <v/>
      </c>
      <c r="N95" s="231" t="s">
        <v>3420</v>
      </c>
      <c r="O95" s="1656"/>
      <c r="P95" s="541"/>
    </row>
    <row r="96" spans="1:18" ht="11.45" customHeight="1">
      <c r="B96" s="231" t="s">
        <v>3421</v>
      </c>
      <c r="C96" s="665" t="s">
        <v>3753</v>
      </c>
      <c r="E96" s="160"/>
      <c r="M96" s="694" t="str">
        <f>IF(AND($I$90="Stable Communities &lt; 10%",O96=""), "X","")</f>
        <v/>
      </c>
      <c r="N96" s="231" t="s">
        <v>3421</v>
      </c>
      <c r="O96" s="1652"/>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1"/>
      <c r="P99" s="355"/>
    </row>
    <row r="100" spans="1:18" ht="11.45" customHeight="1">
      <c r="B100" s="231" t="s">
        <v>3420</v>
      </c>
      <c r="C100" s="665" t="s">
        <v>3367</v>
      </c>
      <c r="E100" s="160"/>
      <c r="G100" s="132" t="s">
        <v>3368</v>
      </c>
      <c r="M100" s="572" t="str">
        <f>IF(AND($I$90="Stable Communities &lt; 20%",O100=""), "X","")</f>
        <v/>
      </c>
      <c r="N100" s="231" t="s">
        <v>3420</v>
      </c>
      <c r="O100" s="1656"/>
      <c r="P100" s="541"/>
    </row>
    <row r="101" spans="1:18" ht="11.45" customHeight="1">
      <c r="B101" s="231" t="s">
        <v>3421</v>
      </c>
      <c r="C101" s="665" t="s">
        <v>3753</v>
      </c>
      <c r="E101" s="160"/>
      <c r="M101" s="572" t="str">
        <f>IF(AND($I$90="Stable Communities &lt; 20%",O101=""), "X","")</f>
        <v/>
      </c>
      <c r="N101" s="231" t="s">
        <v>3421</v>
      </c>
      <c r="O101" s="1652"/>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51"/>
      <c r="P105" s="355"/>
    </row>
    <row r="106" spans="1:18" ht="10.9" customHeight="1">
      <c r="B106" s="552" t="s">
        <v>3420</v>
      </c>
      <c r="C106" s="553" t="s">
        <v>843</v>
      </c>
      <c r="M106" s="859" t="str">
        <f>IF(AND($I$90="HOPE VI Initiative",O106=""), "X","")</f>
        <v/>
      </c>
      <c r="N106" s="231" t="s">
        <v>3420</v>
      </c>
      <c r="O106" s="1656"/>
      <c r="P106" s="541"/>
    </row>
    <row r="107" spans="1:18" ht="10.9" customHeight="1">
      <c r="B107" s="552" t="s">
        <v>3421</v>
      </c>
      <c r="C107" s="553" t="s">
        <v>844</v>
      </c>
      <c r="M107" s="859" t="str">
        <f>IF(AND($I$90="HOPE VI Initiative",O107=""), "X","")</f>
        <v/>
      </c>
      <c r="N107" s="231" t="s">
        <v>3421</v>
      </c>
      <c r="O107" s="1656"/>
      <c r="P107" s="541"/>
    </row>
    <row r="108" spans="1:18" ht="10.9" customHeight="1">
      <c r="B108" s="552" t="s">
        <v>3422</v>
      </c>
      <c r="C108" s="69" t="s">
        <v>845</v>
      </c>
      <c r="M108" s="859" t="str">
        <f>IF(AND($I$90="HOPE VI Initiative",O108=""), "X","")</f>
        <v/>
      </c>
      <c r="N108" s="231" t="s">
        <v>3422</v>
      </c>
      <c r="O108" s="1652"/>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8" t="s">
        <v>3984</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7" t="s">
        <v>2626</v>
      </c>
      <c r="I112" s="162" t="s">
        <v>1458</v>
      </c>
      <c r="J112" s="1658"/>
      <c r="K112" s="1659"/>
      <c r="L112" s="1660"/>
      <c r="M112" s="696">
        <v>1</v>
      </c>
      <c r="N112" s="551" t="s">
        <v>3549</v>
      </c>
      <c r="O112" s="1578"/>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1"/>
      <c r="I114" s="1341"/>
      <c r="J114" s="1341"/>
      <c r="K114" s="1341"/>
      <c r="L114" s="1342"/>
      <c r="M114" s="696">
        <v>1</v>
      </c>
      <c r="N114" s="551" t="s">
        <v>1762</v>
      </c>
      <c r="O114" s="1578"/>
      <c r="P114" s="232"/>
    </row>
    <row r="115" spans="1:18" ht="11.45" customHeight="1">
      <c r="B115" s="552" t="s">
        <v>3419</v>
      </c>
      <c r="C115" s="48" t="s">
        <v>3752</v>
      </c>
      <c r="D115" s="132"/>
      <c r="G115" s="132" t="s">
        <v>848</v>
      </c>
      <c r="H115" s="1662"/>
      <c r="M115" s="571" t="str">
        <f>IF(AND($I$90="Local Redevelopment Plan",O115=""), "X","")</f>
        <v/>
      </c>
      <c r="N115" s="552" t="s">
        <v>3419</v>
      </c>
      <c r="O115" s="1651"/>
      <c r="P115" s="355"/>
    </row>
    <row r="116" spans="1:18" ht="10.9" customHeight="1">
      <c r="B116" s="552" t="s">
        <v>3420</v>
      </c>
      <c r="C116" s="553" t="s">
        <v>3445</v>
      </c>
      <c r="D116" s="132"/>
      <c r="M116" s="571"/>
      <c r="N116" s="552" t="s">
        <v>3420</v>
      </c>
      <c r="O116" s="1663"/>
      <c r="P116" s="602"/>
    </row>
    <row r="117" spans="1:18" ht="10.9" customHeight="1">
      <c r="B117" s="552" t="s">
        <v>3421</v>
      </c>
      <c r="C117" s="553" t="s">
        <v>3446</v>
      </c>
      <c r="M117" s="571" t="str">
        <f t="shared" ref="M117:M121" si="0">IF(AND($I$90="Local Redevelopment Plan",O117=""), "X","")</f>
        <v/>
      </c>
      <c r="N117" s="552" t="s">
        <v>3421</v>
      </c>
      <c r="O117" s="1656"/>
      <c r="P117" s="541"/>
    </row>
    <row r="118" spans="1:18" ht="10.9" customHeight="1">
      <c r="B118" s="552" t="s">
        <v>3422</v>
      </c>
      <c r="C118" s="553" t="s">
        <v>3447</v>
      </c>
      <c r="M118" s="571" t="str">
        <f t="shared" si="0"/>
        <v/>
      </c>
      <c r="N118" s="552" t="s">
        <v>3422</v>
      </c>
      <c r="O118" s="1656"/>
      <c r="P118" s="541"/>
    </row>
    <row r="119" spans="1:18" ht="10.9" customHeight="1">
      <c r="B119" s="552" t="s">
        <v>3423</v>
      </c>
      <c r="C119" s="69" t="s">
        <v>3448</v>
      </c>
      <c r="M119" s="571" t="str">
        <f t="shared" si="0"/>
        <v/>
      </c>
      <c r="N119" s="552" t="s">
        <v>3423</v>
      </c>
      <c r="O119" s="1656"/>
      <c r="P119" s="541"/>
    </row>
    <row r="120" spans="1:18" ht="10.9" customHeight="1">
      <c r="B120" s="552" t="s">
        <v>3443</v>
      </c>
      <c r="C120" s="553" t="s">
        <v>3449</v>
      </c>
      <c r="D120" s="132"/>
      <c r="M120" s="571" t="str">
        <f t="shared" si="0"/>
        <v/>
      </c>
      <c r="N120" s="552" t="s">
        <v>3443</v>
      </c>
      <c r="O120" s="1656"/>
      <c r="P120" s="541"/>
    </row>
    <row r="121" spans="1:18" ht="10.9" customHeight="1">
      <c r="B121" s="552" t="s">
        <v>3444</v>
      </c>
      <c r="C121" s="553" t="s">
        <v>3450</v>
      </c>
      <c r="M121" s="571" t="str">
        <f t="shared" si="0"/>
        <v/>
      </c>
      <c r="N121" s="552" t="s">
        <v>3444</v>
      </c>
      <c r="O121" s="1652"/>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3"/>
      <c r="B128" s="1654"/>
      <c r="C128" s="1654"/>
      <c r="D128" s="1654"/>
      <c r="E128" s="1654"/>
      <c r="F128" s="1654"/>
      <c r="G128" s="1654"/>
      <c r="H128" s="1654"/>
      <c r="I128" s="1654"/>
      <c r="J128" s="1654"/>
      <c r="K128" s="1654"/>
      <c r="L128" s="1654"/>
      <c r="M128" s="1654"/>
      <c r="N128" s="1654"/>
      <c r="O128" s="1654"/>
      <c r="P128" s="1655"/>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0</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4"/>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8"/>
      <c r="P134" s="232"/>
    </row>
    <row r="135" spans="1:17" s="132" customFormat="1" ht="11.45" customHeight="1">
      <c r="B135" s="250"/>
      <c r="C135" s="161" t="s">
        <v>1460</v>
      </c>
      <c r="H135" s="704" t="s">
        <v>3620</v>
      </c>
      <c r="I135" s="1657"/>
      <c r="J135" s="704" t="s">
        <v>3219</v>
      </c>
      <c r="K135" s="1665"/>
      <c r="L135" s="1666"/>
      <c r="M135" s="1667"/>
    </row>
    <row r="136" spans="1:17" s="132" customFormat="1" ht="11.45" customHeight="1">
      <c r="B136" s="250" t="s">
        <v>2868</v>
      </c>
      <c r="C136" s="161" t="s">
        <v>1461</v>
      </c>
      <c r="M136" s="8"/>
      <c r="N136" s="250" t="s">
        <v>2868</v>
      </c>
      <c r="O136" s="1651"/>
      <c r="P136" s="355"/>
    </row>
    <row r="137" spans="1:17" s="132" customFormat="1" ht="11.45" customHeight="1">
      <c r="B137" s="250" t="s">
        <v>3549</v>
      </c>
      <c r="C137" s="161" t="s">
        <v>1462</v>
      </c>
      <c r="M137" s="8"/>
      <c r="N137" s="250" t="s">
        <v>3549</v>
      </c>
      <c r="O137" s="1656"/>
      <c r="P137" s="541"/>
    </row>
    <row r="138" spans="1:17" s="132" customFormat="1" ht="11.45" customHeight="1">
      <c r="B138" s="250" t="s">
        <v>1762</v>
      </c>
      <c r="C138" s="161" t="s">
        <v>1463</v>
      </c>
      <c r="M138" s="8"/>
      <c r="N138" s="250" t="s">
        <v>1762</v>
      </c>
      <c r="O138" s="1652"/>
      <c r="P138" s="356"/>
    </row>
    <row r="139" spans="1:17" ht="12" customHeight="1">
      <c r="A139" s="254" t="s">
        <v>1921</v>
      </c>
      <c r="B139" s="851"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78"/>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2"/>
      <c r="B142" s="1583"/>
      <c r="C142" s="1583"/>
      <c r="D142" s="1583"/>
      <c r="E142" s="1583"/>
      <c r="F142" s="1583"/>
      <c r="G142" s="1583"/>
      <c r="H142" s="1583"/>
      <c r="I142" s="1583"/>
      <c r="J142" s="1583"/>
      <c r="K142" s="1583"/>
      <c r="L142" s="1583"/>
      <c r="M142" s="1583"/>
      <c r="N142" s="1583"/>
      <c r="O142" s="1583"/>
      <c r="P142" s="1584"/>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4">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2" t="s">
        <v>4078</v>
      </c>
      <c r="B157" s="1583"/>
      <c r="C157" s="1583"/>
      <c r="D157" s="1583"/>
      <c r="E157" s="1583"/>
      <c r="F157" s="1583"/>
      <c r="G157" s="1583"/>
      <c r="H157" s="1583"/>
      <c r="I157" s="1583"/>
      <c r="J157" s="1583"/>
      <c r="K157" s="1583"/>
      <c r="L157" s="1583"/>
      <c r="M157" s="1583"/>
      <c r="N157" s="1583"/>
      <c r="O157" s="1583"/>
      <c r="P157" s="1584"/>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3963</v>
      </c>
      <c r="L162" s="1578" t="s">
        <v>3984</v>
      </c>
      <c r="M162" s="8">
        <v>1</v>
      </c>
      <c r="N162" s="803" t="s">
        <v>2862</v>
      </c>
      <c r="O162" s="1644">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4"/>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2"/>
      <c r="B165" s="1583"/>
      <c r="C165" s="1583"/>
      <c r="D165" s="1583"/>
      <c r="E165" s="1583"/>
      <c r="F165" s="1583"/>
      <c r="G165" s="1583"/>
      <c r="H165" s="1583"/>
      <c r="I165" s="1583"/>
      <c r="J165" s="1583"/>
      <c r="K165" s="1583"/>
      <c r="L165" s="1583"/>
      <c r="M165" s="1583"/>
      <c r="N165" s="1583"/>
      <c r="O165" s="1583"/>
      <c r="P165" s="1584"/>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8"/>
      <c r="P170" s="232"/>
      <c r="R170" s="558"/>
    </row>
    <row r="171" spans="1:18" s="51" customFormat="1" ht="12" customHeight="1">
      <c r="A171" s="189"/>
      <c r="B171" s="65" t="s">
        <v>3946</v>
      </c>
      <c r="D171" s="40"/>
      <c r="N171" s="803"/>
      <c r="O171" s="1578"/>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2"/>
      <c r="B173" s="1583"/>
      <c r="C173" s="1583"/>
      <c r="D173" s="1583"/>
      <c r="E173" s="1583"/>
      <c r="F173" s="1583"/>
      <c r="G173" s="1583"/>
      <c r="H173" s="1583"/>
      <c r="I173" s="1583"/>
      <c r="J173" s="1583"/>
      <c r="K173" s="1583"/>
      <c r="L173" s="1583"/>
      <c r="M173" s="1583"/>
      <c r="N173" s="1583"/>
      <c r="O173" s="1583"/>
      <c r="P173" s="1584"/>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48</v>
      </c>
      <c r="K177" s="159"/>
      <c r="L177" s="802" t="str">
        <f>IF(AND(J177=0,O177&gt;0),"&lt;&lt;&lt; Check NC units!","")</f>
        <v/>
      </c>
      <c r="M177" s="3">
        <v>3</v>
      </c>
      <c r="N177" s="601" t="str">
        <f>IF(OR($O177=$M177,$O177=0,$O177=""),"","***")</f>
        <v/>
      </c>
      <c r="O177" s="1644"/>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82"/>
      <c r="B180" s="1583"/>
      <c r="C180" s="1583"/>
      <c r="D180" s="1583"/>
      <c r="E180" s="1583"/>
      <c r="F180" s="1583"/>
      <c r="G180" s="1583"/>
      <c r="H180" s="1583"/>
      <c r="I180" s="1584"/>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4"/>
      <c r="P182" s="85"/>
      <c r="Q182" s="148" t="s">
        <v>612</v>
      </c>
    </row>
    <row r="183" spans="1:18" s="51" customFormat="1" ht="12.6" customHeight="1">
      <c r="A183" s="50"/>
      <c r="B183" s="154" t="s">
        <v>2713</v>
      </c>
      <c r="D183" s="134"/>
      <c r="E183" s="1668" t="s">
        <v>2639</v>
      </c>
      <c r="F183" s="1669"/>
      <c r="G183" s="1670"/>
      <c r="H183" s="1671"/>
      <c r="I183" s="61" t="s">
        <v>2712</v>
      </c>
      <c r="O183" s="162" t="s">
        <v>3522</v>
      </c>
      <c r="P183" s="162" t="s">
        <v>3522</v>
      </c>
    </row>
    <row r="184" spans="1:18" s="132" customFormat="1" ht="11.45" customHeight="1">
      <c r="A184" s="189" t="s">
        <v>2862</v>
      </c>
      <c r="B184" s="161" t="s">
        <v>2512</v>
      </c>
      <c r="D184" s="161"/>
      <c r="E184" s="161"/>
      <c r="F184" s="161"/>
      <c r="G184" s="1672" t="s">
        <v>3535</v>
      </c>
      <c r="H184" s="1673"/>
      <c r="I184" s="1674"/>
      <c r="J184" s="1672" t="s">
        <v>1715</v>
      </c>
      <c r="K184" s="1673"/>
      <c r="L184" s="1674"/>
      <c r="N184" s="803" t="s">
        <v>2862</v>
      </c>
      <c r="O184" s="1578"/>
      <c r="P184" s="232"/>
    </row>
    <row r="185" spans="1:18" s="132" customFormat="1" ht="11.45" customHeight="1">
      <c r="A185" s="189" t="s">
        <v>2865</v>
      </c>
      <c r="B185" s="161" t="s">
        <v>475</v>
      </c>
      <c r="D185" s="161"/>
      <c r="E185" s="161"/>
      <c r="F185" s="161"/>
      <c r="G185" s="161"/>
      <c r="L185" s="161"/>
      <c r="M185" s="161"/>
      <c r="N185" s="803" t="s">
        <v>2865</v>
      </c>
      <c r="O185" s="1578"/>
      <c r="P185" s="232"/>
    </row>
    <row r="186" spans="1:18" s="132" customFormat="1" ht="11.45" customHeight="1">
      <c r="A186" s="189" t="s">
        <v>1145</v>
      </c>
      <c r="B186" s="161" t="s">
        <v>2467</v>
      </c>
      <c r="D186" s="161"/>
      <c r="E186" s="161"/>
      <c r="F186" s="161"/>
      <c r="G186" s="161"/>
      <c r="H186" s="161"/>
      <c r="L186" s="161"/>
      <c r="M186" s="161"/>
      <c r="N186" s="803" t="s">
        <v>1145</v>
      </c>
      <c r="O186" s="1578"/>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8"/>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2"/>
      <c r="B189" s="1583"/>
      <c r="C189" s="1583"/>
      <c r="D189" s="1583"/>
      <c r="E189" s="1583"/>
      <c r="F189" s="1583"/>
      <c r="G189" s="1583"/>
      <c r="H189" s="1583"/>
      <c r="I189" s="1583"/>
      <c r="J189" s="1583"/>
      <c r="K189" s="1583"/>
      <c r="L189" s="1583"/>
      <c r="M189" s="1583"/>
      <c r="N189" s="1583"/>
      <c r="O189" s="1583"/>
      <c r="P189" s="1584"/>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1" t="s">
        <v>2104</v>
      </c>
      <c r="P195" s="355"/>
    </row>
    <row r="196" spans="1:18" s="132" customFormat="1" ht="11.25" customHeight="1">
      <c r="B196" s="715" t="s">
        <v>2868</v>
      </c>
      <c r="C196" s="132" t="s">
        <v>809</v>
      </c>
      <c r="N196" s="250" t="s">
        <v>2868</v>
      </c>
      <c r="O196" s="1656" t="s">
        <v>2104</v>
      </c>
      <c r="P196" s="541"/>
    </row>
    <row r="197" spans="1:18" s="132" customFormat="1" ht="11.25" customHeight="1">
      <c r="B197" s="715" t="s">
        <v>3549</v>
      </c>
      <c r="C197" s="132" t="s">
        <v>810</v>
      </c>
      <c r="N197" s="250" t="s">
        <v>3549</v>
      </c>
      <c r="O197" s="1656" t="s">
        <v>2104</v>
      </c>
      <c r="P197" s="541"/>
    </row>
    <row r="198" spans="1:18" s="132" customFormat="1" ht="11.25" customHeight="1">
      <c r="B198" s="715" t="s">
        <v>1762</v>
      </c>
      <c r="C198" s="132" t="s">
        <v>811</v>
      </c>
      <c r="N198" s="250" t="s">
        <v>1762</v>
      </c>
      <c r="O198" s="1656" t="s">
        <v>2104</v>
      </c>
      <c r="P198" s="541"/>
    </row>
    <row r="199" spans="1:18" s="132" customFormat="1" ht="11.25" customHeight="1">
      <c r="B199" s="715" t="s">
        <v>1763</v>
      </c>
      <c r="C199" s="132" t="s">
        <v>819</v>
      </c>
      <c r="N199" s="250" t="s">
        <v>1763</v>
      </c>
      <c r="O199" s="1652" t="s">
        <v>2104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75"/>
      <c r="J203" s="1676"/>
      <c r="K203" s="253"/>
      <c r="L203" s="705"/>
      <c r="M203" s="89"/>
      <c r="N203" s="552" t="s">
        <v>3419</v>
      </c>
      <c r="O203" s="1651"/>
      <c r="P203" s="355"/>
      <c r="R203" s="558"/>
    </row>
    <row r="204" spans="1:18" ht="11.25" customHeight="1">
      <c r="A204" s="252"/>
      <c r="B204" s="108"/>
      <c r="C204" s="575" t="s">
        <v>3420</v>
      </c>
      <c r="D204" s="44" t="s">
        <v>2074</v>
      </c>
      <c r="H204" s="65"/>
      <c r="I204" s="1675"/>
      <c r="J204" s="1676"/>
      <c r="L204" s="705"/>
      <c r="M204" s="89"/>
      <c r="N204" s="575" t="s">
        <v>3420</v>
      </c>
      <c r="O204" s="1656"/>
      <c r="P204" s="541"/>
      <c r="R204" s="558"/>
    </row>
    <row r="205" spans="1:18" ht="11.25" customHeight="1">
      <c r="B205" s="715"/>
      <c r="C205" s="552" t="s">
        <v>3421</v>
      </c>
      <c r="D205" s="44" t="s">
        <v>3719</v>
      </c>
      <c r="H205" s="65"/>
      <c r="I205" s="1675">
        <v>1626500</v>
      </c>
      <c r="J205" s="1676"/>
      <c r="L205" s="705"/>
      <c r="M205" s="89"/>
      <c r="N205" s="552" t="s">
        <v>3421</v>
      </c>
      <c r="O205" s="1656" t="s">
        <v>3984</v>
      </c>
      <c r="P205" s="541"/>
      <c r="R205" s="558"/>
    </row>
    <row r="206" spans="1:18" ht="11.25" customHeight="1">
      <c r="A206" s="252"/>
      <c r="B206" s="715"/>
      <c r="C206" s="552" t="s">
        <v>3422</v>
      </c>
      <c r="D206" s="44" t="s">
        <v>3720</v>
      </c>
      <c r="I206" s="1675"/>
      <c r="J206" s="1676"/>
      <c r="L206" s="705"/>
      <c r="M206" s="89"/>
      <c r="N206" s="552" t="s">
        <v>3422</v>
      </c>
      <c r="O206" s="1656"/>
      <c r="P206" s="541"/>
      <c r="R206" s="558"/>
    </row>
    <row r="207" spans="1:18" s="51" customFormat="1" ht="11.25" customHeight="1">
      <c r="A207" s="251"/>
      <c r="B207" s="715"/>
      <c r="C207" s="575" t="s">
        <v>3423</v>
      </c>
      <c r="D207" s="44" t="s">
        <v>2075</v>
      </c>
      <c r="H207" s="65"/>
      <c r="I207" s="1675"/>
      <c r="J207" s="1676"/>
      <c r="K207" s="253"/>
      <c r="L207" s="705"/>
      <c r="M207" s="89"/>
      <c r="N207" s="575" t="s">
        <v>3423</v>
      </c>
      <c r="O207" s="1656"/>
      <c r="P207" s="541"/>
      <c r="R207" s="558"/>
    </row>
    <row r="208" spans="1:18" ht="11.25" customHeight="1">
      <c r="A208" s="252"/>
      <c r="B208" s="715"/>
      <c r="C208" s="552" t="s">
        <v>3443</v>
      </c>
      <c r="D208" s="44" t="s">
        <v>2076</v>
      </c>
      <c r="H208" s="65"/>
      <c r="I208" s="1675"/>
      <c r="J208" s="1676"/>
      <c r="L208" s="705"/>
      <c r="M208" s="89"/>
      <c r="N208" s="552" t="s">
        <v>3443</v>
      </c>
      <c r="O208" s="1656"/>
      <c r="P208" s="541"/>
      <c r="R208" s="558"/>
    </row>
    <row r="209" spans="1:18" ht="11.25" customHeight="1">
      <c r="A209" s="252"/>
      <c r="B209" s="715"/>
      <c r="C209" s="552" t="s">
        <v>3444</v>
      </c>
      <c r="D209" s="44" t="s">
        <v>2077</v>
      </c>
      <c r="H209" s="65"/>
      <c r="I209" s="1675"/>
      <c r="J209" s="1676"/>
      <c r="L209" s="705"/>
      <c r="M209" s="89"/>
      <c r="N209" s="552" t="s">
        <v>3444</v>
      </c>
      <c r="O209" s="1656"/>
      <c r="P209" s="541"/>
      <c r="R209" s="558"/>
    </row>
    <row r="210" spans="1:18" ht="11.25" customHeight="1" thickBot="1">
      <c r="A210" s="252"/>
      <c r="B210" s="715"/>
      <c r="C210" s="552" t="s">
        <v>3451</v>
      </c>
      <c r="D210" s="701" t="s">
        <v>3721</v>
      </c>
      <c r="E210" s="702"/>
      <c r="F210" s="702"/>
      <c r="G210" s="702"/>
      <c r="H210" s="703"/>
      <c r="I210" s="1677"/>
      <c r="J210" s="1678"/>
      <c r="L210" s="709"/>
      <c r="M210" s="89"/>
      <c r="N210" s="552" t="s">
        <v>3451</v>
      </c>
      <c r="O210" s="1652"/>
      <c r="P210" s="356"/>
      <c r="R210" s="558"/>
    </row>
    <row r="211" spans="1:18" ht="12" customHeight="1" thickBot="1">
      <c r="A211" s="252"/>
      <c r="B211" s="715"/>
      <c r="D211" s="699" t="s">
        <v>3724</v>
      </c>
      <c r="H211" s="65"/>
      <c r="I211" s="1679">
        <f>SUM(I203:J210)</f>
        <v>1626500</v>
      </c>
      <c r="J211" s="1680"/>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6267476</v>
      </c>
      <c r="J213" s="1182"/>
      <c r="M213" s="216"/>
      <c r="N213" s="31"/>
      <c r="O213" s="31"/>
      <c r="P213" s="31"/>
    </row>
    <row r="214" spans="1:18" ht="12" customHeight="1">
      <c r="B214" s="250"/>
      <c r="C214" s="698"/>
      <c r="D214" s="720" t="s">
        <v>3726</v>
      </c>
      <c r="G214" s="708"/>
      <c r="H214" s="708"/>
      <c r="I214" s="1183">
        <f>IF($I$213=0,0,$I$211/$I$213)</f>
        <v>0.25951435633738368</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8"/>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1"/>
      <c r="F219" s="1682"/>
      <c r="G219" s="1682"/>
      <c r="H219" s="1683"/>
      <c r="K219" s="253"/>
      <c r="M219" s="7"/>
      <c r="N219" s="7"/>
      <c r="O219" s="7"/>
      <c r="P219" s="7"/>
    </row>
    <row r="220" spans="1:18" ht="12" customHeight="1">
      <c r="A220" s="252"/>
      <c r="B220" s="582" t="s">
        <v>3321</v>
      </c>
      <c r="D220" s="583"/>
      <c r="E220" s="1684"/>
      <c r="F220" s="1685"/>
      <c r="G220" s="1685"/>
      <c r="H220" s="1685"/>
      <c r="I220" s="1685"/>
      <c r="J220" s="1685"/>
      <c r="K220" s="1685"/>
      <c r="L220" s="1685"/>
      <c r="M220" s="1685"/>
      <c r="N220" s="1685"/>
      <c r="O220" s="1685"/>
      <c r="P220" s="1313"/>
    </row>
    <row r="221" spans="1:18" ht="12.6" customHeight="1">
      <c r="B221" s="44" t="s">
        <v>3863</v>
      </c>
      <c r="E221" s="704"/>
      <c r="I221" s="1686"/>
      <c r="J221" s="1687"/>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2"/>
      <c r="B224" s="1583"/>
      <c r="C224" s="1583"/>
      <c r="D224" s="1583"/>
      <c r="E224" s="1583"/>
      <c r="F224" s="1583"/>
      <c r="G224" s="1583"/>
      <c r="H224" s="1583"/>
      <c r="I224" s="1583"/>
      <c r="J224" s="1583"/>
      <c r="K224" s="1583"/>
      <c r="L224" s="1583"/>
      <c r="M224" s="1583"/>
      <c r="N224" s="1583"/>
      <c r="O224" s="1583"/>
      <c r="P224" s="1584"/>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1" t="s">
        <v>3984</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52" t="s">
        <v>3984</v>
      </c>
      <c r="P230" s="356"/>
    </row>
    <row r="231" spans="1:18" s="51" customFormat="1" ht="12" customHeight="1">
      <c r="A231" s="189" t="s">
        <v>2865</v>
      </c>
      <c r="B231" s="236" t="s">
        <v>3727</v>
      </c>
      <c r="D231" s="40"/>
      <c r="E231" s="40"/>
      <c r="F231" s="40"/>
      <c r="H231" s="65" t="s">
        <v>3287</v>
      </c>
      <c r="N231" s="803" t="s">
        <v>2865</v>
      </c>
      <c r="O231" s="1578"/>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1"/>
      <c r="P233" s="355"/>
    </row>
    <row r="234" spans="1:18" s="132" customFormat="1" ht="11.25" customHeight="1">
      <c r="B234" s="551" t="s">
        <v>2868</v>
      </c>
      <c r="C234" s="697" t="s">
        <v>3729</v>
      </c>
      <c r="N234" s="250" t="s">
        <v>2868</v>
      </c>
      <c r="O234" s="1656"/>
      <c r="P234" s="541"/>
    </row>
    <row r="235" spans="1:18" s="132" customFormat="1" ht="11.25" customHeight="1">
      <c r="B235" s="551" t="s">
        <v>3549</v>
      </c>
      <c r="C235" s="697" t="s">
        <v>3731</v>
      </c>
      <c r="N235" s="250" t="s">
        <v>3549</v>
      </c>
      <c r="O235" s="1656"/>
      <c r="P235" s="541"/>
    </row>
    <row r="236" spans="1:18" s="132" customFormat="1" ht="11.25" customHeight="1">
      <c r="B236" s="551" t="s">
        <v>1762</v>
      </c>
      <c r="C236" s="697" t="s">
        <v>3732</v>
      </c>
      <c r="N236" s="250" t="s">
        <v>1762</v>
      </c>
      <c r="O236" s="1652"/>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2"/>
      <c r="B238" s="1583"/>
      <c r="C238" s="1583"/>
      <c r="D238" s="1583"/>
      <c r="E238" s="1583"/>
      <c r="F238" s="1583"/>
      <c r="G238" s="1583"/>
      <c r="H238" s="1583"/>
      <c r="I238" s="1583"/>
      <c r="J238" s="1583"/>
      <c r="K238" s="1583"/>
      <c r="L238" s="1583"/>
      <c r="M238" s="1583"/>
      <c r="N238" s="1583"/>
      <c r="O238" s="1583"/>
      <c r="P238" s="1584"/>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8">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89" t="s">
        <v>4041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8"/>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89"/>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2"/>
      <c r="B250" s="1583"/>
      <c r="C250" s="1583"/>
      <c r="D250" s="1583"/>
      <c r="E250" s="1583"/>
      <c r="F250" s="1583"/>
      <c r="G250" s="1583"/>
      <c r="H250" s="1583"/>
      <c r="I250" s="1583"/>
      <c r="J250" s="1583"/>
      <c r="K250" s="1583"/>
      <c r="L250" s="1583"/>
      <c r="M250" s="1583"/>
      <c r="N250" s="1583"/>
      <c r="O250" s="1583"/>
      <c r="P250" s="1584"/>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8" t="s">
        <v>3984</v>
      </c>
      <c r="P255" s="232"/>
    </row>
    <row r="256" spans="1:18" ht="12.6" customHeight="1">
      <c r="A256" s="189" t="s">
        <v>2862</v>
      </c>
      <c r="B256" s="254" t="s">
        <v>2020</v>
      </c>
      <c r="D256" s="40"/>
      <c r="E256" s="40"/>
      <c r="F256" s="40"/>
      <c r="G256" s="40"/>
      <c r="H256" s="40"/>
      <c r="I256" s="40"/>
      <c r="J256" s="40"/>
      <c r="K256" s="40"/>
      <c r="L256" s="40"/>
      <c r="M256" s="157"/>
      <c r="N256" s="803" t="s">
        <v>2862</v>
      </c>
      <c r="O256" s="1690">
        <v>10</v>
      </c>
      <c r="P256" s="580"/>
    </row>
    <row r="257" spans="1:18" ht="12.6" customHeight="1">
      <c r="A257" s="189" t="s">
        <v>2865</v>
      </c>
      <c r="B257" s="254" t="s">
        <v>325</v>
      </c>
      <c r="D257" s="40"/>
      <c r="E257" s="40"/>
      <c r="F257" s="40"/>
      <c r="G257" s="48"/>
      <c r="H257" s="48"/>
      <c r="I257" s="48"/>
      <c r="J257" s="48"/>
      <c r="K257" s="48"/>
      <c r="M257" s="134"/>
      <c r="N257" s="803" t="s">
        <v>2865</v>
      </c>
      <c r="O257" s="1578" t="s">
        <v>4066</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2"/>
      <c r="B259" s="1583"/>
      <c r="C259" s="1583"/>
      <c r="D259" s="1583"/>
      <c r="E259" s="1583"/>
      <c r="F259" s="1583"/>
      <c r="G259" s="1583"/>
      <c r="H259" s="1583"/>
      <c r="I259" s="1583"/>
      <c r="J259" s="1583"/>
      <c r="K259" s="1583"/>
      <c r="L259" s="1583"/>
      <c r="M259" s="1583"/>
      <c r="N259" s="1583"/>
      <c r="O259" s="1583"/>
      <c r="P259" s="1584"/>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3967</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44"/>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91"/>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92"/>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93"/>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694"/>
      <c r="P272" s="742"/>
    </row>
    <row r="273" spans="1:18" ht="13.5" customHeight="1">
      <c r="A273" s="189" t="s">
        <v>2865</v>
      </c>
      <c r="B273" s="236" t="s">
        <v>3740</v>
      </c>
      <c r="D273" s="40"/>
      <c r="E273" s="73" t="s">
        <v>3966</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92"/>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694"/>
      <c r="P276" s="742"/>
    </row>
    <row r="277" spans="1:18" s="132" customFormat="1" ht="12" customHeight="1">
      <c r="B277" s="551" t="s">
        <v>2868</v>
      </c>
      <c r="C277" s="724" t="s">
        <v>3742</v>
      </c>
      <c r="L277" s="558" t="str">
        <f>IF(OR($O277=$M277,$O277=0,$O277=""),"","* * Check Score! * *")</f>
        <v/>
      </c>
      <c r="M277" s="8">
        <v>1</v>
      </c>
      <c r="N277" s="250" t="s">
        <v>2868</v>
      </c>
      <c r="O277" s="1644"/>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88"/>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89"/>
      <c r="P280" s="744"/>
    </row>
    <row r="281" spans="1:18" s="132" customFormat="1" ht="12" customHeight="1">
      <c r="B281" s="551" t="s">
        <v>1762</v>
      </c>
      <c r="C281" s="724" t="s">
        <v>3748</v>
      </c>
      <c r="F281" s="697" t="s">
        <v>3864</v>
      </c>
      <c r="L281" s="558"/>
      <c r="M281" s="8">
        <v>2</v>
      </c>
      <c r="N281" s="250" t="s">
        <v>1762</v>
      </c>
      <c r="O281" s="1644"/>
      <c r="P281" s="85"/>
    </row>
    <row r="282" spans="1:18" s="132" customFormat="1" ht="12" customHeight="1">
      <c r="B282" s="551" t="s">
        <v>1763</v>
      </c>
      <c r="C282" s="724" t="s">
        <v>3749</v>
      </c>
      <c r="F282" s="697" t="s">
        <v>3751</v>
      </c>
      <c r="J282" s="1209">
        <f>'Part IV-Uses of Funds'!$B$39/'Part IV-Uses of Funds'!$G$123</f>
        <v>0.5398445881563807</v>
      </c>
      <c r="K282" s="1210"/>
      <c r="L282" s="558"/>
      <c r="M282" s="8">
        <v>2</v>
      </c>
      <c r="N282" s="250" t="s">
        <v>1763</v>
      </c>
      <c r="O282" s="1644"/>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8"/>
      <c r="P284" s="232"/>
      <c r="R284" s="558"/>
    </row>
    <row r="285" spans="1:18" s="51" customFormat="1" ht="12" customHeight="1">
      <c r="A285" s="189"/>
      <c r="B285" s="575" t="s">
        <v>3420</v>
      </c>
      <c r="C285" s="65" t="s">
        <v>3946</v>
      </c>
      <c r="D285" s="40"/>
      <c r="N285" s="803"/>
      <c r="O285" s="1578"/>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2"/>
      <c r="B287" s="1583"/>
      <c r="C287" s="1583"/>
      <c r="D287" s="1583"/>
      <c r="E287" s="1583"/>
      <c r="F287" s="1583"/>
      <c r="G287" s="1583"/>
      <c r="H287" s="1583"/>
      <c r="I287" s="1583"/>
      <c r="J287" s="1583"/>
      <c r="K287" s="1583"/>
      <c r="L287" s="1583"/>
      <c r="M287" s="1583"/>
      <c r="N287" s="1583"/>
      <c r="O287" s="1583"/>
      <c r="P287" s="1584"/>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51</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4" zoomScaleNormal="100" workbookViewId="0">
      <selection activeCell="C7" sqref="C7"/>
    </sheetView>
  </sheetViews>
  <sheetFormatPr defaultRowHeight="12.75"/>
  <cols>
    <col min="1" max="1" width="88.42578125" customWidth="1"/>
  </cols>
  <sheetData>
    <row r="1" spans="1:6" ht="15.75">
      <c r="A1" s="577" t="s">
        <v>3940</v>
      </c>
    </row>
    <row r="2" spans="1:6" ht="16.5">
      <c r="A2" s="576" t="str">
        <f>'Part I-Project Information'!F22</f>
        <v>Monroe Elementary Apartments</v>
      </c>
    </row>
    <row r="3" spans="1:6" ht="16.5">
      <c r="A3" s="576" t="str">
        <f>CONCATENATE('Part I-Project Information'!F24,", ", 'Part I-Project Information'!J25," County")</f>
        <v>Monroe, Walton County</v>
      </c>
    </row>
    <row r="4" spans="1:6" ht="12" customHeight="1"/>
    <row r="5" spans="1:6" ht="113.25" customHeight="1">
      <c r="A5" s="1216" t="s">
        <v>4098</v>
      </c>
      <c r="B5" s="1146" t="s">
        <v>3960</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Monroe Elementary Apartments</v>
      </c>
    </row>
    <row r="3" spans="1:6" ht="16.5">
      <c r="A3" s="576" t="str">
        <f>CONCATENATE('Part I-Project Information'!F24,", ", 'Part I-Project Information'!J25," County")</f>
        <v>Monroe, Walton County</v>
      </c>
    </row>
    <row r="4" spans="1:6" ht="12" customHeight="1"/>
    <row r="5" spans="1:6" ht="60" customHeight="1">
      <c r="A5" s="1216" t="s">
        <v>3959</v>
      </c>
      <c r="B5" s="1146" t="s">
        <v>3961</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118" zoomScaleNormal="100" workbookViewId="0">
      <selection activeCell="H134" sqref="H13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6297904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7557472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6927704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Monroe Elementary Apartments</v>
      </c>
    </row>
    <row r="3" spans="1:6" ht="16.5">
      <c r="A3" s="1281" t="str">
        <f>CONCATENATE('Part I-Project Information'!F24,", ", 'Part I-Project Information'!J25," County")</f>
        <v>Monroe, Walton County</v>
      </c>
    </row>
    <row r="4" spans="1:6" ht="12" customHeight="1"/>
    <row r="5" spans="1:6" ht="111" customHeight="1">
      <c r="A5" s="1282" t="s">
        <v>4026</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- 2012-016 Monroe Elementary Apartments, Monroe, Walton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4099</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417224</v>
      </c>
      <c r="K6" s="907"/>
      <c r="O6" s="888" t="s">
        <v>3866</v>
      </c>
      <c r="P6" s="888"/>
    </row>
    <row r="7" spans="1:16" s="2" customFormat="1" ht="13.15" customHeight="1">
      <c r="A7" s="5"/>
      <c r="C7" s="5"/>
      <c r="D7" s="31"/>
      <c r="E7" s="549"/>
      <c r="F7" s="449" t="s">
        <v>1850</v>
      </c>
      <c r="J7" s="908">
        <f>'Part III A-Sources of Funds'!J5</f>
        <v>1626500</v>
      </c>
      <c r="K7" s="909"/>
      <c r="M7" s="449"/>
      <c r="N7" s="449"/>
      <c r="O7" s="1286" t="s">
        <v>4067</v>
      </c>
      <c r="P7" s="1287"/>
    </row>
    <row r="8" spans="1:16" s="449" customFormat="1" ht="7.15" customHeight="1">
      <c r="A8" s="452"/>
      <c r="C8" s="452"/>
      <c r="D8" s="416"/>
      <c r="E8" s="454"/>
      <c r="F8" s="454"/>
      <c r="I8" s="456"/>
      <c r="N8" s="457"/>
    </row>
    <row r="9" spans="1:16" s="449" customFormat="1" ht="13.15" customHeight="1">
      <c r="A9" s="456" t="s">
        <v>1136</v>
      </c>
      <c r="C9" s="452" t="s">
        <v>2925</v>
      </c>
      <c r="F9" s="1288" t="s">
        <v>4079</v>
      </c>
      <c r="G9" s="1289"/>
      <c r="H9" s="1290"/>
      <c r="I9" s="1291" t="s">
        <v>1137</v>
      </c>
      <c r="J9" s="1292" t="s">
        <v>3975</v>
      </c>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3976</v>
      </c>
      <c r="G13" s="1293"/>
      <c r="H13" s="1293"/>
      <c r="I13" s="1293"/>
      <c r="J13" s="1293"/>
      <c r="K13" s="1293"/>
      <c r="L13" s="1294"/>
      <c r="M13" s="826" t="s">
        <v>2859</v>
      </c>
      <c r="N13" s="1292" t="s">
        <v>3977</v>
      </c>
      <c r="O13" s="1293"/>
      <c r="P13" s="1294"/>
    </row>
    <row r="14" spans="1:16" s="449" customFormat="1" ht="13.15" customHeight="1">
      <c r="C14" s="455" t="s">
        <v>2860</v>
      </c>
      <c r="F14" s="1292" t="s">
        <v>3978</v>
      </c>
      <c r="G14" s="1293"/>
      <c r="H14" s="1293"/>
      <c r="I14" s="1293"/>
      <c r="J14" s="1293"/>
      <c r="K14" s="1293"/>
      <c r="L14" s="1294"/>
      <c r="M14" s="826" t="s">
        <v>2573</v>
      </c>
      <c r="O14" s="1295">
        <v>3367148942</v>
      </c>
      <c r="P14" s="1296"/>
    </row>
    <row r="15" spans="1:16" s="449" customFormat="1" ht="13.15" customHeight="1">
      <c r="C15" s="455" t="s">
        <v>876</v>
      </c>
      <c r="F15" s="1297" t="s">
        <v>3979</v>
      </c>
      <c r="G15" s="1298"/>
      <c r="H15" s="1299"/>
      <c r="M15" s="826" t="s">
        <v>2658</v>
      </c>
      <c r="O15" s="1300">
        <v>3367223603</v>
      </c>
      <c r="P15" s="1301"/>
    </row>
    <row r="16" spans="1:16" s="449" customFormat="1" ht="13.15" customHeight="1">
      <c r="C16" s="455" t="s">
        <v>2655</v>
      </c>
      <c r="F16" s="1302" t="s">
        <v>1917</v>
      </c>
      <c r="I16" s="839" t="s">
        <v>3138</v>
      </c>
      <c r="J16" s="1303">
        <v>271014153</v>
      </c>
      <c r="K16" s="1304"/>
      <c r="M16" s="826" t="s">
        <v>2858</v>
      </c>
      <c r="O16" s="1300">
        <v>9046162643</v>
      </c>
      <c r="P16" s="1301"/>
    </row>
    <row r="17" spans="1:16" s="449" customFormat="1" ht="13.15" customHeight="1">
      <c r="B17" s="833"/>
      <c r="C17" s="455" t="s">
        <v>2572</v>
      </c>
      <c r="F17" s="1300">
        <v>3367229871</v>
      </c>
      <c r="G17" s="1305"/>
      <c r="H17" s="1301"/>
      <c r="I17" s="830" t="s">
        <v>2571</v>
      </c>
      <c r="J17" s="1306">
        <v>142</v>
      </c>
      <c r="K17" s="839" t="s">
        <v>2863</v>
      </c>
      <c r="L17" s="1292" t="s">
        <v>3980</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3981</v>
      </c>
      <c r="G22" s="1308"/>
      <c r="H22" s="1308"/>
      <c r="I22" s="1308"/>
      <c r="J22" s="1308"/>
      <c r="K22" s="1308"/>
      <c r="L22" s="1309"/>
      <c r="M22" s="826" t="s">
        <v>3087</v>
      </c>
      <c r="O22" s="1292" t="s">
        <v>3982</v>
      </c>
      <c r="P22" s="1294"/>
    </row>
    <row r="23" spans="1:16" s="449" customFormat="1" ht="13.15" customHeight="1">
      <c r="A23" s="462"/>
      <c r="B23" s="452"/>
      <c r="C23" s="449" t="s">
        <v>875</v>
      </c>
      <c r="D23" s="463"/>
      <c r="F23" s="1292" t="s">
        <v>3983</v>
      </c>
      <c r="G23" s="1293"/>
      <c r="H23" s="1293"/>
      <c r="I23" s="1293"/>
      <c r="J23" s="1293"/>
      <c r="K23" s="1293"/>
      <c r="L23" s="1294"/>
      <c r="M23" s="826" t="s">
        <v>2938</v>
      </c>
      <c r="O23" s="1292" t="s">
        <v>3982</v>
      </c>
      <c r="P23" s="1294"/>
    </row>
    <row r="24" spans="1:16" s="449" customFormat="1" ht="13.15" customHeight="1">
      <c r="A24" s="846"/>
      <c r="B24" s="452"/>
      <c r="C24" s="449" t="s">
        <v>876</v>
      </c>
      <c r="F24" s="1292" t="s">
        <v>2386</v>
      </c>
      <c r="G24" s="1293"/>
      <c r="H24" s="1294"/>
      <c r="I24" s="839" t="s">
        <v>418</v>
      </c>
      <c r="J24" s="1303">
        <v>306552313</v>
      </c>
      <c r="K24" s="1304"/>
      <c r="L24" s="540" t="str">
        <f>IF(AND(NOT(F22=""),NOT(F24="Select from list"),J24=""),"Enter Zip!","")</f>
        <v/>
      </c>
      <c r="M24" s="826" t="s">
        <v>3197</v>
      </c>
      <c r="O24" s="1292">
        <v>8.5</v>
      </c>
      <c r="P24" s="1294"/>
    </row>
    <row r="25" spans="1:16" s="449" customFormat="1" ht="13.15" customHeight="1">
      <c r="A25" s="846"/>
      <c r="B25" s="452"/>
      <c r="C25" s="889" t="s">
        <v>2937</v>
      </c>
      <c r="D25" s="889"/>
      <c r="F25" s="1310" t="s">
        <v>3984</v>
      </c>
      <c r="I25" s="494" t="s">
        <v>877</v>
      </c>
      <c r="J25" s="1311" t="str">
        <f>IF($F$24="","",VLOOKUP($F$24,$N$181:$O$784,2,FALSE))</f>
        <v>Walton</v>
      </c>
      <c r="K25" s="1312"/>
      <c r="M25" s="465" t="s">
        <v>3212</v>
      </c>
      <c r="O25" s="1292">
        <v>1103</v>
      </c>
      <c r="P25" s="1313"/>
    </row>
    <row r="26" spans="1:16" s="449" customFormat="1" ht="13.15" customHeight="1">
      <c r="A26" s="846"/>
      <c r="B26" s="452"/>
      <c r="C26" s="449" t="s">
        <v>2162</v>
      </c>
      <c r="F26" s="1314" t="s">
        <v>3984</v>
      </c>
      <c r="H26" s="457" t="s">
        <v>3656</v>
      </c>
      <c r="I26" s="682" t="str">
        <f>VLOOKUP($J$25,$C$181:$F$340,4)</f>
        <v>MSA</v>
      </c>
      <c r="J26" s="1315" t="str">
        <f>IF($F$24="","",VLOOKUP($J$25,$C$181:$H$340,3,FALSE))</f>
        <v>Atlanta-Sandy Springs-Marietta</v>
      </c>
      <c r="K26" s="1316"/>
      <c r="L26" s="1317"/>
      <c r="M26" s="826" t="s">
        <v>625</v>
      </c>
      <c r="N26" s="1318" t="s">
        <v>3982</v>
      </c>
      <c r="O26" s="457" t="s">
        <v>626</v>
      </c>
      <c r="P26" s="1318" t="s">
        <v>3982</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7</v>
      </c>
      <c r="G29" s="1320"/>
      <c r="H29" s="1319">
        <v>46</v>
      </c>
      <c r="I29" s="1320"/>
      <c r="J29" s="1319">
        <v>111</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3985</v>
      </c>
      <c r="G32" s="1322"/>
      <c r="H32" s="1322"/>
      <c r="I32" s="1322"/>
      <c r="J32" s="1322"/>
      <c r="K32" s="1323"/>
      <c r="L32" s="466"/>
      <c r="M32" s="466"/>
      <c r="N32" s="466"/>
    </row>
    <row r="33" spans="1:19" s="449" customFormat="1" ht="13.15" customHeight="1">
      <c r="A33" s="846"/>
      <c r="B33" s="846"/>
      <c r="C33" s="449" t="s">
        <v>897</v>
      </c>
      <c r="F33" s="1324" t="s">
        <v>3986</v>
      </c>
      <c r="G33" s="1325"/>
      <c r="H33" s="1325"/>
      <c r="I33" s="1325"/>
      <c r="J33" s="1326"/>
      <c r="K33" s="467" t="s">
        <v>2859</v>
      </c>
      <c r="L33" s="1321" t="s">
        <v>3987</v>
      </c>
      <c r="M33" s="1322"/>
      <c r="N33" s="1323"/>
    </row>
    <row r="34" spans="1:19" s="449" customFormat="1" ht="13.15" customHeight="1">
      <c r="A34" s="846"/>
      <c r="B34" s="846"/>
      <c r="C34" s="449" t="s">
        <v>2860</v>
      </c>
      <c r="F34" s="1321" t="s">
        <v>3988</v>
      </c>
      <c r="G34" s="1322"/>
      <c r="H34" s="1322"/>
      <c r="I34" s="1322"/>
      <c r="J34" s="1323"/>
      <c r="K34" s="468" t="s">
        <v>876</v>
      </c>
      <c r="L34" s="1292" t="s">
        <v>2386</v>
      </c>
      <c r="M34" s="1293"/>
      <c r="N34" s="1294"/>
    </row>
    <row r="35" spans="1:19" s="449" customFormat="1" ht="13.15" customHeight="1">
      <c r="A35" s="846"/>
      <c r="B35" s="846"/>
      <c r="C35" s="826" t="s">
        <v>3138</v>
      </c>
      <c r="F35" s="1327">
        <v>306551843</v>
      </c>
      <c r="G35" s="1328"/>
      <c r="H35" s="830" t="s">
        <v>2861</v>
      </c>
      <c r="I35" s="1329">
        <v>7702665120</v>
      </c>
      <c r="J35" s="1330"/>
      <c r="K35" s="1331"/>
      <c r="L35" s="830" t="s">
        <v>2658</v>
      </c>
      <c r="M35" s="1329">
        <v>7702672319</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3982</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48</v>
      </c>
      <c r="J42" s="397"/>
      <c r="L42" s="449"/>
      <c r="Q42" s="839"/>
    </row>
    <row r="43" spans="1:19" s="449" customFormat="1" ht="13.15" customHeight="1">
      <c r="A43" s="846"/>
      <c r="B43" s="846"/>
      <c r="C43" s="455" t="s">
        <v>439</v>
      </c>
      <c r="D43" s="833"/>
      <c r="F43" s="473">
        <f>'Part VI-Revenues &amp; Expenses'!$M$81</f>
        <v>48</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48</v>
      </c>
      <c r="I49" s="897"/>
      <c r="J49" s="846"/>
      <c r="K49" s="459" t="s">
        <v>3221</v>
      </c>
      <c r="M49" s="833"/>
      <c r="N49" s="833"/>
      <c r="O49" s="833"/>
      <c r="P49" s="476">
        <f>'Part VI-Revenues &amp; Expenses'!$M$96</f>
        <v>37200</v>
      </c>
    </row>
    <row r="50" spans="1:16" s="449" customFormat="1" ht="13.15" customHeight="1">
      <c r="A50" s="846"/>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38</v>
      </c>
      <c r="I51" s="476">
        <f>'Part VI-Revenues &amp; Expenses'!$M$64</f>
        <v>0</v>
      </c>
      <c r="K51" s="459" t="s">
        <v>3222</v>
      </c>
      <c r="M51" s="833"/>
      <c r="N51" s="833"/>
      <c r="O51" s="833"/>
      <c r="P51" s="476">
        <f>+P49+P50</f>
        <v>37200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48</v>
      </c>
      <c r="J53" s="846"/>
      <c r="K53" s="459" t="s">
        <v>1995</v>
      </c>
      <c r="M53" s="833"/>
      <c r="N53" s="833"/>
      <c r="O53" s="833"/>
      <c r="P53" s="476">
        <f>+P51+P52</f>
        <v>37200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48</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5</v>
      </c>
      <c r="K57" s="459" t="s">
        <v>1641</v>
      </c>
      <c r="O57" s="833"/>
      <c r="P57" s="1333">
        <v>22865</v>
      </c>
    </row>
    <row r="58" spans="1:16" s="449" customFormat="1" ht="13.15" customHeight="1">
      <c r="A58" s="846"/>
      <c r="B58" s="846"/>
      <c r="D58" s="829" t="s">
        <v>2877</v>
      </c>
      <c r="H58" s="1333">
        <v>2</v>
      </c>
      <c r="I58" s="833"/>
      <c r="K58" s="459" t="s">
        <v>305</v>
      </c>
      <c r="O58" s="833"/>
      <c r="P58" s="476">
        <f>+P53+P57</f>
        <v>60065</v>
      </c>
    </row>
    <row r="59" spans="1:16" s="449" customFormat="1" ht="13.15" customHeight="1">
      <c r="A59" s="846"/>
      <c r="B59" s="846"/>
      <c r="D59" s="829" t="s">
        <v>2878</v>
      </c>
      <c r="H59" s="476">
        <f>+H57+H58</f>
        <v>7</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72</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3964</v>
      </c>
      <c r="D65" s="827"/>
      <c r="E65" s="827"/>
      <c r="F65" s="833"/>
      <c r="G65" s="839"/>
      <c r="H65" s="1334" t="s">
        <v>3989</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3</v>
      </c>
      <c r="K67" s="889" t="s">
        <v>755</v>
      </c>
      <c r="L67" s="889"/>
      <c r="P67" s="480">
        <f>IF('Part VI-Revenues &amp; Expenses'!$M$62=0,0,$H67/'Part VI-Revenues &amp; Expenses'!$M$62)</f>
        <v>6.25E-2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1</v>
      </c>
      <c r="K69" s="889" t="s">
        <v>755</v>
      </c>
      <c r="L69" s="889"/>
      <c r="P69" s="480">
        <f>IF('Part VI-Revenues &amp; Expenses'!$M$62=0,0,$H69/'Part VI-Revenues &amp; Expenses'!$M$62)</f>
        <v>2.0833333333333332E-2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v>0</v>
      </c>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t="s">
        <v>3984</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3982</v>
      </c>
      <c r="F81" s="477" t="s">
        <v>3639</v>
      </c>
      <c r="H81" s="1306" t="s">
        <v>3984</v>
      </c>
      <c r="I81" s="826" t="s">
        <v>3638</v>
      </c>
      <c r="K81" s="1306" t="s">
        <v>3982</v>
      </c>
      <c r="L81" s="449" t="s">
        <v>339</v>
      </c>
    </row>
    <row r="82" spans="1:16" s="449" customFormat="1" ht="13.15" customHeight="1">
      <c r="A82" s="846"/>
      <c r="B82" s="846"/>
      <c r="D82" s="470"/>
      <c r="E82" s="1306" t="s">
        <v>3982</v>
      </c>
      <c r="F82" s="826" t="s">
        <v>611</v>
      </c>
      <c r="H82" s="1306" t="s">
        <v>3982</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1263965</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3990</v>
      </c>
      <c r="D102" s="1346"/>
      <c r="E102" s="1346"/>
      <c r="F102" s="1346" t="s">
        <v>3991</v>
      </c>
      <c r="G102" s="1346"/>
      <c r="H102" s="1346"/>
      <c r="I102" s="1347"/>
      <c r="J102" s="1345">
        <v>8</v>
      </c>
      <c r="K102" s="1346"/>
      <c r="L102" s="1346"/>
      <c r="M102" s="1346"/>
      <c r="N102" s="1346"/>
      <c r="O102" s="1346"/>
      <c r="P102" s="1347"/>
    </row>
    <row r="103" spans="1:16" s="449" customFormat="1" ht="13.15" customHeight="1">
      <c r="A103" s="846"/>
      <c r="B103" s="846"/>
      <c r="C103" s="1348" t="s">
        <v>3992</v>
      </c>
      <c r="D103" s="1349"/>
      <c r="E103" s="1349"/>
      <c r="F103" s="1349" t="s">
        <v>3991</v>
      </c>
      <c r="G103" s="1349"/>
      <c r="H103" s="1349"/>
      <c r="I103" s="1350"/>
      <c r="J103" s="1348">
        <v>9</v>
      </c>
      <c r="K103" s="1349"/>
      <c r="L103" s="1349"/>
      <c r="M103" s="1349"/>
      <c r="N103" s="1349"/>
      <c r="O103" s="1349"/>
      <c r="P103" s="1350"/>
    </row>
    <row r="104" spans="1:16" s="449" customFormat="1" ht="13.15" customHeight="1">
      <c r="A104" s="846"/>
      <c r="B104" s="846"/>
      <c r="C104" s="1348" t="s">
        <v>3993</v>
      </c>
      <c r="D104" s="1349"/>
      <c r="E104" s="1349"/>
      <c r="F104" s="1349" t="s">
        <v>3991</v>
      </c>
      <c r="G104" s="1349"/>
      <c r="H104" s="1349"/>
      <c r="I104" s="1350"/>
      <c r="J104" s="1348">
        <v>10</v>
      </c>
      <c r="K104" s="1349"/>
      <c r="L104" s="1349"/>
      <c r="M104" s="1349"/>
      <c r="N104" s="1349"/>
      <c r="O104" s="1349"/>
      <c r="P104" s="1350"/>
    </row>
    <row r="105" spans="1:16" s="449" customFormat="1" ht="13.15" customHeight="1">
      <c r="A105" s="846"/>
      <c r="B105" s="846"/>
      <c r="C105" s="1348" t="s">
        <v>3990</v>
      </c>
      <c r="D105" s="1349"/>
      <c r="E105" s="1349"/>
      <c r="F105" s="1349" t="s">
        <v>3981</v>
      </c>
      <c r="G105" s="1349"/>
      <c r="H105" s="1349"/>
      <c r="I105" s="1350"/>
      <c r="J105" s="1348">
        <v>11</v>
      </c>
      <c r="K105" s="1349"/>
      <c r="L105" s="1349"/>
      <c r="M105" s="1349"/>
      <c r="N105" s="1349"/>
      <c r="O105" s="1349"/>
      <c r="P105" s="1350"/>
    </row>
    <row r="106" spans="1:16" s="449" customFormat="1" ht="13.15" customHeight="1">
      <c r="A106" s="846"/>
      <c r="B106" s="846"/>
      <c r="C106" s="1348" t="s">
        <v>3992</v>
      </c>
      <c r="D106" s="1349"/>
      <c r="E106" s="1349"/>
      <c r="F106" s="1349" t="s">
        <v>3981</v>
      </c>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t="s">
        <v>3993</v>
      </c>
      <c r="D113" s="1346"/>
      <c r="E113" s="1346"/>
      <c r="F113" s="1346" t="s">
        <v>3991</v>
      </c>
      <c r="G113" s="1346"/>
      <c r="H113" s="1346"/>
      <c r="I113" s="1347"/>
      <c r="J113" s="1345">
        <v>8</v>
      </c>
      <c r="K113" s="1346"/>
      <c r="L113" s="1346"/>
      <c r="M113" s="1346"/>
      <c r="N113" s="1346"/>
      <c r="O113" s="1346"/>
      <c r="P113" s="1347"/>
    </row>
    <row r="114" spans="1:16" s="449" customFormat="1" ht="13.15" customHeight="1">
      <c r="A114" s="846"/>
      <c r="B114" s="846"/>
      <c r="C114" s="1348" t="s">
        <v>3990</v>
      </c>
      <c r="D114" s="1349"/>
      <c r="E114" s="1349"/>
      <c r="F114" s="1349" t="s">
        <v>3991</v>
      </c>
      <c r="G114" s="1349"/>
      <c r="H114" s="1349"/>
      <c r="I114" s="1350"/>
      <c r="J114" s="1348">
        <v>9</v>
      </c>
      <c r="K114" s="1349"/>
      <c r="L114" s="1349"/>
      <c r="M114" s="1349"/>
      <c r="N114" s="1349"/>
      <c r="O114" s="1349"/>
      <c r="P114" s="1350"/>
    </row>
    <row r="115" spans="1:16" s="449" customFormat="1" ht="13.15" customHeight="1">
      <c r="A115" s="846"/>
      <c r="B115" s="846"/>
      <c r="C115" s="1348" t="s">
        <v>3992</v>
      </c>
      <c r="D115" s="1349"/>
      <c r="E115" s="1349"/>
      <c r="F115" s="1349" t="s">
        <v>3991</v>
      </c>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3982</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3982</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3982</v>
      </c>
      <c r="J147" s="893" t="s">
        <v>1158</v>
      </c>
      <c r="K147" s="894"/>
      <c r="L147" s="1343"/>
      <c r="M147" s="890" t="s">
        <v>3247</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3982</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3982</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t="s">
        <v>3982</v>
      </c>
      <c r="L157" s="833" t="s">
        <v>3907</v>
      </c>
      <c r="P157" s="1343" t="s">
        <v>3982</v>
      </c>
    </row>
    <row r="158" spans="1:16" s="449" customFormat="1" ht="12.6" customHeight="1">
      <c r="A158" s="846"/>
      <c r="B158" s="846"/>
      <c r="C158" s="833" t="s">
        <v>3115</v>
      </c>
      <c r="H158" s="1343" t="s">
        <v>3984</v>
      </c>
      <c r="L158" s="833" t="s">
        <v>2222</v>
      </c>
      <c r="P158" s="1343" t="s">
        <v>3982</v>
      </c>
    </row>
    <row r="159" spans="1:16" s="449" customFormat="1" ht="12.6" customHeight="1">
      <c r="A159" s="846"/>
      <c r="C159" s="833" t="s">
        <v>1849</v>
      </c>
      <c r="D159" s="495"/>
      <c r="H159" s="1343" t="s">
        <v>3984</v>
      </c>
      <c r="L159" s="833" t="s">
        <v>2387</v>
      </c>
      <c r="P159" s="1343" t="s">
        <v>3982</v>
      </c>
    </row>
    <row r="160" spans="1:16" s="449" customFormat="1" ht="12.6" customHeight="1">
      <c r="A160" s="846"/>
      <c r="B160" s="846"/>
      <c r="C160" s="833" t="s">
        <v>2221</v>
      </c>
      <c r="D160" s="461"/>
      <c r="E160" s="833"/>
      <c r="F160" s="833"/>
      <c r="H160" s="1343" t="s">
        <v>3984</v>
      </c>
      <c r="K160" s="461"/>
      <c r="L160" s="449" t="s">
        <v>3908</v>
      </c>
      <c r="M160" s="833"/>
      <c r="P160" s="1343" t="s">
        <v>3982</v>
      </c>
    </row>
    <row r="161" spans="1:21" s="449" customFormat="1" ht="12.6" customHeight="1">
      <c r="A161" s="846"/>
      <c r="B161" s="452"/>
      <c r="C161" s="833" t="s">
        <v>2139</v>
      </c>
      <c r="D161" s="461"/>
      <c r="H161" s="1343" t="s">
        <v>3982</v>
      </c>
      <c r="L161" s="833" t="s">
        <v>3954</v>
      </c>
      <c r="M161" s="833"/>
      <c r="P161" s="1343" t="s">
        <v>3982</v>
      </c>
    </row>
    <row r="162" spans="1:21" s="449" customFormat="1" ht="12.6" customHeight="1">
      <c r="A162" s="846"/>
      <c r="B162" s="846"/>
      <c r="C162" s="833" t="s">
        <v>2668</v>
      </c>
      <c r="D162" s="461"/>
      <c r="E162" s="833"/>
      <c r="F162" s="833"/>
      <c r="H162" s="1343" t="s">
        <v>3982</v>
      </c>
      <c r="I162" s="494" t="s">
        <v>3701</v>
      </c>
      <c r="O162" s="1357"/>
      <c r="P162" s="1358"/>
    </row>
    <row r="163" spans="1:21" s="449" customFormat="1" ht="12.6" customHeight="1">
      <c r="A163" s="846"/>
      <c r="B163" s="846"/>
      <c r="C163" s="833" t="s">
        <v>3956</v>
      </c>
      <c r="E163" s="1334"/>
      <c r="F163" s="1359"/>
      <c r="G163" s="1335"/>
      <c r="H163" s="1343" t="s">
        <v>3982</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v>42004</v>
      </c>
      <c r="I166" s="1340"/>
      <c r="N166" s="833"/>
      <c r="O166" s="833"/>
      <c r="P166" s="460"/>
    </row>
    <row r="167" spans="1:21" s="449" customFormat="1" ht="12.6" customHeight="1">
      <c r="A167" s="846"/>
      <c r="B167" s="846"/>
      <c r="C167" s="455" t="s">
        <v>341</v>
      </c>
      <c r="D167" s="829"/>
      <c r="E167" s="829"/>
      <c r="F167" s="839"/>
      <c r="G167" s="839"/>
      <c r="H167" s="1339">
        <v>42004</v>
      </c>
      <c r="I167" s="1340"/>
      <c r="N167" s="833"/>
      <c r="O167" s="833"/>
      <c r="P167" s="460"/>
    </row>
    <row r="168" spans="1:21" s="449" customFormat="1" ht="12.6" customHeight="1">
      <c r="A168" s="846"/>
      <c r="B168" s="846"/>
      <c r="C168" s="455" t="s">
        <v>3213</v>
      </c>
      <c r="D168" s="829"/>
      <c r="E168" s="829"/>
      <c r="F168" s="839"/>
      <c r="G168" s="839"/>
      <c r="H168" s="1339"/>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2012-016 Monroe Elementary Apartments, Monroe, Walton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3994</v>
      </c>
      <c r="I5" s="1341"/>
      <c r="J5" s="1341"/>
      <c r="K5" s="1341"/>
      <c r="L5" s="1341"/>
      <c r="M5" s="1341"/>
      <c r="N5" s="1342"/>
      <c r="O5" s="826" t="s">
        <v>2869</v>
      </c>
      <c r="P5" s="826"/>
      <c r="Q5" s="1292" t="s">
        <v>3976</v>
      </c>
      <c r="R5" s="1341"/>
      <c r="S5" s="1342"/>
    </row>
    <row r="6" spans="1:19" s="449" customFormat="1" ht="12.6" customHeight="1">
      <c r="D6" s="498"/>
      <c r="E6" s="455" t="s">
        <v>1527</v>
      </c>
      <c r="F6" s="463"/>
      <c r="H6" s="1292" t="s">
        <v>3978</v>
      </c>
      <c r="I6" s="1341"/>
      <c r="J6" s="1341"/>
      <c r="K6" s="1341"/>
      <c r="L6" s="1341"/>
      <c r="M6" s="1341"/>
      <c r="N6" s="1342"/>
      <c r="O6" s="826" t="s">
        <v>2601</v>
      </c>
      <c r="Q6" s="1292" t="s">
        <v>3977</v>
      </c>
      <c r="R6" s="1341"/>
      <c r="S6" s="1342"/>
    </row>
    <row r="7" spans="1:19" s="449" customFormat="1" ht="12.6" customHeight="1">
      <c r="D7" s="498"/>
      <c r="E7" s="455" t="s">
        <v>876</v>
      </c>
      <c r="H7" s="1292" t="s">
        <v>3979</v>
      </c>
      <c r="I7" s="1341"/>
      <c r="J7" s="1342"/>
      <c r="K7" s="1370" t="s">
        <v>1159</v>
      </c>
      <c r="L7" s="1292" t="s">
        <v>4039</v>
      </c>
      <c r="M7" s="1341"/>
      <c r="N7" s="1342"/>
      <c r="O7" s="826" t="s">
        <v>2659</v>
      </c>
      <c r="Q7" s="1300">
        <v>3367148942</v>
      </c>
      <c r="R7" s="1305"/>
      <c r="S7" s="1301"/>
    </row>
    <row r="8" spans="1:19" s="449" customFormat="1" ht="12.6" customHeight="1">
      <c r="D8" s="498"/>
      <c r="E8" s="455" t="s">
        <v>2655</v>
      </c>
      <c r="H8" s="1306" t="s">
        <v>1917</v>
      </c>
      <c r="I8" s="839" t="s">
        <v>1843</v>
      </c>
      <c r="J8" s="1303">
        <v>271014153</v>
      </c>
      <c r="K8" s="1342"/>
      <c r="L8" s="397" t="s">
        <v>1846</v>
      </c>
      <c r="N8" s="1343">
        <v>12</v>
      </c>
      <c r="O8" s="826" t="s">
        <v>2858</v>
      </c>
      <c r="Q8" s="1300">
        <v>9046162643</v>
      </c>
      <c r="R8" s="1305"/>
      <c r="S8" s="1301"/>
    </row>
    <row r="9" spans="1:19" s="449" customFormat="1" ht="12.6" customHeight="1">
      <c r="D9" s="498"/>
      <c r="E9" s="455" t="s">
        <v>2864</v>
      </c>
      <c r="H9" s="1300">
        <v>3367229871</v>
      </c>
      <c r="I9" s="1301"/>
      <c r="J9" s="1371">
        <v>142</v>
      </c>
      <c r="K9" s="839" t="s">
        <v>2658</v>
      </c>
      <c r="L9" s="1329">
        <v>3367223603</v>
      </c>
      <c r="M9" s="1342"/>
      <c r="N9" s="457" t="s">
        <v>2863</v>
      </c>
      <c r="O9" s="1307" t="s">
        <v>3980</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3990</v>
      </c>
      <c r="I16" s="1341"/>
      <c r="J16" s="1341"/>
      <c r="K16" s="1341"/>
      <c r="L16" s="1341"/>
      <c r="M16" s="1341"/>
      <c r="N16" s="1342"/>
      <c r="O16" s="826" t="s">
        <v>2869</v>
      </c>
      <c r="P16" s="826"/>
      <c r="Q16" s="1292" t="s">
        <v>3976</v>
      </c>
      <c r="R16" s="1341"/>
      <c r="S16" s="1342"/>
    </row>
    <row r="17" spans="4:19" s="449" customFormat="1" ht="12.6" customHeight="1">
      <c r="D17" s="498"/>
      <c r="E17" s="455" t="s">
        <v>1527</v>
      </c>
      <c r="F17" s="463"/>
      <c r="H17" s="1292" t="s">
        <v>3978</v>
      </c>
      <c r="I17" s="1341"/>
      <c r="J17" s="1341"/>
      <c r="K17" s="1341"/>
      <c r="L17" s="1341"/>
      <c r="M17" s="1341"/>
      <c r="N17" s="1342"/>
      <c r="O17" s="826" t="s">
        <v>2601</v>
      </c>
      <c r="Q17" s="1292" t="s">
        <v>3977</v>
      </c>
      <c r="R17" s="1341"/>
      <c r="S17" s="1342"/>
    </row>
    <row r="18" spans="4:19" s="449" customFormat="1" ht="12.6" customHeight="1">
      <c r="D18" s="498"/>
      <c r="E18" s="455" t="s">
        <v>876</v>
      </c>
      <c r="H18" s="1292" t="s">
        <v>3979</v>
      </c>
      <c r="I18" s="1341"/>
      <c r="J18" s="1342"/>
      <c r="O18" s="826" t="s">
        <v>2659</v>
      </c>
      <c r="Q18" s="1300">
        <v>3367148942</v>
      </c>
      <c r="R18" s="1305"/>
      <c r="S18" s="1301"/>
    </row>
    <row r="19" spans="4:19" s="449" customFormat="1" ht="12.6" customHeight="1">
      <c r="D19" s="452"/>
      <c r="E19" s="455" t="s">
        <v>2655</v>
      </c>
      <c r="H19" s="1306" t="s">
        <v>1917</v>
      </c>
      <c r="I19" s="839" t="s">
        <v>1843</v>
      </c>
      <c r="J19" s="1303">
        <v>271014153</v>
      </c>
      <c r="K19" s="1342"/>
      <c r="L19" s="397" t="s">
        <v>1846</v>
      </c>
      <c r="N19" s="1343">
        <v>12</v>
      </c>
      <c r="O19" s="826" t="s">
        <v>2858</v>
      </c>
      <c r="Q19" s="1300">
        <v>9046162643</v>
      </c>
      <c r="R19" s="1305"/>
      <c r="S19" s="1301"/>
    </row>
    <row r="20" spans="4:19" s="449" customFormat="1" ht="12.6" customHeight="1">
      <c r="D20" s="498"/>
      <c r="E20" s="455" t="s">
        <v>2864</v>
      </c>
      <c r="H20" s="1300">
        <v>3367229871</v>
      </c>
      <c r="I20" s="1301"/>
      <c r="J20" s="1371">
        <v>142</v>
      </c>
      <c r="K20" s="839" t="s">
        <v>2658</v>
      </c>
      <c r="L20" s="1329">
        <v>3367223603</v>
      </c>
      <c r="M20" s="1342"/>
      <c r="N20" s="457" t="s">
        <v>2863</v>
      </c>
      <c r="O20" s="1307" t="s">
        <v>3980</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6" t="s">
        <v>2869</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3138</v>
      </c>
      <c r="J25" s="1303"/>
      <c r="K25" s="1342"/>
      <c r="O25" s="826" t="s">
        <v>2858</v>
      </c>
      <c r="Q25" s="1300"/>
      <c r="R25" s="1305"/>
      <c r="S25" s="1301"/>
    </row>
    <row r="26" spans="4:19" s="449" customFormat="1" ht="12.6" customHeight="1">
      <c r="D26" s="498"/>
      <c r="E26" s="455" t="s">
        <v>2864</v>
      </c>
      <c r="H26" s="1300"/>
      <c r="I26" s="1301"/>
      <c r="J26" s="1371"/>
      <c r="K26" s="839" t="s">
        <v>2658</v>
      </c>
      <c r="L26" s="1329"/>
      <c r="M26" s="1342"/>
      <c r="N26" s="457" t="s">
        <v>2863</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3138</v>
      </c>
      <c r="J31" s="1303"/>
      <c r="K31" s="1342"/>
      <c r="O31" s="826" t="s">
        <v>2858</v>
      </c>
      <c r="Q31" s="1300"/>
      <c r="R31" s="1305"/>
      <c r="S31" s="1301"/>
    </row>
    <row r="32" spans="4:19" s="449" customFormat="1" ht="12.6" customHeight="1">
      <c r="D32" s="498"/>
      <c r="E32" s="455" t="s">
        <v>2864</v>
      </c>
      <c r="H32" s="1300"/>
      <c r="I32" s="1301"/>
      <c r="J32" s="1371"/>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4029</v>
      </c>
      <c r="I36" s="1341"/>
      <c r="J36" s="1341"/>
      <c r="K36" s="1341"/>
      <c r="L36" s="1341"/>
      <c r="M36" s="1341"/>
      <c r="N36" s="1342"/>
      <c r="O36" s="826" t="s">
        <v>2869</v>
      </c>
      <c r="P36" s="826"/>
      <c r="Q36" s="1292" t="s">
        <v>3995</v>
      </c>
      <c r="R36" s="1341"/>
      <c r="S36" s="1342"/>
    </row>
    <row r="37" spans="3:19" s="449" customFormat="1" ht="12.6" customHeight="1">
      <c r="D37" s="498"/>
      <c r="E37" s="455" t="s">
        <v>1527</v>
      </c>
      <c r="F37" s="463"/>
      <c r="H37" s="1292" t="s">
        <v>3996</v>
      </c>
      <c r="I37" s="1341"/>
      <c r="J37" s="1341"/>
      <c r="K37" s="1341"/>
      <c r="L37" s="1341"/>
      <c r="M37" s="1341"/>
      <c r="N37" s="1342"/>
      <c r="O37" s="826" t="s">
        <v>2601</v>
      </c>
      <c r="Q37" s="1292" t="s">
        <v>3997</v>
      </c>
      <c r="R37" s="1341"/>
      <c r="S37" s="1342"/>
    </row>
    <row r="38" spans="3:19" s="449" customFormat="1" ht="12.6" customHeight="1">
      <c r="D38" s="498"/>
      <c r="E38" s="455" t="s">
        <v>876</v>
      </c>
      <c r="H38" s="1292" t="s">
        <v>3998</v>
      </c>
      <c r="I38" s="1341"/>
      <c r="J38" s="1342"/>
      <c r="O38" s="826" t="s">
        <v>2659</v>
      </c>
      <c r="Q38" s="1300">
        <v>9197881819</v>
      </c>
      <c r="R38" s="1305"/>
      <c r="S38" s="1301"/>
    </row>
    <row r="39" spans="3:19" s="449" customFormat="1" ht="12.6" customHeight="1">
      <c r="E39" s="455" t="s">
        <v>2655</v>
      </c>
      <c r="H39" s="1306" t="s">
        <v>1917</v>
      </c>
      <c r="I39" s="483" t="s">
        <v>3138</v>
      </c>
      <c r="J39" s="1303">
        <v>276155278</v>
      </c>
      <c r="K39" s="1342"/>
      <c r="O39" s="826" t="s">
        <v>2858</v>
      </c>
      <c r="Q39" s="1300"/>
      <c r="R39" s="1305"/>
      <c r="S39" s="1301"/>
    </row>
    <row r="40" spans="3:19" s="449" customFormat="1" ht="12.6" customHeight="1">
      <c r="D40" s="498"/>
      <c r="E40" s="455" t="s">
        <v>2864</v>
      </c>
      <c r="H40" s="1300">
        <v>9194200063</v>
      </c>
      <c r="I40" s="1301"/>
      <c r="J40" s="1371">
        <v>267</v>
      </c>
      <c r="K40" s="839" t="s">
        <v>2658</v>
      </c>
      <c r="L40" s="1329">
        <v>9195321819</v>
      </c>
      <c r="M40" s="1342"/>
      <c r="N40" s="457" t="s">
        <v>2863</v>
      </c>
      <c r="O40" s="1307" t="s">
        <v>3999</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4029</v>
      </c>
      <c r="I42" s="1341"/>
      <c r="J42" s="1341"/>
      <c r="K42" s="1341"/>
      <c r="L42" s="1341"/>
      <c r="M42" s="1341"/>
      <c r="N42" s="1342"/>
      <c r="O42" s="826" t="s">
        <v>2869</v>
      </c>
      <c r="P42" s="826"/>
      <c r="Q42" s="1292" t="s">
        <v>3995</v>
      </c>
      <c r="R42" s="1341"/>
      <c r="S42" s="1342"/>
    </row>
    <row r="43" spans="3:19" s="449" customFormat="1" ht="12.6" customHeight="1">
      <c r="D43" s="498"/>
      <c r="E43" s="455" t="s">
        <v>1527</v>
      </c>
      <c r="F43" s="463"/>
      <c r="H43" s="1292" t="s">
        <v>3996</v>
      </c>
      <c r="I43" s="1341"/>
      <c r="J43" s="1341"/>
      <c r="K43" s="1341"/>
      <c r="L43" s="1341"/>
      <c r="M43" s="1341"/>
      <c r="N43" s="1342"/>
      <c r="O43" s="826" t="s">
        <v>2601</v>
      </c>
      <c r="Q43" s="1292" t="s">
        <v>3997</v>
      </c>
      <c r="R43" s="1341"/>
      <c r="S43" s="1342"/>
    </row>
    <row r="44" spans="3:19" s="449" customFormat="1" ht="12.6" customHeight="1">
      <c r="D44" s="498"/>
      <c r="E44" s="455" t="s">
        <v>876</v>
      </c>
      <c r="H44" s="1292" t="s">
        <v>3998</v>
      </c>
      <c r="I44" s="1341"/>
      <c r="J44" s="1342"/>
      <c r="O44" s="826" t="s">
        <v>2659</v>
      </c>
      <c r="Q44" s="1300">
        <v>9197881819</v>
      </c>
      <c r="R44" s="1305"/>
      <c r="S44" s="1301"/>
    </row>
    <row r="45" spans="3:19" s="449" customFormat="1" ht="12.6" customHeight="1">
      <c r="D45" s="452"/>
      <c r="E45" s="455" t="s">
        <v>2655</v>
      </c>
      <c r="H45" s="1306" t="s">
        <v>1917</v>
      </c>
      <c r="I45" s="483" t="s">
        <v>3138</v>
      </c>
      <c r="J45" s="1303">
        <v>276155278</v>
      </c>
      <c r="K45" s="1342"/>
      <c r="O45" s="826" t="s">
        <v>2858</v>
      </c>
      <c r="Q45" s="1300"/>
      <c r="R45" s="1305"/>
      <c r="S45" s="1301"/>
    </row>
    <row r="46" spans="3:19" s="449" customFormat="1" ht="12.6" customHeight="1">
      <c r="D46" s="498"/>
      <c r="E46" s="455" t="s">
        <v>2864</v>
      </c>
      <c r="H46" s="1300">
        <v>9194200063</v>
      </c>
      <c r="I46" s="1301"/>
      <c r="J46" s="1371">
        <v>267</v>
      </c>
      <c r="K46" s="839" t="s">
        <v>2658</v>
      </c>
      <c r="L46" s="1329">
        <v>9195321819</v>
      </c>
      <c r="M46" s="1342"/>
      <c r="N46" s="457" t="s">
        <v>2863</v>
      </c>
      <c r="O46" s="1307" t="s">
        <v>3999</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c r="I50" s="1341"/>
      <c r="J50" s="1341"/>
      <c r="K50" s="1341"/>
      <c r="L50" s="1341"/>
      <c r="M50" s="1341"/>
      <c r="N50" s="1342"/>
      <c r="O50" s="826" t="s">
        <v>2869</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2659</v>
      </c>
      <c r="Q52" s="1300"/>
      <c r="R52" s="1305"/>
      <c r="S52" s="1301"/>
    </row>
    <row r="53" spans="1:19" s="449" customFormat="1" ht="12.6" customHeight="1">
      <c r="E53" s="455" t="s">
        <v>2655</v>
      </c>
      <c r="H53" s="1306"/>
      <c r="I53" s="483" t="s">
        <v>3138</v>
      </c>
      <c r="J53" s="1303"/>
      <c r="K53" s="1342"/>
      <c r="O53" s="826" t="s">
        <v>2858</v>
      </c>
      <c r="Q53" s="1300"/>
      <c r="R53" s="1305"/>
      <c r="S53" s="1301"/>
    </row>
    <row r="54" spans="1:19" s="449" customFormat="1" ht="12.6" customHeight="1">
      <c r="D54" s="498"/>
      <c r="E54" s="455" t="s">
        <v>2864</v>
      </c>
      <c r="H54" s="1300"/>
      <c r="I54" s="1301"/>
      <c r="J54" s="1371"/>
      <c r="K54" s="839"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3992</v>
      </c>
      <c r="I58" s="1341"/>
      <c r="J58" s="1341"/>
      <c r="K58" s="1341"/>
      <c r="L58" s="1341"/>
      <c r="M58" s="1341"/>
      <c r="N58" s="1342"/>
      <c r="O58" s="826" t="s">
        <v>2869</v>
      </c>
      <c r="P58" s="826"/>
      <c r="Q58" s="1292" t="s">
        <v>4000</v>
      </c>
      <c r="R58" s="1341"/>
      <c r="S58" s="1342"/>
    </row>
    <row r="59" spans="1:19" s="449" customFormat="1" ht="13.15" customHeight="1">
      <c r="D59" s="498"/>
      <c r="E59" s="455" t="s">
        <v>1527</v>
      </c>
      <c r="F59" s="463"/>
      <c r="H59" s="1292" t="s">
        <v>3978</v>
      </c>
      <c r="I59" s="1341"/>
      <c r="J59" s="1341"/>
      <c r="K59" s="1341"/>
      <c r="L59" s="1341"/>
      <c r="M59" s="1341"/>
      <c r="N59" s="1342"/>
      <c r="O59" s="826" t="s">
        <v>2601</v>
      </c>
      <c r="Q59" s="1292" t="s">
        <v>4001</v>
      </c>
      <c r="R59" s="1341"/>
      <c r="S59" s="1342"/>
    </row>
    <row r="60" spans="1:19" s="449" customFormat="1" ht="13.15" customHeight="1">
      <c r="D60" s="498"/>
      <c r="E60" s="455" t="s">
        <v>876</v>
      </c>
      <c r="H60" s="1292" t="s">
        <v>3979</v>
      </c>
      <c r="I60" s="1341"/>
      <c r="J60" s="1342"/>
      <c r="O60" s="826" t="s">
        <v>2659</v>
      </c>
      <c r="Q60" s="1300">
        <v>3367148910</v>
      </c>
      <c r="R60" s="1305"/>
      <c r="S60" s="1301"/>
    </row>
    <row r="61" spans="1:19" s="449" customFormat="1" ht="13.15" customHeight="1">
      <c r="E61" s="455" t="s">
        <v>2655</v>
      </c>
      <c r="H61" s="1306" t="s">
        <v>1917</v>
      </c>
      <c r="I61" s="483" t="s">
        <v>3138</v>
      </c>
      <c r="J61" s="1303">
        <v>271014153</v>
      </c>
      <c r="K61" s="1342"/>
      <c r="O61" s="826" t="s">
        <v>2858</v>
      </c>
      <c r="Q61" s="1300"/>
      <c r="R61" s="1305"/>
      <c r="S61" s="1301"/>
    </row>
    <row r="62" spans="1:19" s="449" customFormat="1" ht="13.15" customHeight="1">
      <c r="D62" s="498"/>
      <c r="E62" s="455" t="s">
        <v>2864</v>
      </c>
      <c r="H62" s="1300">
        <v>3367229871</v>
      </c>
      <c r="I62" s="1301"/>
      <c r="J62" s="1371">
        <v>101</v>
      </c>
      <c r="K62" s="839" t="s">
        <v>2658</v>
      </c>
      <c r="L62" s="1329">
        <v>3367223603</v>
      </c>
      <c r="M62" s="1342"/>
      <c r="N62" s="457" t="s">
        <v>2863</v>
      </c>
      <c r="O62" s="1307" t="s">
        <v>3980</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c r="I64" s="1341"/>
      <c r="J64" s="1341"/>
      <c r="K64" s="1341"/>
      <c r="L64" s="1341"/>
      <c r="M64" s="1341"/>
      <c r="N64" s="1342"/>
      <c r="O64" s="826" t="s">
        <v>2869</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2659</v>
      </c>
      <c r="Q66" s="1300"/>
      <c r="R66" s="1305"/>
      <c r="S66" s="1301"/>
    </row>
    <row r="67" spans="2:19" s="449" customFormat="1" ht="13.15" customHeight="1">
      <c r="E67" s="455" t="s">
        <v>2655</v>
      </c>
      <c r="H67" s="1306"/>
      <c r="I67" s="483" t="s">
        <v>3138</v>
      </c>
      <c r="J67" s="1303"/>
      <c r="K67" s="1342"/>
      <c r="O67" s="826" t="s">
        <v>2858</v>
      </c>
      <c r="Q67" s="1300"/>
      <c r="R67" s="1305"/>
      <c r="S67" s="1301"/>
    </row>
    <row r="68" spans="2:19" s="449" customFormat="1" ht="13.15" customHeight="1">
      <c r="D68" s="498"/>
      <c r="E68" s="455" t="s">
        <v>2864</v>
      </c>
      <c r="H68" s="1300"/>
      <c r="I68" s="1301"/>
      <c r="J68" s="1371"/>
      <c r="K68" s="839" t="s">
        <v>2658</v>
      </c>
      <c r="L68" s="1329"/>
      <c r="M68" s="1342"/>
      <c r="N68" s="457" t="s">
        <v>2863</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3138</v>
      </c>
      <c r="J73" s="1303"/>
      <c r="K73" s="1342"/>
      <c r="O73" s="826" t="s">
        <v>2858</v>
      </c>
      <c r="Q73" s="1300"/>
      <c r="R73" s="1305"/>
      <c r="S73" s="1301"/>
    </row>
    <row r="74" spans="2:19" s="449" customFormat="1" ht="13.15" customHeight="1">
      <c r="D74" s="498"/>
      <c r="E74" s="455" t="s">
        <v>2864</v>
      </c>
      <c r="H74" s="1300"/>
      <c r="I74" s="1301"/>
      <c r="J74" s="1371"/>
      <c r="K74" s="839" t="s">
        <v>2658</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3138</v>
      </c>
      <c r="J79" s="1303"/>
      <c r="K79" s="1342"/>
      <c r="O79" s="826" t="s">
        <v>2858</v>
      </c>
      <c r="Q79" s="1300"/>
      <c r="R79" s="1305"/>
      <c r="S79" s="1301"/>
    </row>
    <row r="80" spans="2:19" s="449" customFormat="1" ht="13.15" customHeight="1">
      <c r="D80" s="498"/>
      <c r="E80" s="455" t="s">
        <v>2864</v>
      </c>
      <c r="H80" s="1300"/>
      <c r="I80" s="1301"/>
      <c r="J80" s="1371"/>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3138</v>
      </c>
      <c r="J87" s="1303"/>
      <c r="K87" s="1342"/>
      <c r="O87" s="826" t="s">
        <v>2858</v>
      </c>
      <c r="Q87" s="1300"/>
      <c r="R87" s="1305"/>
      <c r="S87" s="1301"/>
    </row>
    <row r="88" spans="1:19" s="449" customFormat="1" ht="13.15" customHeight="1">
      <c r="D88" s="498"/>
      <c r="E88" s="455" t="s">
        <v>2864</v>
      </c>
      <c r="H88" s="1300"/>
      <c r="I88" s="1301"/>
      <c r="J88" s="1371"/>
      <c r="K88" s="839" t="s">
        <v>2658</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4002</v>
      </c>
      <c r="I90" s="1341"/>
      <c r="J90" s="1341"/>
      <c r="K90" s="1341"/>
      <c r="L90" s="1341"/>
      <c r="M90" s="1341"/>
      <c r="N90" s="1342"/>
      <c r="O90" s="826" t="s">
        <v>2869</v>
      </c>
      <c r="P90" s="826"/>
      <c r="Q90" s="1292" t="s">
        <v>4003</v>
      </c>
      <c r="R90" s="1341"/>
      <c r="S90" s="1342"/>
    </row>
    <row r="91" spans="1:19" s="449" customFormat="1" ht="13.15" customHeight="1">
      <c r="D91" s="498"/>
      <c r="E91" s="455" t="s">
        <v>1527</v>
      </c>
      <c r="F91" s="463"/>
      <c r="H91" s="1292" t="s">
        <v>4004</v>
      </c>
      <c r="I91" s="1341"/>
      <c r="J91" s="1341"/>
      <c r="K91" s="1341"/>
      <c r="L91" s="1341"/>
      <c r="M91" s="1341"/>
      <c r="N91" s="1342"/>
      <c r="O91" s="826" t="s">
        <v>2601</v>
      </c>
      <c r="Q91" s="1292" t="s">
        <v>3977</v>
      </c>
      <c r="R91" s="1341"/>
      <c r="S91" s="1342"/>
    </row>
    <row r="92" spans="1:19" s="449" customFormat="1" ht="13.15" customHeight="1">
      <c r="D92" s="498"/>
      <c r="E92" s="455" t="s">
        <v>876</v>
      </c>
      <c r="H92" s="1292" t="s">
        <v>3979</v>
      </c>
      <c r="I92" s="1341"/>
      <c r="J92" s="1342"/>
      <c r="O92" s="826" t="s">
        <v>2659</v>
      </c>
      <c r="Q92" s="1300">
        <v>3367148930</v>
      </c>
      <c r="R92" s="1305"/>
      <c r="S92" s="1301"/>
    </row>
    <row r="93" spans="1:19" s="449" customFormat="1" ht="13.15" customHeight="1">
      <c r="E93" s="455" t="s">
        <v>2655</v>
      </c>
      <c r="H93" s="1306" t="s">
        <v>1917</v>
      </c>
      <c r="I93" s="483" t="s">
        <v>3138</v>
      </c>
      <c r="J93" s="1303">
        <v>271014171</v>
      </c>
      <c r="K93" s="1342"/>
      <c r="O93" s="826" t="s">
        <v>2858</v>
      </c>
      <c r="Q93" s="1300">
        <v>3366815171</v>
      </c>
      <c r="R93" s="1305"/>
      <c r="S93" s="1301"/>
    </row>
    <row r="94" spans="1:19" s="449" customFormat="1" ht="13.15" customHeight="1">
      <c r="D94" s="498"/>
      <c r="E94" s="455" t="s">
        <v>2864</v>
      </c>
      <c r="H94" s="1300">
        <v>3367226132</v>
      </c>
      <c r="I94" s="1301"/>
      <c r="J94" s="1371">
        <v>107</v>
      </c>
      <c r="K94" s="839" t="s">
        <v>2658</v>
      </c>
      <c r="L94" s="1329">
        <v>3367229872</v>
      </c>
      <c r="M94" s="1342"/>
      <c r="N94" s="457" t="s">
        <v>2863</v>
      </c>
      <c r="O94" s="1307" t="s">
        <v>4005</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4006</v>
      </c>
      <c r="I96" s="1341"/>
      <c r="J96" s="1341"/>
      <c r="K96" s="1341"/>
      <c r="L96" s="1341"/>
      <c r="M96" s="1341"/>
      <c r="N96" s="1342"/>
      <c r="O96" s="826" t="s">
        <v>2869</v>
      </c>
      <c r="P96" s="826"/>
      <c r="Q96" s="1292" t="s">
        <v>4007</v>
      </c>
      <c r="R96" s="1341"/>
      <c r="S96" s="1342"/>
    </row>
    <row r="97" spans="2:19" s="449" customFormat="1" ht="13.15" customHeight="1">
      <c r="D97" s="498"/>
      <c r="E97" s="455" t="s">
        <v>1527</v>
      </c>
      <c r="F97" s="463"/>
      <c r="H97" s="1292" t="s">
        <v>3978</v>
      </c>
      <c r="I97" s="1341"/>
      <c r="J97" s="1341"/>
      <c r="K97" s="1341"/>
      <c r="L97" s="1341"/>
      <c r="M97" s="1341"/>
      <c r="N97" s="1342"/>
      <c r="O97" s="826" t="s">
        <v>2601</v>
      </c>
      <c r="Q97" s="1292" t="s">
        <v>4008</v>
      </c>
      <c r="R97" s="1341"/>
      <c r="S97" s="1342"/>
    </row>
    <row r="98" spans="2:19" s="449" customFormat="1" ht="13.15" customHeight="1">
      <c r="D98" s="498"/>
      <c r="E98" s="455" t="s">
        <v>876</v>
      </c>
      <c r="H98" s="1292" t="s">
        <v>3979</v>
      </c>
      <c r="I98" s="1341"/>
      <c r="J98" s="1342"/>
      <c r="O98" s="826" t="s">
        <v>2659</v>
      </c>
      <c r="Q98" s="1300">
        <v>3367148939</v>
      </c>
      <c r="R98" s="1305"/>
      <c r="S98" s="1301"/>
    </row>
    <row r="99" spans="2:19" s="449" customFormat="1" ht="13.15" customHeight="1">
      <c r="D99" s="498"/>
      <c r="E99" s="455" t="s">
        <v>2655</v>
      </c>
      <c r="H99" s="1306" t="s">
        <v>1917</v>
      </c>
      <c r="I99" s="483" t="s">
        <v>3138</v>
      </c>
      <c r="J99" s="1303">
        <v>271014153</v>
      </c>
      <c r="K99" s="1342"/>
      <c r="O99" s="826" t="s">
        <v>2858</v>
      </c>
      <c r="Q99" s="1300"/>
      <c r="R99" s="1305"/>
      <c r="S99" s="1301"/>
    </row>
    <row r="100" spans="2:19" s="449" customFormat="1" ht="13.15" customHeight="1">
      <c r="D100" s="498"/>
      <c r="E100" s="455" t="s">
        <v>2864</v>
      </c>
      <c r="H100" s="1300">
        <v>3367229871</v>
      </c>
      <c r="I100" s="1301"/>
      <c r="J100" s="1371">
        <v>127</v>
      </c>
      <c r="K100" s="839" t="s">
        <v>2658</v>
      </c>
      <c r="L100" s="1329">
        <v>3367223603</v>
      </c>
      <c r="M100" s="1342"/>
      <c r="N100" s="457" t="s">
        <v>2863</v>
      </c>
      <c r="O100" s="1307" t="s">
        <v>4009</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4010</v>
      </c>
      <c r="I102" s="1341"/>
      <c r="J102" s="1341"/>
      <c r="K102" s="1341"/>
      <c r="L102" s="1341"/>
      <c r="M102" s="1341"/>
      <c r="N102" s="1342"/>
      <c r="O102" s="826" t="s">
        <v>2869</v>
      </c>
      <c r="P102" s="826"/>
      <c r="Q102" s="1292" t="s">
        <v>4011</v>
      </c>
      <c r="R102" s="1341"/>
      <c r="S102" s="1342"/>
    </row>
    <row r="103" spans="2:19" s="449" customFormat="1" ht="13.15" customHeight="1">
      <c r="D103" s="498"/>
      <c r="E103" s="455" t="s">
        <v>1527</v>
      </c>
      <c r="F103" s="463"/>
      <c r="H103" s="1292" t="s">
        <v>4012</v>
      </c>
      <c r="I103" s="1341"/>
      <c r="J103" s="1341"/>
      <c r="K103" s="1341"/>
      <c r="L103" s="1341"/>
      <c r="M103" s="1341"/>
      <c r="N103" s="1342"/>
      <c r="O103" s="826" t="s">
        <v>2601</v>
      </c>
      <c r="Q103" s="1292" t="s">
        <v>4013</v>
      </c>
      <c r="R103" s="1341"/>
      <c r="S103" s="1342"/>
    </row>
    <row r="104" spans="2:19" s="449" customFormat="1" ht="13.15" customHeight="1">
      <c r="D104" s="498"/>
      <c r="E104" s="455" t="s">
        <v>876</v>
      </c>
      <c r="H104" s="1292" t="s">
        <v>3979</v>
      </c>
      <c r="I104" s="1341"/>
      <c r="J104" s="1342"/>
      <c r="O104" s="826" t="s">
        <v>2659</v>
      </c>
      <c r="Q104" s="1300">
        <v>3362939045</v>
      </c>
      <c r="R104" s="1305"/>
      <c r="S104" s="1301"/>
    </row>
    <row r="105" spans="2:19" s="449" customFormat="1" ht="13.15" customHeight="1">
      <c r="D105" s="498"/>
      <c r="E105" s="455" t="s">
        <v>2655</v>
      </c>
      <c r="H105" s="1306" t="s">
        <v>1917</v>
      </c>
      <c r="I105" s="483" t="s">
        <v>3138</v>
      </c>
      <c r="J105" s="1303">
        <v>271044229</v>
      </c>
      <c r="K105" s="1342"/>
      <c r="O105" s="826" t="s">
        <v>2858</v>
      </c>
      <c r="Q105" s="1300"/>
      <c r="R105" s="1305"/>
      <c r="S105" s="1301"/>
    </row>
    <row r="106" spans="2:19" ht="13.15" customHeight="1">
      <c r="E106" s="455" t="s">
        <v>2864</v>
      </c>
      <c r="F106" s="449"/>
      <c r="G106" s="449"/>
      <c r="H106" s="1300">
        <v>3362939000</v>
      </c>
      <c r="I106" s="1301"/>
      <c r="J106" s="1371">
        <v>3045</v>
      </c>
      <c r="K106" s="839" t="s">
        <v>2658</v>
      </c>
      <c r="L106" s="1329">
        <v>3362939030</v>
      </c>
      <c r="M106" s="1342"/>
      <c r="N106" s="457" t="s">
        <v>2863</v>
      </c>
      <c r="O106" s="1307" t="s">
        <v>4014</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4015</v>
      </c>
      <c r="I109" s="1341"/>
      <c r="J109" s="1341"/>
      <c r="K109" s="1341"/>
      <c r="L109" s="1341"/>
      <c r="M109" s="1341"/>
      <c r="N109" s="1342"/>
      <c r="O109" s="826" t="s">
        <v>2869</v>
      </c>
      <c r="P109" s="826"/>
      <c r="Q109" s="1292" t="s">
        <v>4016</v>
      </c>
      <c r="R109" s="1341"/>
      <c r="S109" s="1342"/>
    </row>
    <row r="110" spans="2:19" s="449" customFormat="1" ht="13.15" customHeight="1">
      <c r="D110" s="498"/>
      <c r="E110" s="455" t="s">
        <v>1527</v>
      </c>
      <c r="F110" s="463"/>
      <c r="H110" s="1292" t="s">
        <v>4017</v>
      </c>
      <c r="I110" s="1341"/>
      <c r="J110" s="1341"/>
      <c r="K110" s="1341"/>
      <c r="L110" s="1341"/>
      <c r="M110" s="1341"/>
      <c r="N110" s="1342"/>
      <c r="O110" s="826" t="s">
        <v>2601</v>
      </c>
      <c r="Q110" s="1292" t="s">
        <v>2721</v>
      </c>
      <c r="R110" s="1341"/>
      <c r="S110" s="1342"/>
    </row>
    <row r="111" spans="2:19" s="449" customFormat="1" ht="13.15" customHeight="1">
      <c r="D111" s="498"/>
      <c r="E111" s="455" t="s">
        <v>876</v>
      </c>
      <c r="H111" s="1292" t="s">
        <v>1485</v>
      </c>
      <c r="I111" s="1341"/>
      <c r="J111" s="1342"/>
      <c r="O111" s="826" t="s">
        <v>2659</v>
      </c>
      <c r="Q111" s="1300">
        <v>3362725618</v>
      </c>
      <c r="R111" s="1305"/>
      <c r="S111" s="1301"/>
    </row>
    <row r="112" spans="2:19" s="449" customFormat="1" ht="13.15" customHeight="1">
      <c r="D112" s="498"/>
      <c r="E112" s="455" t="s">
        <v>2655</v>
      </c>
      <c r="H112" s="1306" t="s">
        <v>1917</v>
      </c>
      <c r="I112" s="483" t="s">
        <v>3138</v>
      </c>
      <c r="J112" s="1303">
        <v>274057099</v>
      </c>
      <c r="K112" s="1342"/>
      <c r="O112" s="826" t="s">
        <v>2858</v>
      </c>
      <c r="Q112" s="1300">
        <v>3363171025</v>
      </c>
      <c r="R112" s="1305"/>
      <c r="S112" s="1301"/>
    </row>
    <row r="113" spans="1:19" ht="13.15" customHeight="1">
      <c r="E113" s="455" t="s">
        <v>2864</v>
      </c>
      <c r="F113" s="449"/>
      <c r="G113" s="449"/>
      <c r="H113" s="1300">
        <v>3362725618</v>
      </c>
      <c r="I113" s="1301"/>
      <c r="J113" s="1371"/>
      <c r="K113" s="839" t="s">
        <v>2658</v>
      </c>
      <c r="L113" s="1329">
        <v>3362727655</v>
      </c>
      <c r="M113" s="1342"/>
      <c r="N113" s="457" t="s">
        <v>2863</v>
      </c>
      <c r="O113" s="1307" t="s">
        <v>4018</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4019</v>
      </c>
      <c r="I115" s="1341"/>
      <c r="J115" s="1341"/>
      <c r="K115" s="1341"/>
      <c r="L115" s="1341"/>
      <c r="M115" s="1341"/>
      <c r="N115" s="1342"/>
      <c r="O115" s="826" t="s">
        <v>2869</v>
      </c>
      <c r="P115" s="826"/>
      <c r="Q115" s="1292" t="s">
        <v>4020</v>
      </c>
      <c r="R115" s="1341"/>
      <c r="S115" s="1342"/>
    </row>
    <row r="116" spans="1:19" s="449" customFormat="1" ht="13.15" customHeight="1">
      <c r="D116" s="498"/>
      <c r="E116" s="455" t="s">
        <v>1527</v>
      </c>
      <c r="F116" s="463"/>
      <c r="H116" s="1292" t="s">
        <v>4021</v>
      </c>
      <c r="I116" s="1341"/>
      <c r="J116" s="1341"/>
      <c r="K116" s="1341"/>
      <c r="L116" s="1341"/>
      <c r="M116" s="1341"/>
      <c r="N116" s="1342"/>
      <c r="O116" s="826" t="s">
        <v>2601</v>
      </c>
      <c r="Q116" s="1292" t="s">
        <v>4022</v>
      </c>
      <c r="R116" s="1341"/>
      <c r="S116" s="1342"/>
    </row>
    <row r="117" spans="1:19" s="449" customFormat="1" ht="13.15" customHeight="1">
      <c r="D117" s="498"/>
      <c r="E117" s="455" t="s">
        <v>876</v>
      </c>
      <c r="H117" s="1292" t="s">
        <v>1743</v>
      </c>
      <c r="I117" s="1341"/>
      <c r="J117" s="1342"/>
      <c r="O117" s="826" t="s">
        <v>2659</v>
      </c>
      <c r="Q117" s="1300">
        <v>4042334466</v>
      </c>
      <c r="R117" s="1305"/>
      <c r="S117" s="1301"/>
    </row>
    <row r="118" spans="1:19" s="449" customFormat="1" ht="13.15" customHeight="1">
      <c r="D118" s="503"/>
      <c r="E118" s="455" t="s">
        <v>2655</v>
      </c>
      <c r="H118" s="1306" t="s">
        <v>1337</v>
      </c>
      <c r="I118" s="483" t="s">
        <v>3138</v>
      </c>
      <c r="J118" s="1303">
        <v>303052766</v>
      </c>
      <c r="K118" s="1342"/>
      <c r="O118" s="826" t="s">
        <v>2858</v>
      </c>
      <c r="Q118" s="1300"/>
      <c r="R118" s="1305"/>
      <c r="S118" s="1301"/>
    </row>
    <row r="119" spans="1:19" s="449" customFormat="1" ht="13.15" customHeight="1">
      <c r="D119" s="503"/>
      <c r="E119" s="455" t="s">
        <v>2864</v>
      </c>
      <c r="H119" s="1300">
        <v>4042334466</v>
      </c>
      <c r="I119" s="1301"/>
      <c r="J119" s="1371"/>
      <c r="K119" s="839" t="s">
        <v>2658</v>
      </c>
      <c r="L119" s="1329">
        <v>4042337396</v>
      </c>
      <c r="M119" s="1342"/>
      <c r="N119" s="457" t="s">
        <v>2863</v>
      </c>
      <c r="O119" s="1307" t="s">
        <v>4023</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5" t="s">
        <v>3982</v>
      </c>
      <c r="F128" s="1385" t="s">
        <v>3982</v>
      </c>
      <c r="G128" s="1386" t="s">
        <v>3982</v>
      </c>
      <c r="H128" s="1387"/>
      <c r="I128" s="1388"/>
      <c r="J128" s="1386" t="s">
        <v>3984</v>
      </c>
      <c r="K128" s="1388"/>
      <c r="L128" s="1386" t="s">
        <v>3982</v>
      </c>
      <c r="M128" s="1388"/>
      <c r="N128" s="1386" t="s">
        <v>3982</v>
      </c>
      <c r="O128" s="1388"/>
      <c r="P128" s="1389" t="s">
        <v>4024</v>
      </c>
      <c r="Q128" s="1390"/>
      <c r="R128" s="1391">
        <v>1E-4</v>
      </c>
      <c r="S128" s="1392"/>
    </row>
    <row r="129" spans="1:19" s="449" customFormat="1" ht="13.9" customHeight="1">
      <c r="A129" s="832" t="s">
        <v>3290</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7"/>
      <c r="E131" s="1393" t="s">
        <v>3982</v>
      </c>
      <c r="F131" s="1393" t="s">
        <v>3982</v>
      </c>
      <c r="G131" s="1394" t="s">
        <v>3982</v>
      </c>
      <c r="H131" s="1395"/>
      <c r="I131" s="1396"/>
      <c r="J131" s="1394" t="s">
        <v>3982</v>
      </c>
      <c r="K131" s="1396"/>
      <c r="L131" s="1394" t="s">
        <v>3982</v>
      </c>
      <c r="M131" s="1396"/>
      <c r="N131" s="1394" t="s">
        <v>3982</v>
      </c>
      <c r="O131" s="1396"/>
      <c r="P131" s="1397" t="s">
        <v>3639</v>
      </c>
      <c r="Q131" s="1398"/>
      <c r="R131" s="1399">
        <v>0.99990000000000001</v>
      </c>
      <c r="S131" s="1400"/>
    </row>
    <row r="132" spans="1:19" s="449" customFormat="1" ht="13.9" customHeight="1">
      <c r="A132" s="832" t="s">
        <v>3293</v>
      </c>
      <c r="B132" s="833"/>
      <c r="C132" s="833"/>
      <c r="D132" s="837"/>
      <c r="E132" s="1393" t="s">
        <v>3982</v>
      </c>
      <c r="F132" s="1393" t="s">
        <v>3982</v>
      </c>
      <c r="G132" s="1394" t="s">
        <v>3982</v>
      </c>
      <c r="H132" s="1395"/>
      <c r="I132" s="1396"/>
      <c r="J132" s="1394" t="s">
        <v>3982</v>
      </c>
      <c r="K132" s="1396"/>
      <c r="L132" s="1394" t="s">
        <v>3982</v>
      </c>
      <c r="M132" s="1396"/>
      <c r="N132" s="1394" t="s">
        <v>3982</v>
      </c>
      <c r="O132" s="1396"/>
      <c r="P132" s="1397" t="s">
        <v>3639</v>
      </c>
      <c r="Q132" s="1398"/>
      <c r="R132" s="1399"/>
      <c r="S132" s="1400"/>
    </row>
    <row r="133" spans="1:19" s="449" customFormat="1" ht="13.9" customHeight="1">
      <c r="A133" s="832" t="s">
        <v>3294</v>
      </c>
      <c r="B133" s="833"/>
      <c r="C133" s="833"/>
      <c r="D133" s="837"/>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7"/>
      <c r="E134" s="1393" t="s">
        <v>3982</v>
      </c>
      <c r="F134" s="1393" t="s">
        <v>3982</v>
      </c>
      <c r="G134" s="1394" t="s">
        <v>3982</v>
      </c>
      <c r="H134" s="1395"/>
      <c r="I134" s="1396"/>
      <c r="J134" s="1394" t="s">
        <v>3984</v>
      </c>
      <c r="K134" s="1396"/>
      <c r="L134" s="1394" t="s">
        <v>3982</v>
      </c>
      <c r="M134" s="1396"/>
      <c r="N134" s="1394" t="s">
        <v>3982</v>
      </c>
      <c r="O134" s="1396"/>
      <c r="P134" s="1397" t="s">
        <v>4024</v>
      </c>
      <c r="Q134" s="1398"/>
      <c r="R134" s="1399"/>
      <c r="S134" s="1400"/>
    </row>
    <row r="135" spans="1:19" s="449" customFormat="1" ht="13.9" customHeight="1">
      <c r="A135" s="832" t="s">
        <v>3295</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3982</v>
      </c>
      <c r="F139" s="1393" t="s">
        <v>3982</v>
      </c>
      <c r="G139" s="1394" t="s">
        <v>3982</v>
      </c>
      <c r="H139" s="1395"/>
      <c r="I139" s="1396"/>
      <c r="J139" s="1394" t="s">
        <v>3982</v>
      </c>
      <c r="K139" s="1396"/>
      <c r="L139" s="1394" t="s">
        <v>3982</v>
      </c>
      <c r="M139" s="1396"/>
      <c r="N139" s="1394" t="s">
        <v>3982</v>
      </c>
      <c r="O139" s="1396"/>
      <c r="P139" s="1397" t="s">
        <v>4024</v>
      </c>
      <c r="Q139" s="1398"/>
      <c r="R139" s="1399"/>
      <c r="S139" s="1400"/>
    </row>
    <row r="140" spans="1:19" s="449" customFormat="1" ht="13.9" customHeight="1">
      <c r="A140" s="841" t="s">
        <v>3299</v>
      </c>
      <c r="B140" s="842"/>
      <c r="C140" s="842"/>
      <c r="D140" s="504"/>
      <c r="E140" s="1401" t="s">
        <v>3982</v>
      </c>
      <c r="F140" s="1401" t="s">
        <v>3982</v>
      </c>
      <c r="G140" s="1402" t="s">
        <v>3982</v>
      </c>
      <c r="H140" s="1403"/>
      <c r="I140" s="1404"/>
      <c r="J140" s="1402" t="s">
        <v>3984</v>
      </c>
      <c r="K140" s="1404"/>
      <c r="L140" s="1402" t="s">
        <v>3982</v>
      </c>
      <c r="M140" s="1404"/>
      <c r="N140" s="1402" t="s">
        <v>3982</v>
      </c>
      <c r="O140" s="1404"/>
      <c r="P140" s="1405" t="s">
        <v>4024</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78" customHeight="1">
      <c r="A145" s="1360" t="s">
        <v>4094</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4" zoomScaleNormal="100" zoomScaleSheetLayoutView="90" workbookViewId="0">
      <selection activeCell="A4"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2012-016 Monroe Elementary Apartments, Monroe, Walton County</v>
      </c>
      <c r="B1" s="946"/>
      <c r="C1" s="946"/>
      <c r="D1" s="946"/>
      <c r="E1" s="946"/>
      <c r="F1" s="946"/>
      <c r="G1" s="946"/>
      <c r="H1" s="946"/>
      <c r="I1" s="946"/>
      <c r="J1" s="946"/>
      <c r="K1" s="946"/>
      <c r="L1" s="946"/>
      <c r="M1" s="946"/>
      <c r="N1" s="946"/>
      <c r="O1" s="946"/>
      <c r="P1" s="946"/>
      <c r="Q1" s="947"/>
      <c r="S1" s="953" t="str">
        <f>$A$1</f>
        <v>PART THREE - SOURCES OF FUNDS  -  2012-016 Monroe Elementary Apartments, Monroe, Walton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3984</v>
      </c>
      <c r="C5" s="826" t="s">
        <v>3392</v>
      </c>
      <c r="D5" s="449"/>
      <c r="E5" s="1306" t="s">
        <v>3984</v>
      </c>
      <c r="F5" s="829" t="s">
        <v>2494</v>
      </c>
      <c r="G5" s="449"/>
      <c r="J5" s="1410">
        <v>1626500</v>
      </c>
      <c r="K5" s="1411"/>
      <c r="M5" s="1306" t="s">
        <v>3982</v>
      </c>
      <c r="N5" s="826" t="s">
        <v>786</v>
      </c>
      <c r="P5" s="1306" t="s">
        <v>3982</v>
      </c>
      <c r="Q5" s="956" t="s">
        <v>3655</v>
      </c>
      <c r="S5" s="1412"/>
      <c r="T5" s="1413"/>
    </row>
    <row r="6" spans="1:20" s="397" customFormat="1" ht="16.899999999999999" customHeight="1">
      <c r="A6" s="846"/>
      <c r="B6" s="1306" t="s">
        <v>3982</v>
      </c>
      <c r="C6" s="826" t="s">
        <v>2660</v>
      </c>
      <c r="D6" s="449"/>
      <c r="E6" s="1306" t="s">
        <v>3982</v>
      </c>
      <c r="F6" s="829" t="s">
        <v>3099</v>
      </c>
      <c r="H6" s="1306" t="s">
        <v>3982</v>
      </c>
      <c r="I6" s="833" t="s">
        <v>787</v>
      </c>
      <c r="J6" s="1306" t="s">
        <v>3982</v>
      </c>
      <c r="K6" s="833" t="s">
        <v>2140</v>
      </c>
      <c r="M6" s="1306" t="s">
        <v>3982</v>
      </c>
      <c r="N6" s="829" t="s">
        <v>785</v>
      </c>
      <c r="Q6" s="956"/>
      <c r="S6" s="1414"/>
      <c r="T6" s="1415"/>
    </row>
    <row r="7" spans="1:20" s="397" customFormat="1" ht="16.899999999999999" customHeight="1">
      <c r="A7" s="449"/>
      <c r="B7" s="1306" t="s">
        <v>3982</v>
      </c>
      <c r="C7" s="826" t="s">
        <v>2661</v>
      </c>
      <c r="E7" s="1306" t="s">
        <v>3982</v>
      </c>
      <c r="F7" s="829" t="s">
        <v>3098</v>
      </c>
      <c r="G7" s="449"/>
      <c r="H7" s="1306" t="s">
        <v>3982</v>
      </c>
      <c r="I7" s="955" t="s">
        <v>3653</v>
      </c>
      <c r="J7" s="1306" t="s">
        <v>3982</v>
      </c>
      <c r="K7" s="956" t="s">
        <v>3652</v>
      </c>
      <c r="L7" s="957"/>
      <c r="M7" s="1306" t="s">
        <v>3982</v>
      </c>
      <c r="N7" s="455" t="s">
        <v>3654</v>
      </c>
      <c r="Q7" s="958"/>
      <c r="S7" s="1414"/>
      <c r="T7" s="1415"/>
    </row>
    <row r="8" spans="1:20" s="397" customFormat="1" ht="16.899999999999999" customHeight="1">
      <c r="A8" s="846"/>
      <c r="B8" s="1306" t="s">
        <v>3982</v>
      </c>
      <c r="C8" s="833" t="s">
        <v>3640</v>
      </c>
      <c r="D8" s="449"/>
      <c r="E8" s="1306" t="s">
        <v>3982</v>
      </c>
      <c r="F8" s="477" t="s">
        <v>3641</v>
      </c>
      <c r="I8" s="955"/>
      <c r="K8" s="956"/>
      <c r="L8" s="957"/>
      <c r="M8" s="1306" t="s">
        <v>3982</v>
      </c>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4027</v>
      </c>
      <c r="I14" s="1293"/>
      <c r="J14" s="1293"/>
      <c r="K14" s="1294"/>
      <c r="L14" s="1418">
        <v>2030000</v>
      </c>
      <c r="M14" s="1419"/>
      <c r="N14" s="1420">
        <v>5.7500000000000002E-2</v>
      </c>
      <c r="O14" s="1421"/>
      <c r="P14" s="1422">
        <v>24</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3118</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4032</v>
      </c>
      <c r="I20" s="1293"/>
      <c r="J20" s="1293"/>
      <c r="K20" s="1294"/>
      <c r="L20" s="1418">
        <v>1946747</v>
      </c>
      <c r="M20" s="1419"/>
      <c r="N20" s="449"/>
      <c r="O20" s="449"/>
      <c r="P20" s="449"/>
      <c r="Q20" s="449"/>
      <c r="S20" s="1416"/>
      <c r="T20" s="1417"/>
    </row>
    <row r="21" spans="1:20" s="397" customFormat="1" ht="16.899999999999999" customHeight="1">
      <c r="A21" s="449"/>
      <c r="B21" s="959" t="s">
        <v>1289</v>
      </c>
      <c r="C21" s="960"/>
      <c r="D21" s="960"/>
      <c r="E21" s="833"/>
      <c r="H21" s="1292" t="s">
        <v>4032</v>
      </c>
      <c r="I21" s="1293"/>
      <c r="J21" s="1293"/>
      <c r="K21" s="1294"/>
      <c r="L21" s="1418">
        <v>572573</v>
      </c>
      <c r="M21" s="1419"/>
      <c r="N21" s="449"/>
      <c r="O21" s="449"/>
      <c r="P21" s="449"/>
      <c r="Q21" s="449"/>
      <c r="S21" s="1412"/>
      <c r="T21" s="1413"/>
    </row>
    <row r="22" spans="1:20" s="397" customFormat="1" ht="16.899999999999999" customHeight="1">
      <c r="A22" s="449"/>
      <c r="B22" s="832" t="s">
        <v>289</v>
      </c>
      <c r="C22" s="833"/>
      <c r="D22" s="1426" t="s">
        <v>3391</v>
      </c>
      <c r="E22" s="1426"/>
      <c r="F22" s="1426"/>
      <c r="G22" s="1426"/>
      <c r="H22" s="1292" t="s">
        <v>4095</v>
      </c>
      <c r="I22" s="1293"/>
      <c r="J22" s="1293"/>
      <c r="K22" s="1294"/>
      <c r="L22" s="1418">
        <v>813250</v>
      </c>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5362570</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5362570</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29"/>
      <c r="N31" s="1429"/>
      <c r="O31" s="888" t="s">
        <v>80</v>
      </c>
      <c r="P31" s="888"/>
      <c r="Q31" s="976"/>
      <c r="S31" s="954" t="s">
        <v>3865</v>
      </c>
      <c r="T31" s="954"/>
    </row>
    <row r="32" spans="1:20" s="397" customFormat="1" ht="13.15" customHeight="1">
      <c r="A32" s="449"/>
      <c r="B32" s="961" t="s">
        <v>3663</v>
      </c>
      <c r="C32" s="962"/>
      <c r="D32" s="962"/>
      <c r="E32" s="1430" t="s">
        <v>3391</v>
      </c>
      <c r="F32" s="1431"/>
      <c r="G32" s="1432"/>
      <c r="H32" s="1433">
        <v>1626500</v>
      </c>
      <c r="I32" s="1434"/>
      <c r="J32" s="1435">
        <v>0.01</v>
      </c>
      <c r="K32" s="1306">
        <v>30</v>
      </c>
      <c r="L32" s="1306">
        <v>30</v>
      </c>
      <c r="M32" s="1436">
        <v>62778</v>
      </c>
      <c r="N32" s="1437"/>
      <c r="O32" s="1286" t="s">
        <v>4033</v>
      </c>
      <c r="P32" s="1287"/>
      <c r="Q32" s="1438">
        <v>1.25</v>
      </c>
      <c r="S32" s="1412"/>
      <c r="T32" s="1413"/>
    </row>
    <row r="33" spans="1:20" s="397" customFormat="1" ht="13.15" customHeight="1">
      <c r="A33" s="449"/>
      <c r="B33" s="959" t="s">
        <v>3664</v>
      </c>
      <c r="C33" s="960"/>
      <c r="D33" s="960"/>
      <c r="E33" s="1297"/>
      <c r="F33" s="1439"/>
      <c r="G33" s="1440"/>
      <c r="H33" s="1441"/>
      <c r="I33" s="1434"/>
      <c r="J33" s="1435"/>
      <c r="K33" s="1306"/>
      <c r="L33" s="1306"/>
      <c r="M33" s="1436" t="str">
        <f t="shared" ref="M33:M37" si="0">IF(OR(H33&lt;=0,H33=""),"",IF(O33="Amortizing",-PMT(J33/12,L33*12,H33,0,0)*12,""))</f>
        <v/>
      </c>
      <c r="N33" s="1437"/>
      <c r="O33" s="1286"/>
      <c r="P33" s="1287"/>
      <c r="Q33" s="1438"/>
      <c r="S33" s="1414"/>
      <c r="T33" s="1415"/>
    </row>
    <row r="34" spans="1:20" s="397" customFormat="1" ht="13.15" customHeight="1">
      <c r="A34" s="449"/>
      <c r="B34" s="959" t="s">
        <v>3665</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6.6737640476132384E-2</v>
      </c>
      <c r="E37" s="1292" t="s">
        <v>4034</v>
      </c>
      <c r="F37" s="1442"/>
      <c r="G37" s="1434"/>
      <c r="H37" s="1441">
        <v>51968</v>
      </c>
      <c r="I37" s="1434"/>
      <c r="J37" s="1435">
        <v>0</v>
      </c>
      <c r="K37" s="1306">
        <v>15</v>
      </c>
      <c r="L37" s="1306"/>
      <c r="M37" s="1436" t="str">
        <f t="shared" si="0"/>
        <v/>
      </c>
      <c r="N37" s="1437"/>
      <c r="O37" s="1286" t="s">
        <v>1687</v>
      </c>
      <c r="P37" s="1287"/>
      <c r="Q37" s="1438"/>
      <c r="S37" s="1414"/>
      <c r="T37" s="1415"/>
    </row>
    <row r="38" spans="1:20" s="397" customFormat="1" ht="13.15" customHeight="1">
      <c r="A38" s="449"/>
      <c r="B38" s="961" t="s">
        <v>3118</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4032</v>
      </c>
      <c r="F40" s="1293"/>
      <c r="G40" s="1294"/>
      <c r="H40" s="1441">
        <v>3546052</v>
      </c>
      <c r="I40" s="1445"/>
      <c r="J40" s="973">
        <f>'Part IV-Uses of Funds'!$J$165*10*'Part IV-Uses of Funds'!$N$158</f>
        <v>3546052.0006279196</v>
      </c>
      <c r="K40" s="974"/>
      <c r="L40" s="969">
        <f>H40-J40</f>
        <v>-6.2791956588625908E-4</v>
      </c>
      <c r="M40" s="969"/>
      <c r="O40" s="626" t="s">
        <v>3590</v>
      </c>
      <c r="P40" s="545"/>
      <c r="Q40" s="544"/>
      <c r="S40" s="1414"/>
      <c r="T40" s="1415"/>
    </row>
    <row r="41" spans="1:20" s="397" customFormat="1" ht="13.15" customHeight="1">
      <c r="A41" s="449"/>
      <c r="B41" s="959" t="s">
        <v>1289</v>
      </c>
      <c r="C41" s="960"/>
      <c r="D41" s="968"/>
      <c r="E41" s="1292" t="s">
        <v>4032</v>
      </c>
      <c r="F41" s="1293"/>
      <c r="G41" s="1294"/>
      <c r="H41" s="1441">
        <v>1042956</v>
      </c>
      <c r="I41" s="1445"/>
      <c r="J41" s="973">
        <f>'Part IV-Uses of Funds'!$J$165*10*'Part IV-Uses of Funds'!$Q$158</f>
        <v>1042955.99857352</v>
      </c>
      <c r="K41" s="974"/>
      <c r="L41" s="969">
        <f>H41-J41</f>
        <v>1.4264800120145082E-3</v>
      </c>
      <c r="M41" s="969"/>
      <c r="O41" s="627">
        <f>H40/H50</f>
        <v>0.56578629100454469</v>
      </c>
      <c r="P41" s="545"/>
      <c r="Q41" s="544"/>
      <c r="S41" s="1414"/>
      <c r="T41" s="1415"/>
    </row>
    <row r="42" spans="1:20" s="397" customFormat="1" ht="13.15" customHeight="1">
      <c r="A42" s="449"/>
      <c r="B42" s="959" t="s">
        <v>1984</v>
      </c>
      <c r="C42" s="960"/>
      <c r="D42" s="968"/>
      <c r="E42" s="1292"/>
      <c r="F42" s="1293"/>
      <c r="G42" s="1294"/>
      <c r="H42" s="1441"/>
      <c r="I42" s="1445"/>
      <c r="M42" s="545"/>
      <c r="O42" s="627">
        <f>H41/H50</f>
        <v>0.16640765756422521</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0.73219394856876985</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3119</v>
      </c>
      <c r="C49" s="449"/>
      <c r="D49" s="449"/>
      <c r="E49" s="449"/>
      <c r="F49" s="449"/>
      <c r="G49" s="449"/>
      <c r="H49" s="989">
        <f>SUM(H32:I48)</f>
        <v>6267476</v>
      </c>
      <c r="I49" s="990"/>
      <c r="J49" s="472"/>
      <c r="K49" s="449"/>
      <c r="L49" s="546"/>
      <c r="M49" s="545"/>
      <c r="N49" s="545"/>
      <c r="O49" s="545"/>
      <c r="P49" s="545"/>
      <c r="Q49" s="544"/>
      <c r="S49" s="1414"/>
      <c r="T49" s="1415"/>
    </row>
    <row r="50" spans="1:23" s="397" customFormat="1" ht="13.15" customHeight="1" thickBot="1">
      <c r="A50" s="449"/>
      <c r="B50" s="826" t="s">
        <v>3120</v>
      </c>
      <c r="C50" s="449"/>
      <c r="D50" s="449"/>
      <c r="E50" s="449"/>
      <c r="F50" s="449"/>
      <c r="G50" s="449"/>
      <c r="H50" s="987">
        <f>'Part IV-Uses of Funds'!$G$123</f>
        <v>6267476</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46"/>
      <c r="C55" s="1446"/>
      <c r="D55" s="1446"/>
      <c r="E55" s="1446"/>
      <c r="F55" s="1446"/>
      <c r="G55" s="1446"/>
      <c r="H55" s="1446"/>
      <c r="I55" s="1446"/>
      <c r="J55" s="1447"/>
      <c r="K55" s="1363"/>
      <c r="L55" s="1446"/>
      <c r="M55" s="1446"/>
      <c r="N55" s="1446"/>
      <c r="O55" s="1446"/>
      <c r="P55" s="1446"/>
      <c r="Q55" s="1447"/>
      <c r="S55" s="952" t="s">
        <v>3965</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2012-016 Monroe Elementary Apartments, Monroe, Walton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2012-016 Monroe Elementary Apartments, Monroe, Walton County</v>
      </c>
      <c r="B58" s="996"/>
      <c r="C58" s="996"/>
      <c r="D58" s="996"/>
      <c r="E58" s="996"/>
      <c r="F58" s="996"/>
      <c r="G58" s="996" t="str">
        <f>CONCATENATE('Part I-Project Information'!$O$4," ",'Part I-Project Information'!$F$22,", ",'Part I-Project Information'!$F$24,", ",'Part I-Project Information'!$J$25," County")</f>
        <v>2012-016 Monroe Elementary Apartments, Monroe, Walton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2012-016 Monroe Elementary Apartments, Monroe, Walton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2012-016 Monroe Elementary Apartments, Monroe, Walton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21" zoomScaleNormal="100" zoomScaleSheetLayoutView="90" workbookViewId="0">
      <selection activeCell="A121"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2012-016 Monroe Elementary Apartments, Monroe, Walton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2012-016 Monroe Elementary Apartments, Monroe, Walton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10000</v>
      </c>
      <c r="H8" s="1419"/>
      <c r="J8" s="1418"/>
      <c r="K8" s="1419"/>
      <c r="L8" s="843"/>
      <c r="M8" s="1418"/>
      <c r="N8" s="1419"/>
      <c r="P8" s="1418">
        <f>G8</f>
        <v>10000</v>
      </c>
      <c r="Q8" s="1419"/>
      <c r="S8" s="1418"/>
      <c r="T8" s="1419"/>
      <c r="V8" s="1448"/>
      <c r="W8" s="1449"/>
    </row>
    <row r="9" spans="1:23" s="449" customFormat="1" ht="12.6" customHeight="1">
      <c r="B9" s="449" t="s">
        <v>631</v>
      </c>
      <c r="G9" s="1418">
        <v>4300</v>
      </c>
      <c r="H9" s="1419"/>
      <c r="J9" s="1418"/>
      <c r="K9" s="1419"/>
      <c r="L9" s="843"/>
      <c r="M9" s="1418"/>
      <c r="N9" s="1419"/>
      <c r="P9" s="1418">
        <f>G9</f>
        <v>4300</v>
      </c>
      <c r="Q9" s="1419"/>
      <c r="S9" s="1418"/>
      <c r="T9" s="1419"/>
      <c r="V9" s="1450"/>
      <c r="W9" s="1451"/>
    </row>
    <row r="10" spans="1:23" s="449" customFormat="1" ht="12.6" customHeight="1">
      <c r="B10" s="449" t="s">
        <v>674</v>
      </c>
      <c r="G10" s="1418">
        <v>25000</v>
      </c>
      <c r="H10" s="1419"/>
      <c r="J10" s="1418"/>
      <c r="K10" s="1419"/>
      <c r="L10" s="843"/>
      <c r="M10" s="1418"/>
      <c r="N10" s="1419"/>
      <c r="P10" s="1418">
        <f>G10</f>
        <v>25000</v>
      </c>
      <c r="Q10" s="1419"/>
      <c r="S10" s="1418"/>
      <c r="T10" s="1419"/>
      <c r="V10" s="1450"/>
      <c r="W10" s="1451"/>
    </row>
    <row r="11" spans="1:23" s="449" customFormat="1" ht="12.6" customHeight="1">
      <c r="B11" s="449" t="s">
        <v>675</v>
      </c>
      <c r="G11" s="1418"/>
      <c r="H11" s="1419"/>
      <c r="J11" s="1418"/>
      <c r="K11" s="1419"/>
      <c r="L11" s="843"/>
      <c r="M11" s="1418"/>
      <c r="N11" s="1419"/>
      <c r="P11" s="1418"/>
      <c r="Q11" s="1419"/>
      <c r="S11" s="1418"/>
      <c r="T11" s="1419"/>
      <c r="V11" s="1450"/>
      <c r="W11" s="1451"/>
    </row>
    <row r="12" spans="1:23" s="449" customFormat="1" ht="12.6" customHeight="1">
      <c r="B12" s="449" t="s">
        <v>3507</v>
      </c>
      <c r="G12" s="1418">
        <v>10000</v>
      </c>
      <c r="H12" s="1419"/>
      <c r="J12" s="1418"/>
      <c r="K12" s="1419"/>
      <c r="L12" s="843"/>
      <c r="M12" s="1418"/>
      <c r="N12" s="1419"/>
      <c r="P12" s="1418">
        <f>G12</f>
        <v>10000</v>
      </c>
      <c r="Q12" s="1419"/>
      <c r="S12" s="1418"/>
      <c r="T12" s="1419"/>
      <c r="V12" s="1450"/>
      <c r="W12" s="1451"/>
    </row>
    <row r="13" spans="1:23" s="449" customFormat="1" ht="12.6" customHeight="1">
      <c r="B13" s="449" t="s">
        <v>229</v>
      </c>
      <c r="G13" s="1418"/>
      <c r="H13" s="1419"/>
      <c r="J13" s="1418"/>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4028</v>
      </c>
      <c r="D14" s="1298"/>
      <c r="E14" s="1298"/>
      <c r="F14" s="1299"/>
      <c r="G14" s="1418">
        <v>341058</v>
      </c>
      <c r="H14" s="1419"/>
      <c r="J14" s="1418"/>
      <c r="K14" s="1419"/>
      <c r="L14" s="843"/>
      <c r="M14" s="1418"/>
      <c r="N14" s="1419"/>
      <c r="P14" s="1418">
        <f>G14</f>
        <v>341058</v>
      </c>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390358</v>
      </c>
      <c r="H17" s="1016"/>
      <c r="J17" s="1015">
        <f>SUM(J8:K16)</f>
        <v>0</v>
      </c>
      <c r="K17" s="1028"/>
      <c r="L17" s="843"/>
      <c r="M17" s="1015">
        <f>SUM(M8:N16)</f>
        <v>0</v>
      </c>
      <c r="N17" s="1016"/>
      <c r="P17" s="1015">
        <f>SUM(P8:Q16)</f>
        <v>390358</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297500</v>
      </c>
      <c r="H19" s="1419"/>
      <c r="J19" s="515"/>
      <c r="K19" s="512"/>
      <c r="L19" s="515"/>
      <c r="M19" s="515"/>
      <c r="N19" s="512"/>
      <c r="P19" s="515"/>
      <c r="Q19" s="512"/>
      <c r="S19" s="1418">
        <f>G19</f>
        <v>297500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v>133000</v>
      </c>
      <c r="H22" s="1457"/>
      <c r="J22" s="515"/>
      <c r="K22" s="512"/>
      <c r="L22" s="515"/>
      <c r="M22" s="1456">
        <v>114114</v>
      </c>
      <c r="N22" s="1457"/>
      <c r="P22" s="515"/>
      <c r="Q22" s="512"/>
      <c r="S22" s="1418">
        <f>G22-M22</f>
        <v>18886</v>
      </c>
      <c r="T22" s="1419"/>
      <c r="V22" s="1450"/>
      <c r="W22" s="1451"/>
    </row>
    <row r="23" spans="2:23" s="449" customFormat="1" ht="12.6" customHeight="1" thickTop="1">
      <c r="F23" s="513" t="s">
        <v>230</v>
      </c>
      <c r="G23" s="1015">
        <f>SUM(G19:H22)</f>
        <v>430500</v>
      </c>
      <c r="H23" s="1016"/>
      <c r="J23" s="515"/>
      <c r="K23" s="512"/>
      <c r="L23" s="515"/>
      <c r="M23" s="1015">
        <f>SUM(M21:N22)</f>
        <v>114114</v>
      </c>
      <c r="N23" s="1016"/>
      <c r="P23" s="515"/>
      <c r="Q23" s="512"/>
      <c r="S23" s="1015">
        <f>SUM(S19:T22)</f>
        <v>316386</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188596</v>
      </c>
      <c r="H25" s="1419"/>
      <c r="J25" s="1452"/>
      <c r="K25" s="1453"/>
      <c r="L25" s="843"/>
      <c r="M25" s="1452"/>
      <c r="N25" s="1453"/>
      <c r="P25" s="1452">
        <f>G25</f>
        <v>188596</v>
      </c>
      <c r="Q25" s="1453"/>
      <c r="S25" s="1418"/>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188596</v>
      </c>
      <c r="H27" s="1016"/>
      <c r="J27" s="1015">
        <f>SUM(J25:K26)</f>
        <v>0</v>
      </c>
      <c r="K27" s="1016"/>
      <c r="L27" s="515"/>
      <c r="M27" s="1015">
        <f>M25</f>
        <v>0</v>
      </c>
      <c r="N27" s="1016"/>
      <c r="P27" s="1015">
        <f>P25</f>
        <v>188596</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c r="H29" s="1419"/>
      <c r="J29" s="1418"/>
      <c r="K29" s="1419"/>
      <c r="L29" s="843"/>
      <c r="M29" s="1418"/>
      <c r="N29" s="1419"/>
      <c r="P29" s="1418"/>
      <c r="Q29" s="1419"/>
      <c r="S29" s="1418"/>
      <c r="T29" s="1419"/>
      <c r="V29" s="1448"/>
      <c r="W29" s="1449"/>
    </row>
    <row r="30" spans="2:23" s="449" customFormat="1" ht="12.6" customHeight="1">
      <c r="B30" s="449" t="s">
        <v>1638</v>
      </c>
      <c r="G30" s="1418">
        <v>2779567</v>
      </c>
      <c r="H30" s="1419"/>
      <c r="J30" s="1418"/>
      <c r="K30" s="1419"/>
      <c r="L30" s="843"/>
      <c r="M30" s="1418"/>
      <c r="N30" s="1419"/>
      <c r="P30" s="1418">
        <f>G30</f>
        <v>2779567</v>
      </c>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2779567</v>
      </c>
      <c r="H32" s="1016"/>
      <c r="J32" s="1015">
        <f>SUM(J29:K31)</f>
        <v>0</v>
      </c>
      <c r="K32" s="1016"/>
      <c r="L32" s="843"/>
      <c r="M32" s="1015">
        <f>SUM(M29:N31)</f>
        <v>0</v>
      </c>
      <c r="N32" s="1016"/>
      <c r="P32" s="1015">
        <f>SUM(P29:Q31)</f>
        <v>2779567</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178089.78</v>
      </c>
      <c r="G34" s="1418">
        <v>178000</v>
      </c>
      <c r="H34" s="1419"/>
      <c r="I34" s="472"/>
      <c r="J34" s="1418"/>
      <c r="K34" s="1419"/>
      <c r="L34" s="843"/>
      <c r="M34" s="1418"/>
      <c r="N34" s="1419"/>
      <c r="P34" s="1418">
        <f>G34</f>
        <v>178000</v>
      </c>
      <c r="Q34" s="1419"/>
      <c r="S34" s="1418"/>
      <c r="T34" s="1419"/>
      <c r="V34" s="1448"/>
      <c r="W34" s="1449"/>
    </row>
    <row r="35" spans="1:23" s="449" customFormat="1" ht="12.6" customHeight="1" thickBot="1">
      <c r="B35" s="449" t="s">
        <v>2923</v>
      </c>
      <c r="E35" s="604">
        <f>'DCA Underwriting Assumptions'!$R$39+'DCA Underwriting Assumptions'!$R$40</f>
        <v>0.08</v>
      </c>
      <c r="F35" s="605">
        <f>E35*($G$27+$G$32)</f>
        <v>237453.04</v>
      </c>
      <c r="G35" s="1418">
        <f>178000+59300</f>
        <v>237300</v>
      </c>
      <c r="H35" s="1419"/>
      <c r="I35" s="472"/>
      <c r="J35" s="1418"/>
      <c r="K35" s="1419"/>
      <c r="L35" s="843"/>
      <c r="M35" s="1418"/>
      <c r="N35" s="1419"/>
      <c r="P35" s="1418">
        <f>G35</f>
        <v>237300</v>
      </c>
      <c r="Q35" s="1419"/>
      <c r="S35" s="1418"/>
      <c r="T35" s="1419"/>
      <c r="V35" s="1450"/>
      <c r="W35" s="1451"/>
    </row>
    <row r="36" spans="1:23" s="449" customFormat="1" ht="12.6" customHeight="1" thickTop="1">
      <c r="B36" s="449" t="s">
        <v>2924</v>
      </c>
      <c r="D36" s="520"/>
      <c r="E36" s="833"/>
      <c r="F36" s="606" t="s">
        <v>230</v>
      </c>
      <c r="G36" s="1015">
        <f>SUM(G34:H35)</f>
        <v>415300</v>
      </c>
      <c r="H36" s="1016"/>
      <c r="J36" s="1015">
        <f>SUM(J34:K35)</f>
        <v>0</v>
      </c>
      <c r="K36" s="1016"/>
      <c r="L36" s="515"/>
      <c r="M36" s="1015">
        <f>SUM(M34:N35)</f>
        <v>0</v>
      </c>
      <c r="N36" s="1016"/>
      <c r="P36" s="1015">
        <f>SUM(P34:Q35)</f>
        <v>415300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70488.8125</v>
      </c>
      <c r="E38" s="523"/>
      <c r="F38" s="524" t="s">
        <v>1974</v>
      </c>
      <c r="V38" s="1448"/>
      <c r="W38" s="1449"/>
    </row>
    <row r="39" spans="1:23" s="449" customFormat="1" ht="12.6" customHeight="1">
      <c r="B39" s="1030">
        <f>G27+G32+G36</f>
        <v>3383463</v>
      </c>
      <c r="C39" s="1031"/>
      <c r="D39" s="525">
        <f>B39/'Part VI-Revenues &amp; Expenses'!$M$100</f>
        <v>90.953306451612903</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6.9999878822378139E-2</v>
      </c>
      <c r="G42" s="1418">
        <v>236842</v>
      </c>
      <c r="H42" s="1419"/>
      <c r="I42" s="449"/>
      <c r="J42" s="1418"/>
      <c r="K42" s="1419"/>
      <c r="L42" s="843"/>
      <c r="M42" s="1418"/>
      <c r="N42" s="1419"/>
      <c r="O42" s="449"/>
      <c r="P42" s="1418">
        <v>236842</v>
      </c>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40600</v>
      </c>
      <c r="H48" s="1419"/>
      <c r="J48" s="1418"/>
      <c r="K48" s="1419"/>
      <c r="L48" s="843"/>
      <c r="M48" s="1418"/>
      <c r="N48" s="1419"/>
      <c r="P48" s="1418">
        <f>G48</f>
        <v>40600</v>
      </c>
      <c r="Q48" s="1419"/>
      <c r="S48" s="1418"/>
      <c r="T48" s="1419"/>
      <c r="V48" s="1448"/>
      <c r="W48" s="1449"/>
    </row>
    <row r="49" spans="1:23" s="449" customFormat="1" ht="12" customHeight="1">
      <c r="B49" s="449" t="s">
        <v>3272</v>
      </c>
      <c r="G49" s="1418">
        <v>113500</v>
      </c>
      <c r="H49" s="1419"/>
      <c r="J49" s="1418"/>
      <c r="K49" s="1419"/>
      <c r="L49" s="843"/>
      <c r="M49" s="1418"/>
      <c r="N49" s="1419"/>
      <c r="P49" s="1418">
        <f>G49</f>
        <v>113500</v>
      </c>
      <c r="Q49" s="1419"/>
      <c r="S49" s="1418"/>
      <c r="T49" s="1419"/>
      <c r="V49" s="1450"/>
      <c r="W49" s="1451"/>
    </row>
    <row r="50" spans="1:23" s="449" customFormat="1" ht="12" customHeight="1">
      <c r="B50" s="449" t="s">
        <v>3273</v>
      </c>
      <c r="G50" s="1418"/>
      <c r="H50" s="1419"/>
      <c r="J50" s="1418"/>
      <c r="K50" s="1419"/>
      <c r="L50" s="843"/>
      <c r="M50" s="1418"/>
      <c r="N50" s="1419"/>
      <c r="P50" s="1418"/>
      <c r="Q50" s="1419"/>
      <c r="S50" s="1418"/>
      <c r="T50" s="1419"/>
      <c r="V50" s="1450"/>
      <c r="W50" s="1451"/>
    </row>
    <row r="51" spans="1:23" s="449" customFormat="1" ht="12" customHeight="1">
      <c r="B51" s="449" t="s">
        <v>3934</v>
      </c>
      <c r="G51" s="1418">
        <v>14000</v>
      </c>
      <c r="H51" s="1419"/>
      <c r="J51" s="1418"/>
      <c r="K51" s="1419"/>
      <c r="L51" s="843"/>
      <c r="M51" s="1418"/>
      <c r="N51" s="1419"/>
      <c r="P51" s="1418">
        <f>G51</f>
        <v>14000</v>
      </c>
      <c r="Q51" s="1419"/>
      <c r="S51" s="1418"/>
      <c r="T51" s="1419"/>
      <c r="V51" s="1450"/>
      <c r="W51" s="1451"/>
    </row>
    <row r="52" spans="1:23" s="449" customFormat="1" ht="12" customHeight="1">
      <c r="B52" s="449" t="s">
        <v>1004</v>
      </c>
      <c r="G52" s="1418">
        <v>15000</v>
      </c>
      <c r="H52" s="1419"/>
      <c r="J52" s="1418"/>
      <c r="K52" s="1419"/>
      <c r="L52" s="843"/>
      <c r="M52" s="1418"/>
      <c r="N52" s="1419"/>
      <c r="P52" s="1418">
        <f>G52</f>
        <v>15000</v>
      </c>
      <c r="Q52" s="1419"/>
      <c r="S52" s="1418"/>
      <c r="T52" s="1419"/>
      <c r="V52" s="1450"/>
      <c r="W52" s="1451"/>
    </row>
    <row r="53" spans="1:23" s="449" customFormat="1" ht="12" customHeight="1">
      <c r="B53" s="449" t="s">
        <v>3274</v>
      </c>
      <c r="G53" s="1418">
        <v>30200</v>
      </c>
      <c r="H53" s="1419"/>
      <c r="J53" s="1418"/>
      <c r="K53" s="1419"/>
      <c r="L53" s="843"/>
      <c r="M53" s="1418"/>
      <c r="N53" s="1419"/>
      <c r="P53" s="1418">
        <f>G53</f>
        <v>30200</v>
      </c>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33908</v>
      </c>
      <c r="H55" s="1419"/>
      <c r="I55" s="472"/>
      <c r="J55" s="1418"/>
      <c r="K55" s="1419"/>
      <c r="L55" s="843"/>
      <c r="M55" s="1418"/>
      <c r="N55" s="1419"/>
      <c r="P55" s="1418">
        <f>G55</f>
        <v>33908</v>
      </c>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3398</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247208</v>
      </c>
      <c r="H57" s="1016"/>
      <c r="J57" s="1015">
        <f>SUM(J48:K56)</f>
        <v>0</v>
      </c>
      <c r="K57" s="1016"/>
      <c r="L57" s="515"/>
      <c r="M57" s="1015">
        <f>SUM(M48:N56)</f>
        <v>0</v>
      </c>
      <c r="N57" s="1016"/>
      <c r="P57" s="1015">
        <f>SUM(P48:Q56)</f>
        <v>247208</v>
      </c>
      <c r="Q57" s="1016"/>
      <c r="S57" s="1015">
        <f>SUM(S48:T56)</f>
        <v>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76800</v>
      </c>
      <c r="H59" s="1419"/>
      <c r="J59" s="1418"/>
      <c r="K59" s="1419"/>
      <c r="L59" s="843"/>
      <c r="M59" s="1418"/>
      <c r="N59" s="1419"/>
      <c r="P59" s="1418">
        <f>G59</f>
        <v>76800</v>
      </c>
      <c r="Q59" s="1419"/>
      <c r="S59" s="1418"/>
      <c r="T59" s="1419"/>
      <c r="V59" s="1448"/>
      <c r="W59" s="1449"/>
    </row>
    <row r="60" spans="1:23" s="449" customFormat="1" ht="12" customHeight="1">
      <c r="B60" s="449" t="s">
        <v>663</v>
      </c>
      <c r="G60" s="1418">
        <v>19200</v>
      </c>
      <c r="H60" s="1419"/>
      <c r="J60" s="1418"/>
      <c r="K60" s="1419"/>
      <c r="L60" s="843"/>
      <c r="M60" s="1418"/>
      <c r="N60" s="1419"/>
      <c r="P60" s="1418">
        <f>G60</f>
        <v>19200</v>
      </c>
      <c r="Q60" s="1419"/>
      <c r="S60" s="1418"/>
      <c r="T60" s="1419"/>
      <c r="V60" s="1450"/>
      <c r="W60" s="1451"/>
    </row>
    <row r="61" spans="1:23" s="449" customFormat="1" ht="12" customHeight="1">
      <c r="B61" s="449" t="s">
        <v>1643</v>
      </c>
      <c r="G61" s="1418">
        <v>5000</v>
      </c>
      <c r="H61" s="1419"/>
      <c r="J61" s="1418"/>
      <c r="K61" s="1419"/>
      <c r="L61" s="843"/>
      <c r="M61" s="1418"/>
      <c r="N61" s="1419"/>
      <c r="P61" s="1418">
        <f>G61</f>
        <v>5000</v>
      </c>
      <c r="Q61" s="1419"/>
      <c r="S61" s="1418"/>
      <c r="T61" s="1419"/>
      <c r="V61" s="1450"/>
      <c r="W61" s="1451"/>
    </row>
    <row r="62" spans="1:23" s="449" customFormat="1" ht="12" customHeight="1">
      <c r="B62" s="449" t="s">
        <v>1644</v>
      </c>
      <c r="G62" s="1418">
        <v>20000</v>
      </c>
      <c r="H62" s="1419"/>
      <c r="J62" s="1418"/>
      <c r="K62" s="1419"/>
      <c r="L62" s="843"/>
      <c r="M62" s="1418"/>
      <c r="N62" s="1419"/>
      <c r="P62" s="1418">
        <f>G62</f>
        <v>20000</v>
      </c>
      <c r="Q62" s="1419"/>
      <c r="S62" s="1418"/>
      <c r="T62" s="1419"/>
      <c r="V62" s="1450"/>
      <c r="W62" s="1451"/>
    </row>
    <row r="63" spans="1:23" s="449" customFormat="1" ht="12" customHeight="1">
      <c r="B63" s="449" t="s">
        <v>1645</v>
      </c>
      <c r="G63" s="1418">
        <v>4800</v>
      </c>
      <c r="H63" s="1419"/>
      <c r="J63" s="1418"/>
      <c r="K63" s="1419"/>
      <c r="L63" s="843"/>
      <c r="M63" s="1418"/>
      <c r="N63" s="1419"/>
      <c r="P63" s="1418">
        <f>G63</f>
        <v>4800</v>
      </c>
      <c r="Q63" s="1419"/>
      <c r="S63" s="1418"/>
      <c r="T63" s="1419"/>
      <c r="V63" s="1450"/>
      <c r="W63" s="1451"/>
    </row>
    <row r="64" spans="1:23" s="449" customFormat="1" ht="12" customHeight="1">
      <c r="B64" s="449" t="s">
        <v>1646</v>
      </c>
      <c r="G64" s="1418"/>
      <c r="H64" s="1419"/>
      <c r="J64" s="1418"/>
      <c r="K64" s="1419"/>
      <c r="L64" s="843"/>
      <c r="M64" s="1418"/>
      <c r="N64" s="1419"/>
      <c r="P64" s="1418"/>
      <c r="Q64" s="1419"/>
      <c r="S64" s="1418"/>
      <c r="T64" s="1419"/>
      <c r="V64" s="1450"/>
      <c r="W64" s="1451"/>
    </row>
    <row r="65" spans="1:23" s="449" customFormat="1" ht="12" customHeight="1">
      <c r="B65" s="449" t="s">
        <v>664</v>
      </c>
      <c r="G65" s="1418">
        <v>25000</v>
      </c>
      <c r="H65" s="1419"/>
      <c r="J65" s="1418"/>
      <c r="K65" s="1419"/>
      <c r="L65" s="843"/>
      <c r="M65" s="1418"/>
      <c r="N65" s="1419"/>
      <c r="P65" s="1418">
        <f>G65</f>
        <v>25000</v>
      </c>
      <c r="Q65" s="1419"/>
      <c r="S65" s="1418"/>
      <c r="T65" s="1419"/>
      <c r="V65" s="1450"/>
      <c r="W65" s="1451"/>
    </row>
    <row r="66" spans="1:23" s="449" customFormat="1" ht="12" customHeight="1">
      <c r="B66" s="449" t="s">
        <v>665</v>
      </c>
      <c r="G66" s="1418">
        <f>30000+15000</f>
        <v>45000</v>
      </c>
      <c r="H66" s="1419"/>
      <c r="J66" s="1418"/>
      <c r="K66" s="1419"/>
      <c r="L66" s="843"/>
      <c r="M66" s="1418"/>
      <c r="N66" s="1419"/>
      <c r="P66" s="1418">
        <f>20000+0</f>
        <v>20000</v>
      </c>
      <c r="Q66" s="1419"/>
      <c r="S66" s="1418">
        <f>G66-P66</f>
        <v>25000</v>
      </c>
      <c r="T66" s="1419"/>
      <c r="V66" s="1450"/>
      <c r="W66" s="1451"/>
    </row>
    <row r="67" spans="1:23" s="449" customFormat="1" ht="12" customHeight="1">
      <c r="B67" s="449" t="s">
        <v>2934</v>
      </c>
      <c r="G67" s="1418">
        <v>18000</v>
      </c>
      <c r="H67" s="1419"/>
      <c r="J67" s="1418"/>
      <c r="K67" s="1419"/>
      <c r="L67" s="843"/>
      <c r="M67" s="1418"/>
      <c r="N67" s="1419"/>
      <c r="P67" s="1418">
        <f>G67</f>
        <v>18000</v>
      </c>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3398</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213800</v>
      </c>
      <c r="H69" s="1016"/>
      <c r="J69" s="1015">
        <f>SUM(J59:K68)</f>
        <v>0</v>
      </c>
      <c r="K69" s="1016"/>
      <c r="L69" s="515"/>
      <c r="M69" s="1015">
        <f>SUM(M59:N68)</f>
        <v>0</v>
      </c>
      <c r="N69" s="1016"/>
      <c r="P69" s="1015">
        <f>SUM(P59:Q68)</f>
        <v>188800</v>
      </c>
      <c r="Q69" s="1016"/>
      <c r="S69" s="1015">
        <f>SUM(S59:T68)</f>
        <v>25000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7367</v>
      </c>
      <c r="H71" s="1419"/>
      <c r="J71" s="1418"/>
      <c r="K71" s="1419"/>
      <c r="L71" s="843"/>
      <c r="M71" s="1418"/>
      <c r="N71" s="1419"/>
      <c r="P71" s="1418">
        <f>G71</f>
        <v>7367</v>
      </c>
      <c r="Q71" s="1419"/>
      <c r="S71" s="1418"/>
      <c r="T71" s="1419"/>
      <c r="V71" s="1460"/>
      <c r="W71" s="1461"/>
    </row>
    <row r="72" spans="1:23" s="449" customFormat="1" ht="12" customHeight="1">
      <c r="B72" s="449" t="s">
        <v>1826</v>
      </c>
      <c r="G72" s="1418">
        <v>0</v>
      </c>
      <c r="H72" s="1419"/>
      <c r="J72" s="1418"/>
      <c r="K72" s="1419"/>
      <c r="L72" s="843"/>
      <c r="M72" s="1418"/>
      <c r="N72" s="1419"/>
      <c r="P72" s="1418">
        <v>0</v>
      </c>
      <c r="Q72" s="1419"/>
      <c r="S72" s="1418"/>
      <c r="T72" s="1419"/>
      <c r="V72" s="1462"/>
      <c r="W72" s="1463"/>
    </row>
    <row r="73" spans="1:23" s="449" customFormat="1" ht="12" customHeight="1">
      <c r="B73" s="449" t="s">
        <v>1827</v>
      </c>
      <c r="D73" s="529" t="s">
        <v>1975</v>
      </c>
      <c r="E73" s="1464" t="s">
        <v>3982</v>
      </c>
      <c r="G73" s="1418">
        <v>85750</v>
      </c>
      <c r="H73" s="1419"/>
      <c r="I73" s="472"/>
      <c r="J73" s="1418"/>
      <c r="K73" s="1419"/>
      <c r="L73" s="843"/>
      <c r="M73" s="1418"/>
      <c r="N73" s="1419"/>
      <c r="P73" s="1418">
        <f>G73</f>
        <v>85750</v>
      </c>
      <c r="Q73" s="1419"/>
      <c r="S73" s="1418"/>
      <c r="T73" s="1419"/>
      <c r="V73" s="1462"/>
      <c r="W73" s="1463"/>
    </row>
    <row r="74" spans="1:23" s="449" customFormat="1" ht="12" customHeight="1" thickBot="1">
      <c r="B74" s="449" t="s">
        <v>1828</v>
      </c>
      <c r="D74" s="529" t="s">
        <v>1975</v>
      </c>
      <c r="E74" s="1464" t="s">
        <v>3982</v>
      </c>
      <c r="G74" s="1418">
        <v>156800</v>
      </c>
      <c r="H74" s="1419"/>
      <c r="I74" s="472"/>
      <c r="J74" s="1418"/>
      <c r="K74" s="1419"/>
      <c r="L74" s="843"/>
      <c r="M74" s="1418"/>
      <c r="N74" s="1419"/>
      <c r="P74" s="1418">
        <f>G74</f>
        <v>156800</v>
      </c>
      <c r="Q74" s="1419"/>
      <c r="S74" s="1418"/>
      <c r="T74" s="1419"/>
      <c r="V74" s="1462"/>
      <c r="W74" s="1463"/>
    </row>
    <row r="75" spans="1:23" s="449" customFormat="1" ht="12" customHeight="1" thickTop="1">
      <c r="F75" s="513" t="s">
        <v>230</v>
      </c>
      <c r="G75" s="1015">
        <f>SUM(G71:H74)</f>
        <v>249917</v>
      </c>
      <c r="H75" s="1016"/>
      <c r="J75" s="1015">
        <f>SUM(J71:K74)</f>
        <v>0</v>
      </c>
      <c r="K75" s="1016"/>
      <c r="L75" s="515"/>
      <c r="M75" s="1015">
        <f>SUM(M71:N74)</f>
        <v>0</v>
      </c>
      <c r="N75" s="1016"/>
      <c r="P75" s="1015">
        <f>SUM(P71:Q74)</f>
        <v>249917</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c r="H77" s="1419"/>
      <c r="J77" s="1009"/>
      <c r="K77" s="1009"/>
      <c r="L77" s="843"/>
      <c r="M77" s="1009"/>
      <c r="N77" s="1009"/>
      <c r="P77" s="1009"/>
      <c r="Q77" s="1009"/>
      <c r="S77" s="1418"/>
      <c r="T77" s="1419"/>
      <c r="V77" s="1460"/>
      <c r="W77" s="1461"/>
    </row>
    <row r="78" spans="1:23" s="449" customFormat="1" ht="12" customHeight="1">
      <c r="B78" s="449" t="s">
        <v>1830</v>
      </c>
      <c r="G78" s="1418"/>
      <c r="H78" s="1419"/>
      <c r="J78" s="1027"/>
      <c r="K78" s="1027"/>
      <c r="L78" s="843"/>
      <c r="M78" s="1027"/>
      <c r="N78" s="1027"/>
      <c r="P78" s="1027"/>
      <c r="Q78" s="1027"/>
      <c r="S78" s="1418"/>
      <c r="T78" s="1419"/>
      <c r="V78" s="1462"/>
      <c r="W78" s="1463"/>
    </row>
    <row r="79" spans="1:23" s="449" customFormat="1" ht="12" customHeight="1">
      <c r="B79" s="449" t="s">
        <v>1831</v>
      </c>
      <c r="G79" s="1418">
        <v>15000</v>
      </c>
      <c r="H79" s="1419"/>
      <c r="J79" s="1418"/>
      <c r="K79" s="1419"/>
      <c r="L79" s="843"/>
      <c r="M79" s="1418"/>
      <c r="N79" s="1419"/>
      <c r="P79" s="1418"/>
      <c r="Q79" s="1419"/>
      <c r="S79" s="1418">
        <v>15000</v>
      </c>
      <c r="T79" s="1419"/>
      <c r="V79" s="1462"/>
      <c r="W79" s="1463"/>
    </row>
    <row r="80" spans="1:23" s="449" customFormat="1" ht="12" customHeight="1">
      <c r="B80" s="449" t="s">
        <v>1832</v>
      </c>
      <c r="G80" s="1418">
        <v>5000</v>
      </c>
      <c r="H80" s="1419"/>
      <c r="J80" s="1418"/>
      <c r="K80" s="1419"/>
      <c r="L80" s="843"/>
      <c r="M80" s="1418"/>
      <c r="N80" s="1419"/>
      <c r="P80" s="1418">
        <f>G80</f>
        <v>5000</v>
      </c>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20000</v>
      </c>
      <c r="H84" s="1016"/>
      <c r="J84" s="1015">
        <f>SUM(J79:K83)</f>
        <v>0</v>
      </c>
      <c r="K84" s="1016"/>
      <c r="L84" s="515"/>
      <c r="M84" s="1015">
        <f>SUM(M79:N83)</f>
        <v>0</v>
      </c>
      <c r="N84" s="1016"/>
      <c r="P84" s="1015">
        <f>SUM(P79:Q83)</f>
        <v>5000</v>
      </c>
      <c r="Q84" s="1016"/>
      <c r="S84" s="1015">
        <f>SUM(S77:T83)</f>
        <v>15000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1000</v>
      </c>
      <c r="H89" s="1419"/>
      <c r="J89" s="515"/>
      <c r="K89" s="515"/>
      <c r="L89" s="843"/>
      <c r="M89" s="515"/>
      <c r="N89" s="515"/>
      <c r="P89" s="515"/>
      <c r="Q89" s="515"/>
      <c r="S89" s="1418">
        <f t="shared" ref="S89:S93" si="0">G89-P89</f>
        <v>1000</v>
      </c>
      <c r="T89" s="1419"/>
      <c r="V89" s="1460"/>
      <c r="W89" s="1461"/>
    </row>
    <row r="90" spans="1:23" s="449" customFormat="1" ht="12.6" customHeight="1">
      <c r="B90" s="449" t="s">
        <v>1735</v>
      </c>
      <c r="G90" s="1418">
        <v>6500</v>
      </c>
      <c r="H90" s="1419"/>
      <c r="J90" s="515"/>
      <c r="K90" s="515"/>
      <c r="L90" s="530"/>
      <c r="M90" s="515"/>
      <c r="N90" s="515"/>
      <c r="P90" s="515"/>
      <c r="Q90" s="515"/>
      <c r="S90" s="1418">
        <f t="shared" si="0"/>
        <v>6500</v>
      </c>
      <c r="T90" s="1419"/>
      <c r="V90" s="1462"/>
      <c r="W90" s="1463"/>
    </row>
    <row r="91" spans="1:23" s="449" customFormat="1" ht="12.6" customHeight="1">
      <c r="B91" s="449" t="s">
        <v>3953</v>
      </c>
      <c r="G91" s="1418">
        <v>1500</v>
      </c>
      <c r="H91" s="1419"/>
      <c r="J91" s="515"/>
      <c r="K91" s="515"/>
      <c r="L91" s="530"/>
      <c r="M91" s="515"/>
      <c r="N91" s="515"/>
      <c r="O91" s="833"/>
      <c r="P91" s="515"/>
      <c r="Q91" s="515"/>
      <c r="S91" s="1418">
        <f t="shared" si="0"/>
        <v>1500</v>
      </c>
      <c r="T91" s="1419"/>
      <c r="V91" s="1462"/>
      <c r="W91" s="1463"/>
    </row>
    <row r="92" spans="1:23" s="449" customFormat="1" ht="12.6" customHeight="1">
      <c r="B92" s="449" t="s">
        <v>754</v>
      </c>
      <c r="E92" s="1032">
        <f>'DCA Underwriting Assumptions'!$Q$41*$J$165</f>
        <v>33377.919999999998</v>
      </c>
      <c r="F92" s="1033"/>
      <c r="G92" s="1418">
        <v>33378</v>
      </c>
      <c r="H92" s="1419"/>
      <c r="J92" s="515"/>
      <c r="K92" s="515"/>
      <c r="L92" s="843"/>
      <c r="M92" s="515"/>
      <c r="N92" s="515"/>
      <c r="O92" s="833"/>
      <c r="P92" s="515"/>
      <c r="Q92" s="515"/>
      <c r="S92" s="1418">
        <f t="shared" si="0"/>
        <v>33378</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38400</v>
      </c>
      <c r="F93" s="1033"/>
      <c r="G93" s="1418">
        <v>38400</v>
      </c>
      <c r="H93" s="1419"/>
      <c r="J93" s="416"/>
      <c r="K93" s="416"/>
      <c r="L93" s="416"/>
      <c r="M93" s="416"/>
      <c r="N93" s="416"/>
      <c r="O93" s="416"/>
      <c r="P93" s="416"/>
      <c r="Q93" s="416"/>
      <c r="S93" s="1418">
        <f t="shared" si="0"/>
        <v>38400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80778</v>
      </c>
      <c r="H98" s="1016"/>
      <c r="J98" s="515"/>
      <c r="K98" s="515"/>
      <c r="L98" s="843"/>
      <c r="M98" s="515"/>
      <c r="N98" s="515"/>
      <c r="P98" s="515"/>
      <c r="Q98" s="515"/>
      <c r="S98" s="1015">
        <f>SUM(S89:T97)</f>
        <v>80778</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3000</v>
      </c>
      <c r="H100" s="1419"/>
      <c r="J100" s="1009"/>
      <c r="K100" s="1009"/>
      <c r="L100" s="843"/>
      <c r="M100" s="1009"/>
      <c r="N100" s="1009"/>
      <c r="O100" s="833"/>
      <c r="P100" s="1009"/>
      <c r="Q100" s="1009"/>
      <c r="S100" s="1418">
        <f t="shared" ref="S100:S101" si="1">G100-P100</f>
        <v>3000</v>
      </c>
      <c r="T100" s="1419"/>
      <c r="V100" s="1460"/>
      <c r="W100" s="1461"/>
    </row>
    <row r="101" spans="1:23" s="449" customFormat="1" ht="12.6" customHeight="1">
      <c r="B101" s="449" t="s">
        <v>346</v>
      </c>
      <c r="G101" s="1418">
        <v>3000</v>
      </c>
      <c r="H101" s="1419"/>
      <c r="J101" s="1009"/>
      <c r="K101" s="1009"/>
      <c r="L101" s="843"/>
      <c r="M101" s="1009"/>
      <c r="N101" s="1009"/>
      <c r="O101" s="833"/>
      <c r="P101" s="1009"/>
      <c r="Q101" s="1009"/>
      <c r="S101" s="1418">
        <f t="shared" si="1"/>
        <v>3000</v>
      </c>
      <c r="T101" s="1419"/>
      <c r="V101" s="1462"/>
      <c r="W101" s="1463"/>
    </row>
    <row r="102" spans="1:23" s="449" customFormat="1" ht="12.6" customHeight="1">
      <c r="B102" s="449" t="s">
        <v>3359</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6000</v>
      </c>
      <c r="H104" s="1016"/>
      <c r="J104" s="1009"/>
      <c r="K104" s="1009"/>
      <c r="L104" s="843"/>
      <c r="M104" s="1009"/>
      <c r="N104" s="1009"/>
      <c r="O104" s="833"/>
      <c r="P104" s="1009"/>
      <c r="Q104" s="1009"/>
      <c r="S104" s="1015">
        <f>SUM(S100:T103)</f>
        <v>6000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0.50000064210322193</v>
      </c>
      <c r="G106" s="1418">
        <v>389346</v>
      </c>
      <c r="H106" s="1419"/>
      <c r="J106" s="1418"/>
      <c r="K106" s="1419"/>
      <c r="L106" s="514"/>
      <c r="M106" s="1418">
        <v>9975</v>
      </c>
      <c r="N106" s="1419"/>
      <c r="P106" s="1418">
        <f>G106-M106</f>
        <v>379371</v>
      </c>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0.49999935789677807</v>
      </c>
      <c r="G108" s="1418">
        <v>389345</v>
      </c>
      <c r="H108" s="1419"/>
      <c r="J108" s="1418"/>
      <c r="K108" s="1419"/>
      <c r="L108" s="843"/>
      <c r="M108" s="1418">
        <v>9975</v>
      </c>
      <c r="N108" s="1419"/>
      <c r="P108" s="1418">
        <f>G108-M108</f>
        <v>379370</v>
      </c>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778691</v>
      </c>
      <c r="H109" s="1016"/>
      <c r="J109" s="1015">
        <f>SUM(J106:K108)</f>
        <v>0</v>
      </c>
      <c r="K109" s="1016"/>
      <c r="L109" s="843"/>
      <c r="M109" s="1015">
        <f>SUM(M106:N108)</f>
        <v>19950</v>
      </c>
      <c r="N109" s="1016"/>
      <c r="P109" s="1015">
        <f>SUM(P106:Q108)</f>
        <v>758741</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15600</v>
      </c>
      <c r="H111" s="1419"/>
      <c r="J111" s="531"/>
      <c r="K111" s="531"/>
      <c r="L111" s="531"/>
      <c r="M111" s="531"/>
      <c r="N111" s="531"/>
      <c r="P111" s="531"/>
      <c r="Q111" s="531"/>
      <c r="S111" s="1418">
        <f t="shared" ref="S111:S113" si="2">G111-P111</f>
        <v>15600</v>
      </c>
      <c r="T111" s="1419"/>
      <c r="V111" s="1460"/>
      <c r="W111" s="1461"/>
    </row>
    <row r="112" spans="1:23" s="449" customFormat="1" ht="12.6" customHeight="1">
      <c r="B112" s="449" t="s">
        <v>2137</v>
      </c>
      <c r="G112" s="1418">
        <v>44337</v>
      </c>
      <c r="H112" s="1419"/>
      <c r="J112" s="1009"/>
      <c r="K112" s="1009"/>
      <c r="L112" s="843"/>
      <c r="M112" s="1009"/>
      <c r="N112" s="1009"/>
      <c r="O112" s="833"/>
      <c r="P112" s="1009"/>
      <c r="Q112" s="1009"/>
      <c r="R112" s="833"/>
      <c r="S112" s="1418">
        <f t="shared" si="2"/>
        <v>44337</v>
      </c>
      <c r="T112" s="1419"/>
      <c r="V112" s="1462"/>
      <c r="W112" s="1463"/>
    </row>
    <row r="113" spans="1:23" s="449" customFormat="1" ht="12.6" customHeight="1">
      <c r="B113" s="449" t="s">
        <v>948</v>
      </c>
      <c r="F113" s="472"/>
      <c r="G113" s="1418">
        <v>109982</v>
      </c>
      <c r="H113" s="1419"/>
      <c r="J113" s="530"/>
      <c r="K113" s="530"/>
      <c r="L113" s="530"/>
      <c r="M113" s="530"/>
      <c r="N113" s="530"/>
      <c r="O113" s="833"/>
      <c r="P113" s="530"/>
      <c r="Q113" s="530"/>
      <c r="R113" s="833"/>
      <c r="S113" s="1418">
        <f t="shared" si="2"/>
        <v>109982</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1250</v>
      </c>
      <c r="G115" s="1418">
        <v>60000</v>
      </c>
      <c r="H115" s="1419"/>
      <c r="J115" s="1418"/>
      <c r="K115" s="1419"/>
      <c r="L115" s="843"/>
      <c r="M115" s="1418"/>
      <c r="N115" s="1419"/>
      <c r="P115" s="1418">
        <v>60000</v>
      </c>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229919</v>
      </c>
      <c r="H117" s="1016"/>
      <c r="J117" s="1015">
        <f>SUM(J115:K116)</f>
        <v>0</v>
      </c>
      <c r="K117" s="1016"/>
      <c r="L117" s="843"/>
      <c r="M117" s="1015">
        <f>SUM(M115:N116)</f>
        <v>0</v>
      </c>
      <c r="N117" s="1016"/>
      <c r="P117" s="1015">
        <f>SUM(P115:Q116)</f>
        <v>60000</v>
      </c>
      <c r="Q117" s="1016"/>
      <c r="S117" s="1015">
        <f>SUM(S111:T116)</f>
        <v>169919</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6267476</v>
      </c>
      <c r="H123" s="1049"/>
      <c r="J123" s="1048">
        <f>J17+J23+J27+J32+J36+J42+J57+J69+J75+J84+J98+J104+J109+J117+J121</f>
        <v>0</v>
      </c>
      <c r="K123" s="1049"/>
      <c r="M123" s="1048">
        <f>M17+M23+M27+M32+M36+M42+M57+M69+M75+M84+M98+M104+M109+M117+M121</f>
        <v>134064</v>
      </c>
      <c r="N123" s="1049"/>
      <c r="P123" s="1048">
        <f>P17+P23+P27+P32+P36+P42+P57+P69+P75+P84+P98+P104+P109+P117+P121</f>
        <v>5520329</v>
      </c>
      <c r="Q123" s="1049"/>
      <c r="S123" s="1048">
        <f>S17+S23+S27+S32+S36+S42+S57+S69+S75+S84+S98+S104+S109+S117+S121</f>
        <v>613083</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6297904</v>
      </c>
      <c r="E125" s="1075"/>
      <c r="F125" s="452" t="s">
        <v>957</v>
      </c>
      <c r="G125" s="1053">
        <f>G123/'Part VI-Revenues &amp; Expenses'!$M$62</f>
        <v>130572.41666666667</v>
      </c>
      <c r="H125" s="1054"/>
      <c r="I125" s="533"/>
      <c r="J125" s="456" t="s">
        <v>958</v>
      </c>
      <c r="M125" s="1053">
        <f>G123/'Part VI-Revenues &amp; Expenses'!$M$100</f>
        <v>168.48053763440859</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0</v>
      </c>
      <c r="K140" s="1035"/>
      <c r="M140" s="1050">
        <f>M123</f>
        <v>134064</v>
      </c>
      <c r="N140" s="1051"/>
      <c r="P140" s="1034">
        <f>P123</f>
        <v>5520329</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0</v>
      </c>
      <c r="K142" s="1037"/>
      <c r="M142" s="1036">
        <f>M140</f>
        <v>134064</v>
      </c>
      <c r="N142" s="1037"/>
      <c r="P142" s="1036">
        <f>P140-P141</f>
        <v>5520329</v>
      </c>
      <c r="Q142" s="1037"/>
      <c r="V142" s="1462"/>
      <c r="W142" s="1463"/>
    </row>
    <row r="143" spans="2:23" s="449" customFormat="1" ht="13.9" customHeight="1">
      <c r="B143" s="449" t="s">
        <v>2080</v>
      </c>
      <c r="G143" s="830" t="s">
        <v>2563</v>
      </c>
      <c r="H143" s="1286" t="s">
        <v>4080</v>
      </c>
      <c r="I143" s="1287"/>
      <c r="J143" s="1469"/>
      <c r="K143" s="1470"/>
      <c r="M143" s="1052"/>
      <c r="N143" s="1052"/>
      <c r="P143" s="1469">
        <v>1</v>
      </c>
      <c r="Q143" s="1470"/>
      <c r="V143" s="1462"/>
      <c r="W143" s="1463"/>
    </row>
    <row r="144" spans="2:23" s="449" customFormat="1" ht="13.9" customHeight="1">
      <c r="B144" s="449" t="s">
        <v>2942</v>
      </c>
      <c r="J144" s="1036">
        <f>J142*J143</f>
        <v>0</v>
      </c>
      <c r="K144" s="1037"/>
      <c r="M144" s="1036">
        <f>+M142</f>
        <v>134064</v>
      </c>
      <c r="N144" s="1037"/>
      <c r="P144" s="1036">
        <f>P142*P143</f>
        <v>5520329</v>
      </c>
      <c r="Q144" s="1037"/>
      <c r="V144" s="1462"/>
      <c r="W144" s="1463"/>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2930</v>
      </c>
      <c r="J146" s="1036">
        <f>J144*J145</f>
        <v>0</v>
      </c>
      <c r="K146" s="1037"/>
      <c r="M146" s="1036">
        <f>M144*M145</f>
        <v>134064</v>
      </c>
      <c r="N146" s="1037"/>
      <c r="P146" s="1036">
        <f>P144*P145</f>
        <v>5520329</v>
      </c>
      <c r="Q146" s="1037"/>
      <c r="V146" s="1462"/>
      <c r="W146" s="1463"/>
    </row>
    <row r="147" spans="1:23" s="449" customFormat="1" ht="13.9" customHeight="1">
      <c r="B147" s="449" t="s">
        <v>2931</v>
      </c>
      <c r="J147" s="1469"/>
      <c r="K147" s="1470"/>
      <c r="M147" s="1469">
        <v>3.2099999999999997E-2</v>
      </c>
      <c r="N147" s="1470"/>
      <c r="P147" s="1469">
        <v>7.4800000000000005E-2</v>
      </c>
      <c r="Q147" s="1470"/>
      <c r="V147" s="1462"/>
      <c r="W147" s="1463"/>
    </row>
    <row r="148" spans="1:23" s="449" customFormat="1" ht="13.9" customHeight="1" thickBot="1">
      <c r="B148" s="449" t="s">
        <v>3567</v>
      </c>
      <c r="J148" s="1046">
        <f>J146*J147</f>
        <v>0</v>
      </c>
      <c r="K148" s="1047"/>
      <c r="M148" s="1046">
        <f>M146*M147</f>
        <v>4303.4543999999996</v>
      </c>
      <c r="N148" s="1047"/>
      <c r="P148" s="1046">
        <f>P146*P147</f>
        <v>412920.60920000001</v>
      </c>
      <c r="Q148" s="1047"/>
      <c r="V148" s="1462"/>
      <c r="W148" s="1463"/>
    </row>
    <row r="149" spans="1:23" s="449" customFormat="1" ht="13.9" customHeight="1" thickBot="1">
      <c r="B149" s="452" t="s">
        <v>2004</v>
      </c>
      <c r="J149" s="978">
        <f>J148+M148+P148</f>
        <v>417224.06359999999</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6267476</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v>6267476</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1626500</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4640976</v>
      </c>
      <c r="K155" s="1040"/>
      <c r="L155" s="1040"/>
      <c r="M155" s="1073" t="s">
        <v>3887</v>
      </c>
      <c r="N155" s="1473"/>
      <c r="O155" s="1473"/>
      <c r="P155" s="1473"/>
      <c r="Q155" s="1473"/>
      <c r="R155" s="1474"/>
      <c r="S155" s="649" t="s">
        <v>2493</v>
      </c>
      <c r="T155" s="1475" t="s">
        <v>3982</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3982</v>
      </c>
      <c r="V156" s="1462"/>
      <c r="W156" s="1463"/>
    </row>
    <row r="157" spans="1:23" s="449" customFormat="1" ht="13.9" customHeight="1">
      <c r="B157" s="449" t="s">
        <v>1854</v>
      </c>
      <c r="J157" s="1036">
        <f>J155/10</f>
        <v>464097.6</v>
      </c>
      <c r="K157" s="1040"/>
      <c r="L157" s="1037"/>
      <c r="M157" s="472"/>
      <c r="N157" s="888" t="s">
        <v>1855</v>
      </c>
      <c r="O157" s="888"/>
      <c r="Q157" s="888" t="s">
        <v>2655</v>
      </c>
      <c r="R157" s="888"/>
      <c r="V157" s="1462"/>
      <c r="W157" s="1463"/>
    </row>
    <row r="158" spans="1:23" s="449" customFormat="1" ht="13.9" customHeight="1" thickBot="1">
      <c r="B158" s="449" t="s">
        <v>2079</v>
      </c>
      <c r="J158" s="1059">
        <f>N158+Q158</f>
        <v>1.0998907060000001</v>
      </c>
      <c r="K158" s="1060"/>
      <c r="L158" s="1061"/>
      <c r="M158" s="830" t="s">
        <v>1856</v>
      </c>
      <c r="N158" s="1477">
        <v>0.84991563299999995</v>
      </c>
      <c r="O158" s="1478"/>
      <c r="P158" s="830" t="s">
        <v>868</v>
      </c>
      <c r="Q158" s="1477">
        <v>0.24997507299999999</v>
      </c>
      <c r="R158" s="1478"/>
      <c r="V158" s="1462"/>
      <c r="W158" s="1463"/>
    </row>
    <row r="159" spans="1:23" s="449" customFormat="1" ht="13.9" customHeight="1" thickBot="1">
      <c r="B159" s="452" t="s">
        <v>2005</v>
      </c>
      <c r="J159" s="978">
        <f>IF(J158=0,"",J157/J158)</f>
        <v>421948.83315979212</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417224.06359999999</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417224</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417224</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4091</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3965</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2012-016 Monroe Elementary Apartments, Monroe, Walton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87" t="s">
        <v>4030</v>
      </c>
      <c r="J5" s="1488"/>
      <c r="K5" s="1488"/>
      <c r="L5" s="1488"/>
      <c r="M5" s="1489"/>
    </row>
    <row r="6" spans="1:20" s="9" customFormat="1" ht="13.15" customHeight="1">
      <c r="A6" s="16"/>
      <c r="F6" s="9" t="s">
        <v>895</v>
      </c>
      <c r="H6" s="31"/>
      <c r="I6" s="1490">
        <v>40695</v>
      </c>
      <c r="J6" s="1491"/>
      <c r="K6" s="74" t="s">
        <v>776</v>
      </c>
      <c r="L6" s="1492" t="s">
        <v>3645</v>
      </c>
      <c r="M6" s="1493"/>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4" t="s">
        <v>4031</v>
      </c>
      <c r="E10" s="1495"/>
      <c r="F10" s="1496" t="s">
        <v>612</v>
      </c>
      <c r="G10" s="1496"/>
      <c r="H10" s="343"/>
      <c r="I10" s="1497"/>
      <c r="J10" s="1497">
        <v>7</v>
      </c>
      <c r="K10" s="1497">
        <v>9</v>
      </c>
      <c r="L10" s="1497"/>
      <c r="M10" s="1497"/>
    </row>
    <row r="11" spans="1:20" s="9" customFormat="1">
      <c r="B11" s="344" t="s">
        <v>644</v>
      </c>
      <c r="C11" s="345"/>
      <c r="D11" s="344" t="s">
        <v>2204</v>
      </c>
      <c r="E11" s="345"/>
      <c r="F11" s="1498" t="s">
        <v>612</v>
      </c>
      <c r="G11" s="1498"/>
      <c r="H11" s="346"/>
      <c r="I11" s="1499"/>
      <c r="J11" s="1499">
        <v>32</v>
      </c>
      <c r="K11" s="1499">
        <v>41</v>
      </c>
      <c r="L11" s="1500"/>
      <c r="M11" s="1500"/>
    </row>
    <row r="12" spans="1:20" s="9" customFormat="1">
      <c r="B12" s="344" t="s">
        <v>2205</v>
      </c>
      <c r="C12" s="345"/>
      <c r="D12" s="1501" t="s">
        <v>2204</v>
      </c>
      <c r="E12" s="1502"/>
      <c r="F12" s="1498" t="s">
        <v>612</v>
      </c>
      <c r="G12" s="1498"/>
      <c r="H12" s="346"/>
      <c r="I12" s="1499"/>
      <c r="J12" s="1499">
        <v>9</v>
      </c>
      <c r="K12" s="1499">
        <v>12</v>
      </c>
      <c r="L12" s="1500"/>
      <c r="M12" s="1500"/>
    </row>
    <row r="13" spans="1:20" s="9" customFormat="1">
      <c r="B13" s="344" t="s">
        <v>2206</v>
      </c>
      <c r="C13" s="345"/>
      <c r="D13" s="1501" t="s">
        <v>2204</v>
      </c>
      <c r="E13" s="1502"/>
      <c r="F13" s="1498" t="s">
        <v>612</v>
      </c>
      <c r="G13" s="1498"/>
      <c r="H13" s="346"/>
      <c r="I13" s="1499"/>
      <c r="J13" s="1499">
        <v>28</v>
      </c>
      <c r="K13" s="1499">
        <v>36</v>
      </c>
      <c r="L13" s="1500"/>
      <c r="M13" s="1500"/>
    </row>
    <row r="14" spans="1:20" s="9" customFormat="1">
      <c r="B14" s="344" t="s">
        <v>2207</v>
      </c>
      <c r="C14" s="345"/>
      <c r="D14" s="344" t="s">
        <v>2204</v>
      </c>
      <c r="E14" s="347"/>
      <c r="F14" s="1498" t="s">
        <v>612</v>
      </c>
      <c r="G14" s="1498"/>
      <c r="H14" s="346"/>
      <c r="I14" s="1499"/>
      <c r="J14" s="1499">
        <v>26</v>
      </c>
      <c r="K14" s="1499">
        <v>33</v>
      </c>
      <c r="L14" s="1500"/>
      <c r="M14" s="1500"/>
    </row>
    <row r="15" spans="1:20" s="9" customFormat="1">
      <c r="B15" s="344" t="s">
        <v>1938</v>
      </c>
      <c r="C15" s="345"/>
      <c r="D15" s="344" t="s">
        <v>3135</v>
      </c>
      <c r="E15" s="1503" t="s">
        <v>3984</v>
      </c>
      <c r="F15" s="1498" t="s">
        <v>612</v>
      </c>
      <c r="G15" s="1498"/>
      <c r="H15" s="346"/>
      <c r="I15" s="1499"/>
      <c r="J15" s="1499">
        <v>50</v>
      </c>
      <c r="K15" s="1499">
        <v>64</v>
      </c>
      <c r="L15" s="1500"/>
      <c r="M15" s="1500"/>
    </row>
    <row r="16" spans="1:20" s="9" customFormat="1">
      <c r="B16" s="348" t="s">
        <v>2722</v>
      </c>
      <c r="C16" s="349"/>
      <c r="D16" s="348"/>
      <c r="E16" s="315"/>
      <c r="F16" s="1504"/>
      <c r="G16" s="1504" t="s">
        <v>612</v>
      </c>
      <c r="H16" s="350"/>
      <c r="I16" s="1505"/>
      <c r="J16" s="1505"/>
      <c r="K16" s="1505"/>
      <c r="L16" s="1506"/>
      <c r="M16" s="1506"/>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507"/>
      <c r="K19" s="1507"/>
      <c r="L19" s="1507"/>
      <c r="M19" s="1493"/>
    </row>
    <row r="20" spans="1:19" s="9" customFormat="1" ht="13.15" customHeight="1">
      <c r="A20" s="16"/>
      <c r="B20" s="16"/>
      <c r="F20" s="9" t="s">
        <v>895</v>
      </c>
      <c r="H20" s="31"/>
      <c r="I20" s="1508"/>
      <c r="J20" s="1509"/>
      <c r="K20" s="74" t="s">
        <v>776</v>
      </c>
      <c r="L20" s="1492"/>
      <c r="M20" s="1493"/>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4" t="s">
        <v>2684</v>
      </c>
      <c r="E24" s="1495"/>
      <c r="F24" s="1496"/>
      <c r="G24" s="1496"/>
      <c r="H24" s="343"/>
      <c r="I24" s="1497"/>
      <c r="J24" s="1497"/>
      <c r="K24" s="1497"/>
      <c r="L24" s="1497"/>
      <c r="M24" s="1497"/>
    </row>
    <row r="25" spans="1:19" s="9" customFormat="1">
      <c r="B25" s="344" t="s">
        <v>644</v>
      </c>
      <c r="C25" s="345"/>
      <c r="D25" s="344" t="s">
        <v>2204</v>
      </c>
      <c r="E25" s="345"/>
      <c r="F25" s="1498"/>
      <c r="G25" s="1498"/>
      <c r="H25" s="346"/>
      <c r="I25" s="1499"/>
      <c r="J25" s="1499"/>
      <c r="K25" s="1499"/>
      <c r="L25" s="1500"/>
      <c r="M25" s="1500"/>
    </row>
    <row r="26" spans="1:19" s="9" customFormat="1">
      <c r="B26" s="344" t="s">
        <v>2205</v>
      </c>
      <c r="C26" s="345"/>
      <c r="D26" s="1501" t="s">
        <v>2684</v>
      </c>
      <c r="E26" s="1502"/>
      <c r="F26" s="1498"/>
      <c r="G26" s="1498"/>
      <c r="H26" s="346"/>
      <c r="I26" s="1499"/>
      <c r="J26" s="1499"/>
      <c r="K26" s="1499"/>
      <c r="L26" s="1500"/>
      <c r="M26" s="1500"/>
    </row>
    <row r="27" spans="1:19" s="9" customFormat="1">
      <c r="B27" s="344" t="s">
        <v>2206</v>
      </c>
      <c r="C27" s="345"/>
      <c r="D27" s="1501" t="s">
        <v>2684</v>
      </c>
      <c r="E27" s="1502"/>
      <c r="F27" s="1498"/>
      <c r="G27" s="1498"/>
      <c r="H27" s="346"/>
      <c r="I27" s="1499"/>
      <c r="J27" s="1499"/>
      <c r="K27" s="1499"/>
      <c r="L27" s="1500"/>
      <c r="M27" s="1500"/>
    </row>
    <row r="28" spans="1:19" s="9" customFormat="1">
      <c r="B28" s="344" t="s">
        <v>2207</v>
      </c>
      <c r="C28" s="345"/>
      <c r="D28" s="344" t="s">
        <v>2204</v>
      </c>
      <c r="E28" s="347"/>
      <c r="F28" s="1498"/>
      <c r="G28" s="1498"/>
      <c r="H28" s="346"/>
      <c r="I28" s="1499"/>
      <c r="J28" s="1499"/>
      <c r="K28" s="1499"/>
      <c r="L28" s="1500"/>
      <c r="M28" s="1500"/>
    </row>
    <row r="29" spans="1:19" s="9" customFormat="1">
      <c r="B29" s="344" t="s">
        <v>1938</v>
      </c>
      <c r="C29" s="345"/>
      <c r="D29" s="344" t="s">
        <v>3135</v>
      </c>
      <c r="E29" s="1503" t="s">
        <v>240</v>
      </c>
      <c r="F29" s="1498"/>
      <c r="G29" s="1498"/>
      <c r="H29" s="346"/>
      <c r="I29" s="1499"/>
      <c r="J29" s="1499"/>
      <c r="K29" s="1499"/>
      <c r="L29" s="1500"/>
      <c r="M29" s="1500"/>
    </row>
    <row r="30" spans="1:19" s="9" customFormat="1">
      <c r="B30" s="348" t="s">
        <v>2722</v>
      </c>
      <c r="C30" s="349"/>
      <c r="D30" s="348"/>
      <c r="E30" s="315"/>
      <c r="F30" s="1504"/>
      <c r="G30" s="1504"/>
      <c r="H30" s="350"/>
      <c r="I30" s="1505"/>
      <c r="J30" s="1505"/>
      <c r="K30" s="1505"/>
      <c r="L30" s="1506"/>
      <c r="M30" s="1506"/>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0" t="s">
        <v>4068</v>
      </c>
      <c r="C36" s="1511"/>
      <c r="D36" s="1511"/>
      <c r="E36" s="1511"/>
      <c r="F36" s="1511"/>
      <c r="G36" s="1511"/>
      <c r="H36" s="1511"/>
      <c r="I36" s="1511"/>
      <c r="J36" s="1511"/>
      <c r="K36" s="1511"/>
      <c r="L36" s="1511"/>
      <c r="M36" s="1512"/>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3"/>
      <c r="C39" s="1514"/>
      <c r="D39" s="1514"/>
      <c r="E39" s="1514"/>
      <c r="F39" s="1514"/>
      <c r="G39" s="1514"/>
      <c r="H39" s="1514"/>
      <c r="I39" s="1514"/>
      <c r="J39" s="1514"/>
      <c r="K39" s="1514"/>
      <c r="L39" s="1514"/>
      <c r="M39" s="1515"/>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2012-06-14T03:08:28Z</cp:lastPrinted>
  <dcterms:created xsi:type="dcterms:W3CDTF">2005-09-15T20:51:37Z</dcterms:created>
  <dcterms:modified xsi:type="dcterms:W3CDTF">2012-07-31T22:00:56Z</dcterms:modified>
</cp:coreProperties>
</file>