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5775" tabRatio="908"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S25" i="15"/>
  <c r="B63" i="8"/>
  <c r="C63"/>
  <c r="D63"/>
  <c r="E63"/>
  <c r="F63"/>
  <c r="G63"/>
  <c r="H63"/>
  <c r="I63"/>
  <c r="J63"/>
  <c r="K63"/>
  <c r="B32" i="3" l="1"/>
  <c r="P2751" i="35"/>
  <c r="H2603"/>
  <c r="Q2135"/>
  <c r="R1726"/>
  <c r="R1727"/>
  <c r="R1728"/>
  <c r="R1729"/>
  <c r="R1730"/>
  <c r="R1731"/>
  <c r="R1732"/>
  <c r="R1733"/>
  <c r="R1734"/>
  <c r="R1735"/>
  <c r="Q21" i="36"/>
  <c r="R1736" i="35"/>
  <c r="Q22" i="36"/>
  <c r="R1737" i="35"/>
  <c r="Q23" i="36"/>
  <c r="R1738" i="35"/>
  <c r="R1739"/>
  <c r="Q25" i="36"/>
  <c r="R1740" i="35"/>
  <c r="Q26" i="36"/>
  <c r="R1741" i="35"/>
  <c r="Q27" i="36"/>
  <c r="R1742" i="35"/>
  <c r="Q28" i="36"/>
  <c r="R1743" i="35"/>
  <c r="Q29" i="36"/>
  <c r="R1744" i="35"/>
  <c r="Q30" i="36"/>
  <c r="R1745" i="35"/>
  <c r="Q31" i="36"/>
  <c r="R1746" i="35"/>
  <c r="Q32" i="36"/>
  <c r="R1747" i="35"/>
  <c r="Q33" i="36"/>
  <c r="R1748" i="35"/>
  <c r="Q34" i="36"/>
  <c r="R1749" i="35"/>
  <c r="Q35" i="36"/>
  <c r="R1750" i="35"/>
  <c r="Q36" i="36"/>
  <c r="R1751" i="35"/>
  <c r="Q37" i="36"/>
  <c r="R1752" i="35"/>
  <c r="Q38" i="36"/>
  <c r="R1753" i="35"/>
  <c r="Q39" i="36"/>
  <c r="R1754" i="35"/>
  <c r="Q40" i="36"/>
  <c r="R1755" i="35"/>
  <c r="Q41" i="36"/>
  <c r="R1756" i="35"/>
  <c r="Q42" i="36"/>
  <c r="R1757" i="35"/>
  <c r="Q43" i="36"/>
  <c r="R1758" i="35"/>
  <c r="Q44" i="36"/>
  <c r="R1759" i="35"/>
  <c r="Q45" i="36"/>
  <c r="R1760" i="35"/>
  <c r="Q46" i="36"/>
  <c r="R1761" i="35"/>
  <c r="Q47" i="36"/>
  <c r="R1762" i="35"/>
  <c r="R1725"/>
  <c r="C1632"/>
  <c r="M64"/>
  <c r="F53"/>
  <c r="A2817"/>
  <c r="A2815"/>
  <c r="A2813"/>
  <c r="A2811"/>
  <c r="A2809"/>
  <c r="A2807"/>
  <c r="A2805"/>
  <c r="A2803"/>
  <c r="A2801"/>
  <c r="A2799"/>
  <c r="A2797"/>
  <c r="A2795"/>
  <c r="A2781"/>
  <c r="P2775"/>
  <c r="P2771" s="1"/>
  <c r="O2775"/>
  <c r="O2771" s="1"/>
  <c r="L2771" s="1"/>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L2739" s="1"/>
  <c r="P2737"/>
  <c r="O2737"/>
  <c r="O2725"/>
  <c r="P2725"/>
  <c r="P2735"/>
  <c r="O2735"/>
  <c r="L2735" s="1"/>
  <c r="P2734"/>
  <c r="O2734"/>
  <c r="L2734" s="1"/>
  <c r="P2733"/>
  <c r="O2733"/>
  <c r="L2733" s="1"/>
  <c r="P2732"/>
  <c r="O2732"/>
  <c r="L2732" s="1"/>
  <c r="P2731"/>
  <c r="O2731"/>
  <c r="L2731" s="1"/>
  <c r="P2730"/>
  <c r="O2730"/>
  <c r="L2730" s="1"/>
  <c r="P2729"/>
  <c r="O2729"/>
  <c r="L2729" s="1"/>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L2705" s="1"/>
  <c r="P2693"/>
  <c r="O2693"/>
  <c r="P2692"/>
  <c r="O2692"/>
  <c r="R2692" s="1"/>
  <c r="P2685"/>
  <c r="O2685"/>
  <c r="P2684"/>
  <c r="O2684"/>
  <c r="P2675"/>
  <c r="O2675"/>
  <c r="P2674"/>
  <c r="O2674"/>
  <c r="P2673"/>
  <c r="O2673"/>
  <c r="P2660"/>
  <c r="O2660"/>
  <c r="P2659"/>
  <c r="O2659"/>
  <c r="P2638"/>
  <c r="O2638"/>
  <c r="M2632"/>
  <c r="P2631" s="1"/>
  <c r="K2627"/>
  <c r="I2627"/>
  <c r="P2630"/>
  <c r="O2630"/>
  <c r="L2630" s="1"/>
  <c r="P2629"/>
  <c r="O2629"/>
  <c r="P2628"/>
  <c r="O2628"/>
  <c r="L2628" s="1"/>
  <c r="P2626"/>
  <c r="O2626"/>
  <c r="P2625"/>
  <c r="O2625"/>
  <c r="G2625" s="1"/>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M2605" s="1"/>
  <c r="P2600"/>
  <c r="O2600"/>
  <c r="M2600" s="1"/>
  <c r="P2599"/>
  <c r="O2599"/>
  <c r="P2598"/>
  <c r="O2598"/>
  <c r="M2598" s="1"/>
  <c r="P2595"/>
  <c r="O2595"/>
  <c r="P2594"/>
  <c r="O2594"/>
  <c r="M2594" s="1"/>
  <c r="P2593"/>
  <c r="O2593"/>
  <c r="P2591"/>
  <c r="O2591"/>
  <c r="M2591" s="1"/>
  <c r="P2590"/>
  <c r="O2590"/>
  <c r="P2589"/>
  <c r="O2589"/>
  <c r="M2589" s="1"/>
  <c r="O2576"/>
  <c r="P2576"/>
  <c r="O2577"/>
  <c r="P2577"/>
  <c r="A2580"/>
  <c r="A2583"/>
  <c r="A2572"/>
  <c r="A2582"/>
  <c r="A2571"/>
  <c r="A2579"/>
  <c r="A2569"/>
  <c r="P2575"/>
  <c r="O2575"/>
  <c r="P2559"/>
  <c r="O2559"/>
  <c r="P2557"/>
  <c r="O2557"/>
  <c r="P2585"/>
  <c r="P2574"/>
  <c r="P2566"/>
  <c r="O2566"/>
  <c r="P2556"/>
  <c r="O2556"/>
  <c r="N2556" s="1"/>
  <c r="I2585"/>
  <c r="I2574"/>
  <c r="I2567"/>
  <c r="I2558"/>
  <c r="O2549"/>
  <c r="P2549"/>
  <c r="A2564"/>
  <c r="A2554"/>
  <c r="A2543"/>
  <c r="A2544"/>
  <c r="A2539"/>
  <c r="A2540"/>
  <c r="A2563"/>
  <c r="A2553"/>
  <c r="A2542"/>
  <c r="A2561"/>
  <c r="A2551"/>
  <c r="A2538"/>
  <c r="L2535"/>
  <c r="L2533"/>
  <c r="O2534"/>
  <c r="P2534"/>
  <c r="O2535"/>
  <c r="P2535"/>
  <c r="A2528"/>
  <c r="J2524"/>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A2087" i="35"/>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M32"/>
  <c r="C23" i="8"/>
  <c r="F2022" i="35"/>
  <c r="E2022"/>
  <c r="D2022"/>
  <c r="C2022"/>
  <c r="B2022"/>
  <c r="K1987"/>
  <c r="J1987"/>
  <c r="I1987"/>
  <c r="H1987"/>
  <c r="G1987"/>
  <c r="F1987"/>
  <c r="E1987"/>
  <c r="D1987"/>
  <c r="C1987"/>
  <c r="B198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T1726" s="1"/>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BR1734" s="1"/>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O1652"/>
  <c r="M1652"/>
  <c r="J1649"/>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8"/>
  <c r="S1607"/>
  <c r="G1608"/>
  <c r="G1609"/>
  <c r="G1610"/>
  <c r="G1611"/>
  <c r="G1612"/>
  <c r="S1604"/>
  <c r="S1603"/>
  <c r="S1602"/>
  <c r="P1604"/>
  <c r="P1603"/>
  <c r="P1602"/>
  <c r="M1604"/>
  <c r="M1603"/>
  <c r="M1602"/>
  <c r="J1604"/>
  <c r="J1603"/>
  <c r="J1602"/>
  <c r="G1603"/>
  <c r="F1603" s="1"/>
  <c r="G1604"/>
  <c r="S1599"/>
  <c r="S1598"/>
  <c r="S1597"/>
  <c r="S1596"/>
  <c r="G1597"/>
  <c r="G1598"/>
  <c r="G1599"/>
  <c r="S1593"/>
  <c r="S1592"/>
  <c r="S1591"/>
  <c r="S1590"/>
  <c r="S1589"/>
  <c r="S1588"/>
  <c r="S1587"/>
  <c r="S1586"/>
  <c r="S1585"/>
  <c r="G1586"/>
  <c r="G1587"/>
  <c r="G1588"/>
  <c r="G1589"/>
  <c r="G1590"/>
  <c r="G1591"/>
  <c r="G1592"/>
  <c r="G1593"/>
  <c r="J1611"/>
  <c r="J1613" s="1"/>
  <c r="G1607"/>
  <c r="G1602"/>
  <c r="G1596"/>
  <c r="G1585"/>
  <c r="S1578"/>
  <c r="S1577"/>
  <c r="S1576"/>
  <c r="S1575"/>
  <c r="S1574"/>
  <c r="S1573"/>
  <c r="S1572"/>
  <c r="P1578"/>
  <c r="P1577"/>
  <c r="P1576"/>
  <c r="P1575"/>
  <c r="P1574"/>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U1563" s="1"/>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J1574"/>
  <c r="G1572"/>
  <c r="G1566"/>
  <c r="S1538"/>
  <c r="P1538"/>
  <c r="M1538"/>
  <c r="J1538"/>
  <c r="S1531"/>
  <c r="S1530"/>
  <c r="P1531"/>
  <c r="P1530"/>
  <c r="M1531"/>
  <c r="M1530"/>
  <c r="J1531"/>
  <c r="J1530"/>
  <c r="G1531"/>
  <c r="G1530"/>
  <c r="S1527"/>
  <c r="S1526"/>
  <c r="S1525"/>
  <c r="P1527"/>
  <c r="P1526"/>
  <c r="P1525"/>
  <c r="M1527"/>
  <c r="M1526"/>
  <c r="M1525"/>
  <c r="J1527"/>
  <c r="J1526"/>
  <c r="J1525"/>
  <c r="G1526"/>
  <c r="G1527"/>
  <c r="G1554"/>
  <c r="G1544"/>
  <c r="G1538"/>
  <c r="F1538" s="1"/>
  <c r="G1525"/>
  <c r="S1522"/>
  <c r="S1521"/>
  <c r="J1522"/>
  <c r="J1521"/>
  <c r="G1522"/>
  <c r="M1518"/>
  <c r="S1516"/>
  <c r="S1517"/>
  <c r="S1518"/>
  <c r="G1516"/>
  <c r="G1517"/>
  <c r="G1518"/>
  <c r="S1512"/>
  <c r="S1511"/>
  <c r="S1510"/>
  <c r="S1509"/>
  <c r="S1508"/>
  <c r="S1507"/>
  <c r="S1506"/>
  <c r="S1505"/>
  <c r="S1504"/>
  <c r="G1521"/>
  <c r="M1521"/>
  <c r="M1523" s="1"/>
  <c r="P1521"/>
  <c r="P1523" s="1"/>
  <c r="S1515"/>
  <c r="M1517"/>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A1510" s="1"/>
  <c r="G1511"/>
  <c r="G1512"/>
  <c r="G1504"/>
  <c r="M1519"/>
  <c r="P1605"/>
  <c r="J1652"/>
  <c r="O1614"/>
  <c r="O1606"/>
  <c r="F1604"/>
  <c r="O1601"/>
  <c r="O1595"/>
  <c r="E1588"/>
  <c r="O1584"/>
  <c r="O1571"/>
  <c r="O1565"/>
  <c r="A1563"/>
  <c r="O1553"/>
  <c r="O1543"/>
  <c r="O1537"/>
  <c r="E1531"/>
  <c r="F1531" s="1"/>
  <c r="E1530"/>
  <c r="F1530" s="1"/>
  <c r="O1529"/>
  <c r="O1524"/>
  <c r="O1520"/>
  <c r="O1514"/>
  <c r="U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M385"/>
  <c r="L32" i="3"/>
  <c r="K32"/>
  <c r="E385" i="3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58"/>
  <c r="P2691"/>
  <c r="P2727"/>
  <c r="P2719" s="1"/>
  <c r="P2762"/>
  <c r="O2500"/>
  <c r="O2631"/>
  <c r="O2624" s="1"/>
  <c r="O2658"/>
  <c r="O2683"/>
  <c r="O2691"/>
  <c r="L2699"/>
  <c r="O2762"/>
  <c r="M2786"/>
  <c r="R2764"/>
  <c r="R2763"/>
  <c r="L2763"/>
  <c r="R2751"/>
  <c r="L2751"/>
  <c r="R2739"/>
  <c r="R2735"/>
  <c r="R2734"/>
  <c r="R2733"/>
  <c r="R2732"/>
  <c r="R2731"/>
  <c r="R2730"/>
  <c r="R2729"/>
  <c r="R2728"/>
  <c r="L2726"/>
  <c r="L2721"/>
  <c r="L2720"/>
  <c r="L2719"/>
  <c r="R2693"/>
  <c r="L2692"/>
  <c r="R2685"/>
  <c r="L2685"/>
  <c r="R2684"/>
  <c r="L2684"/>
  <c r="L2675"/>
  <c r="L2674"/>
  <c r="A2671"/>
  <c r="A2670"/>
  <c r="L2668"/>
  <c r="R2660"/>
  <c r="L2660"/>
  <c r="R2659"/>
  <c r="L2638"/>
  <c r="L2629"/>
  <c r="L2625"/>
  <c r="M2616"/>
  <c r="M2615"/>
  <c r="M2614"/>
  <c r="M2613"/>
  <c r="M2611"/>
  <c r="M2610"/>
  <c r="M2609"/>
  <c r="M2608"/>
  <c r="M2607"/>
  <c r="M2601"/>
  <c r="M2599"/>
  <c r="M2595"/>
  <c r="M2593"/>
  <c r="M2590"/>
  <c r="M2577"/>
  <c r="M2576"/>
  <c r="L2549"/>
  <c r="L2548"/>
  <c r="L2534"/>
  <c r="R2523"/>
  <c r="L2523"/>
  <c r="K2509"/>
  <c r="G2503" s="1"/>
  <c r="A2493"/>
  <c r="O207" i="11"/>
  <c r="A2793" i="35"/>
  <c r="A2792"/>
  <c r="A2049"/>
  <c r="A2036"/>
  <c r="A2035"/>
  <c r="F2016"/>
  <c r="F2027" s="1"/>
  <c r="E2016"/>
  <c r="D2016"/>
  <c r="D2027" s="1"/>
  <c r="C2016"/>
  <c r="C2027" s="1"/>
  <c r="B2016"/>
  <c r="B2027" s="1"/>
  <c r="K1981"/>
  <c r="J1981"/>
  <c r="I1981"/>
  <c r="H1981"/>
  <c r="H1992" s="1"/>
  <c r="G1981"/>
  <c r="F1981"/>
  <c r="F1992" s="1"/>
  <c r="E1981"/>
  <c r="D1981"/>
  <c r="D1992" s="1"/>
  <c r="C1981"/>
  <c r="B1981"/>
  <c r="K1946"/>
  <c r="J1946"/>
  <c r="J1957" s="1"/>
  <c r="I1946"/>
  <c r="I1957" s="1"/>
  <c r="H1946"/>
  <c r="H1957" s="1"/>
  <c r="G1946"/>
  <c r="G1957" s="1"/>
  <c r="F1946"/>
  <c r="F1957" s="1"/>
  <c r="E1946"/>
  <c r="E1957" s="1"/>
  <c r="D1946"/>
  <c r="D1957" s="1"/>
  <c r="C1946"/>
  <c r="B1946"/>
  <c r="B1957" s="1"/>
  <c r="K1911"/>
  <c r="J1911"/>
  <c r="J1922" s="1"/>
  <c r="I1911"/>
  <c r="H1911"/>
  <c r="G1911"/>
  <c r="F1911"/>
  <c r="F1922" s="1"/>
  <c r="E1911"/>
  <c r="D1911"/>
  <c r="D1922" s="1"/>
  <c r="C1911"/>
  <c r="B1911"/>
  <c r="B1922" s="1"/>
  <c r="A2034"/>
  <c r="F2013"/>
  <c r="E2013"/>
  <c r="D2013"/>
  <c r="C2013"/>
  <c r="B2013"/>
  <c r="F2017"/>
  <c r="E2017"/>
  <c r="D2017"/>
  <c r="C2017"/>
  <c r="B2017"/>
  <c r="A1962"/>
  <c r="A1997"/>
  <c r="A2032"/>
  <c r="A1961"/>
  <c r="A1996"/>
  <c r="A2031"/>
  <c r="A1925"/>
  <c r="A1960" s="1"/>
  <c r="A1995" s="1"/>
  <c r="A2030" s="1"/>
  <c r="A1924"/>
  <c r="A1959" s="1"/>
  <c r="A1994" s="1"/>
  <c r="A2029" s="1"/>
  <c r="A1923"/>
  <c r="A1958" s="1"/>
  <c r="A1993" s="1"/>
  <c r="A2028" s="1"/>
  <c r="E2027"/>
  <c r="A1922"/>
  <c r="A1957" s="1"/>
  <c r="A1992" s="1"/>
  <c r="A2027" s="1"/>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15"/>
  <c r="F2026" s="1"/>
  <c r="E2007"/>
  <c r="E2015"/>
  <c r="E2026" s="1"/>
  <c r="D2007"/>
  <c r="D2015"/>
  <c r="D2026" s="1"/>
  <c r="C2007"/>
  <c r="C2015"/>
  <c r="C2026" s="1"/>
  <c r="B2007"/>
  <c r="B2015"/>
  <c r="B2026" s="1"/>
  <c r="A1951"/>
  <c r="A1986"/>
  <c r="A2021"/>
  <c r="A1950"/>
  <c r="A1985"/>
  <c r="A2020"/>
  <c r="A1914"/>
  <c r="A1949" s="1"/>
  <c r="A1984" s="1"/>
  <c r="A2019" s="1"/>
  <c r="A1913"/>
  <c r="A1948" s="1"/>
  <c r="A1983" s="1"/>
  <c r="A2018" s="1"/>
  <c r="A1912"/>
  <c r="A1947" s="1"/>
  <c r="A1982" s="1"/>
  <c r="A2017" s="1"/>
  <c r="A1911"/>
  <c r="A1946" s="1"/>
  <c r="A1981" s="1"/>
  <c r="A2016" s="1"/>
  <c r="F2014"/>
  <c r="E2014"/>
  <c r="D2014"/>
  <c r="C2014"/>
  <c r="B2014"/>
  <c r="F2012"/>
  <c r="E2012"/>
  <c r="D2012"/>
  <c r="C2012"/>
  <c r="B2012"/>
  <c r="F2008"/>
  <c r="F2009"/>
  <c r="E2008"/>
  <c r="E2009"/>
  <c r="D2008"/>
  <c r="D2009"/>
  <c r="C2008"/>
  <c r="C2009"/>
  <c r="B2008"/>
  <c r="B2009"/>
  <c r="A2001"/>
  <c r="A2000"/>
  <c r="A1999"/>
  <c r="K1978"/>
  <c r="J1978"/>
  <c r="I1978"/>
  <c r="H1978"/>
  <c r="G1978"/>
  <c r="F1978"/>
  <c r="E1978"/>
  <c r="D1978"/>
  <c r="C1978"/>
  <c r="B1978"/>
  <c r="K1982"/>
  <c r="J1982"/>
  <c r="I1982"/>
  <c r="H1982"/>
  <c r="G1982"/>
  <c r="F1982"/>
  <c r="E1982"/>
  <c r="D1982"/>
  <c r="C1982"/>
  <c r="B1982"/>
  <c r="J1992"/>
  <c r="B1992"/>
  <c r="K1972"/>
  <c r="K1980"/>
  <c r="K1991" s="1"/>
  <c r="J1972"/>
  <c r="J1980"/>
  <c r="J1991" s="1"/>
  <c r="I1972"/>
  <c r="I1980"/>
  <c r="I1991" s="1"/>
  <c r="H1972"/>
  <c r="H1980"/>
  <c r="H1991" s="1"/>
  <c r="G1972"/>
  <c r="G1980"/>
  <c r="G1991" s="1"/>
  <c r="F1972"/>
  <c r="F1980"/>
  <c r="F1991" s="1"/>
  <c r="E1972"/>
  <c r="E1980"/>
  <c r="E1991" s="1"/>
  <c r="D1972"/>
  <c r="D1980"/>
  <c r="D1991" s="1"/>
  <c r="C1972"/>
  <c r="C1980"/>
  <c r="C1991" s="1"/>
  <c r="B1972"/>
  <c r="B1980"/>
  <c r="B1991" s="1"/>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J1975"/>
  <c r="I1975"/>
  <c r="H1975"/>
  <c r="G1975"/>
  <c r="F1975"/>
  <c r="E1975"/>
  <c r="D1975"/>
  <c r="C1975"/>
  <c r="B1975"/>
  <c r="K1973"/>
  <c r="K1974"/>
  <c r="J1973"/>
  <c r="J1974"/>
  <c r="I1973"/>
  <c r="I1974"/>
  <c r="H1973"/>
  <c r="H1974"/>
  <c r="G1973"/>
  <c r="G1974"/>
  <c r="F1973"/>
  <c r="F1974"/>
  <c r="E1973"/>
  <c r="E1974"/>
  <c r="D1973"/>
  <c r="D1974"/>
  <c r="C1973"/>
  <c r="C1974"/>
  <c r="B1973"/>
  <c r="B1974"/>
  <c r="A1966"/>
  <c r="A1965"/>
  <c r="A1964"/>
  <c r="K1943"/>
  <c r="J1943"/>
  <c r="I1943"/>
  <c r="H1943"/>
  <c r="G1943"/>
  <c r="F1943"/>
  <c r="E1943"/>
  <c r="D1943"/>
  <c r="C1943"/>
  <c r="B1943"/>
  <c r="K1947"/>
  <c r="J1947"/>
  <c r="I1947"/>
  <c r="H1947"/>
  <c r="G1947"/>
  <c r="F1947"/>
  <c r="E1947"/>
  <c r="D1947"/>
  <c r="C1947"/>
  <c r="B1947"/>
  <c r="K1957"/>
  <c r="C1957"/>
  <c r="K1937"/>
  <c r="K1945"/>
  <c r="K1956" s="1"/>
  <c r="J1937"/>
  <c r="J1945"/>
  <c r="J1956" s="1"/>
  <c r="I1937"/>
  <c r="I1945"/>
  <c r="I1956" s="1"/>
  <c r="H1937"/>
  <c r="H1945"/>
  <c r="H1956" s="1"/>
  <c r="G1937"/>
  <c r="G1945"/>
  <c r="G1956" s="1"/>
  <c r="F1937"/>
  <c r="F1945"/>
  <c r="F1956" s="1"/>
  <c r="E1937"/>
  <c r="E1945"/>
  <c r="E1956" s="1"/>
  <c r="D1937"/>
  <c r="D1945"/>
  <c r="D1956" s="1"/>
  <c r="C1937"/>
  <c r="C1945"/>
  <c r="C1956" s="1"/>
  <c r="B1937"/>
  <c r="B1945"/>
  <c r="B1956" s="1"/>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K1939"/>
  <c r="J1938"/>
  <c r="J1939"/>
  <c r="I1938"/>
  <c r="I1939"/>
  <c r="H1938"/>
  <c r="H1939"/>
  <c r="G1938"/>
  <c r="G1939"/>
  <c r="F1938"/>
  <c r="F1939"/>
  <c r="E1938"/>
  <c r="E1939"/>
  <c r="D1938"/>
  <c r="D1939"/>
  <c r="C1938"/>
  <c r="C1939"/>
  <c r="B1938"/>
  <c r="B1939"/>
  <c r="A1931"/>
  <c r="A1930"/>
  <c r="A1929"/>
  <c r="K1908"/>
  <c r="J1908"/>
  <c r="I1908"/>
  <c r="H1908"/>
  <c r="G1908"/>
  <c r="F1908"/>
  <c r="E1908"/>
  <c r="D1908"/>
  <c r="C1908"/>
  <c r="B1908"/>
  <c r="K1912"/>
  <c r="J1912"/>
  <c r="I1912"/>
  <c r="H1912"/>
  <c r="G1912"/>
  <c r="F1912"/>
  <c r="E1912"/>
  <c r="D1912"/>
  <c r="C1912"/>
  <c r="B1912"/>
  <c r="H1922"/>
  <c r="K1902"/>
  <c r="K1910"/>
  <c r="K1921" s="1"/>
  <c r="J1902"/>
  <c r="J1910"/>
  <c r="J1921" s="1"/>
  <c r="I1902"/>
  <c r="I1910"/>
  <c r="I1921" s="1"/>
  <c r="H1902"/>
  <c r="H1910"/>
  <c r="H1921" s="1"/>
  <c r="G1902"/>
  <c r="G1910"/>
  <c r="G1921" s="1"/>
  <c r="F1902"/>
  <c r="F1910"/>
  <c r="F1921" s="1"/>
  <c r="E1902"/>
  <c r="E1910"/>
  <c r="E1921" s="1"/>
  <c r="D1902"/>
  <c r="D1910"/>
  <c r="D1921" s="1"/>
  <c r="C1902"/>
  <c r="C1910"/>
  <c r="C1921" s="1"/>
  <c r="B1902"/>
  <c r="B1903" s="1"/>
  <c r="B1904" s="1"/>
  <c r="B1905"/>
  <c r="B1906"/>
  <c r="B1907"/>
  <c r="B1909"/>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c r="J1903"/>
  <c r="J1904"/>
  <c r="I1903"/>
  <c r="I1904"/>
  <c r="H1903"/>
  <c r="H1904"/>
  <c r="G1903"/>
  <c r="G1904"/>
  <c r="F1903"/>
  <c r="F1904"/>
  <c r="E1903"/>
  <c r="E1904"/>
  <c r="D1903"/>
  <c r="D1904"/>
  <c r="C1903"/>
  <c r="C1904"/>
  <c r="K1895"/>
  <c r="K1894"/>
  <c r="K1893"/>
  <c r="A1889"/>
  <c r="F1861"/>
  <c r="K1859"/>
  <c r="P1860"/>
  <c r="T1730"/>
  <c r="T1734"/>
  <c r="T1738"/>
  <c r="T1742"/>
  <c r="T1746"/>
  <c r="T1750"/>
  <c r="T1754"/>
  <c r="T1758"/>
  <c r="T1762"/>
  <c r="Y1728"/>
  <c r="Y1732"/>
  <c r="Y1736"/>
  <c r="Y1740"/>
  <c r="Y1744"/>
  <c r="Y1748"/>
  <c r="Y1752"/>
  <c r="Y1756"/>
  <c r="Y1760"/>
  <c r="AI1731"/>
  <c r="AI1735"/>
  <c r="AI1739"/>
  <c r="AI1743"/>
  <c r="AI1747"/>
  <c r="AI1751"/>
  <c r="AI1755"/>
  <c r="AI1759"/>
  <c r="BR1725"/>
  <c r="BR1727"/>
  <c r="BR1728"/>
  <c r="BR1729"/>
  <c r="BR1730"/>
  <c r="BR1731"/>
  <c r="BR1732"/>
  <c r="BR1733"/>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5"/>
  <c r="U1730"/>
  <c r="U1734"/>
  <c r="U1738"/>
  <c r="U1742"/>
  <c r="U1746"/>
  <c r="U1750"/>
  <c r="U1754"/>
  <c r="U1758"/>
  <c r="U1762"/>
  <c r="Z1728"/>
  <c r="Z1733"/>
  <c r="Z1737"/>
  <c r="Z1741"/>
  <c r="Z1745"/>
  <c r="Z1749"/>
  <c r="Z1753"/>
  <c r="Z1757"/>
  <c r="Z1761"/>
  <c r="AJ1727"/>
  <c r="AJ1732"/>
  <c r="AJ1736"/>
  <c r="AJ1740"/>
  <c r="AJ1744"/>
  <c r="AJ1748"/>
  <c r="AJ1752"/>
  <c r="AJ1756"/>
  <c r="AJ1760"/>
  <c r="BS1725"/>
  <c r="BS1728"/>
  <c r="BS1730"/>
  <c r="BS1732"/>
  <c r="BS1734"/>
  <c r="BS1736"/>
  <c r="BS1738"/>
  <c r="BS1740"/>
  <c r="BS1742"/>
  <c r="BS1744"/>
  <c r="BS1746"/>
  <c r="BS1748"/>
  <c r="BS1750"/>
  <c r="BS1752"/>
  <c r="BS1754"/>
  <c r="BS1756"/>
  <c r="BS1758"/>
  <c r="BS1760"/>
  <c r="BS1762"/>
  <c r="V1728"/>
  <c r="V1731"/>
  <c r="V1733"/>
  <c r="V1735"/>
  <c r="V1737"/>
  <c r="V1739"/>
  <c r="V1743"/>
  <c r="V1747"/>
  <c r="V1751"/>
  <c r="V1755"/>
  <c r="V1759"/>
  <c r="AA1725"/>
  <c r="AA1727"/>
  <c r="AA1730"/>
  <c r="AA1732"/>
  <c r="AA1734"/>
  <c r="AA1736"/>
  <c r="AA1738"/>
  <c r="AA1740"/>
  <c r="AA1742"/>
  <c r="AA1744"/>
  <c r="AA1746"/>
  <c r="AA1750"/>
  <c r="AA1754"/>
  <c r="AA1758"/>
  <c r="AA1762"/>
  <c r="AK1728"/>
  <c r="AK1731"/>
  <c r="AK1733"/>
  <c r="AK1735"/>
  <c r="AK1737"/>
  <c r="AK1739"/>
  <c r="AK1741"/>
  <c r="AK1743"/>
  <c r="AK1745"/>
  <c r="AK1747"/>
  <c r="AK1749"/>
  <c r="AK1751"/>
  <c r="AK1753"/>
  <c r="AK1755"/>
  <c r="AK1757"/>
  <c r="AK1759"/>
  <c r="AK1761"/>
  <c r="BT1725"/>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7"/>
  <c r="W1730"/>
  <c r="W1732"/>
  <c r="W1736"/>
  <c r="W1738"/>
  <c r="W1740"/>
  <c r="W1742"/>
  <c r="W1744"/>
  <c r="W1746"/>
  <c r="W1748"/>
  <c r="W1750"/>
  <c r="W1752"/>
  <c r="W1754"/>
  <c r="W1756"/>
  <c r="W1758"/>
  <c r="W1760"/>
  <c r="W1762"/>
  <c r="AB1728"/>
  <c r="AB1731"/>
  <c r="AB1733"/>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7"/>
  <c r="AL1728"/>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7"/>
  <c r="BU1728"/>
  <c r="BU1729"/>
  <c r="BU1730"/>
  <c r="BU1731"/>
  <c r="BU1732"/>
  <c r="BU1733"/>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7"/>
  <c r="X1728"/>
  <c r="X1730"/>
  <c r="X1731"/>
  <c r="X1732"/>
  <c r="X1733"/>
  <c r="X1735"/>
  <c r="X1736"/>
  <c r="X1737"/>
  <c r="X1738"/>
  <c r="X1739"/>
  <c r="X1740"/>
  <c r="X1741"/>
  <c r="X1742"/>
  <c r="X1743"/>
  <c r="X1744"/>
  <c r="X1745"/>
  <c r="X1746"/>
  <c r="X1747"/>
  <c r="X1748"/>
  <c r="X1749"/>
  <c r="X1750"/>
  <c r="X1751"/>
  <c r="X1752"/>
  <c r="X1753"/>
  <c r="X1754"/>
  <c r="X1755"/>
  <c r="X1756"/>
  <c r="X1757"/>
  <c r="X1758"/>
  <c r="X1759"/>
  <c r="X1760"/>
  <c r="X1761"/>
  <c r="X1762"/>
  <c r="AC1725"/>
  <c r="AC1727"/>
  <c r="AC1728"/>
  <c r="AC1730"/>
  <c r="AC1731"/>
  <c r="AC1732"/>
  <c r="AC1733"/>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7"/>
  <c r="AM1728"/>
  <c r="AM1730"/>
  <c r="AM1731"/>
  <c r="AM1732"/>
  <c r="AM1733"/>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s="1"/>
  <c r="O1849"/>
  <c r="O1852" s="1"/>
  <c r="N1849"/>
  <c r="N1852" s="1"/>
  <c r="M1849"/>
  <c r="M1852" s="1"/>
  <c r="L1849"/>
  <c r="L1852" s="1"/>
  <c r="K1849"/>
  <c r="K1852" s="1"/>
  <c r="J1849"/>
  <c r="J1852" s="1"/>
  <c r="I1849"/>
  <c r="I1852" s="1"/>
  <c r="H1849"/>
  <c r="H1852" s="1"/>
  <c r="G1849"/>
  <c r="G1852" s="1"/>
  <c r="P1846"/>
  <c r="O1846"/>
  <c r="N1846"/>
  <c r="M1846"/>
  <c r="L1846"/>
  <c r="K1846"/>
  <c r="J1846"/>
  <c r="I1846"/>
  <c r="H1846"/>
  <c r="G1846"/>
  <c r="P1838"/>
  <c r="P1841" s="1"/>
  <c r="O1838"/>
  <c r="O1841" s="1"/>
  <c r="N1838"/>
  <c r="N1841" s="1"/>
  <c r="M1838"/>
  <c r="M1841" s="1"/>
  <c r="L1838"/>
  <c r="L1841" s="1"/>
  <c r="K1838"/>
  <c r="K1841" s="1"/>
  <c r="J1838"/>
  <c r="J1841" s="1"/>
  <c r="I1838"/>
  <c r="I1841" s="1"/>
  <c r="H1838"/>
  <c r="H1841" s="1"/>
  <c r="G1838"/>
  <c r="G1841" s="1"/>
  <c r="P1835"/>
  <c r="O1835"/>
  <c r="N1835"/>
  <c r="M1835"/>
  <c r="L1835"/>
  <c r="K1835"/>
  <c r="J1835"/>
  <c r="I1835"/>
  <c r="H1835"/>
  <c r="G1835"/>
  <c r="P1827"/>
  <c r="P1830" s="1"/>
  <c r="O1827"/>
  <c r="O1830" s="1"/>
  <c r="N1827"/>
  <c r="N1830" s="1"/>
  <c r="M1827"/>
  <c r="M1830" s="1"/>
  <c r="L1827"/>
  <c r="L1830" s="1"/>
  <c r="K1827"/>
  <c r="K1830" s="1"/>
  <c r="J1827"/>
  <c r="J1830" s="1"/>
  <c r="I1827"/>
  <c r="I1830" s="1"/>
  <c r="H1827"/>
  <c r="H1830" s="1"/>
  <c r="G1827"/>
  <c r="G1830" s="1"/>
  <c r="P1824"/>
  <c r="O1824"/>
  <c r="N1824"/>
  <c r="M1824"/>
  <c r="L1824"/>
  <c r="K1824"/>
  <c r="J1824"/>
  <c r="I1824"/>
  <c r="H1824"/>
  <c r="G1824"/>
  <c r="K1725"/>
  <c r="L1725" s="1"/>
  <c r="K1726"/>
  <c r="L1726" s="1"/>
  <c r="K1727"/>
  <c r="L1727" s="1"/>
  <c r="K1728"/>
  <c r="L1728" s="1"/>
  <c r="K1729"/>
  <c r="L1729" s="1"/>
  <c r="K1730"/>
  <c r="L1730" s="1"/>
  <c r="K1731"/>
  <c r="L1731" s="1"/>
  <c r="K1732"/>
  <c r="L1732" s="1"/>
  <c r="K1733"/>
  <c r="L1733" s="1"/>
  <c r="K1734"/>
  <c r="L1734" s="1"/>
  <c r="K1735"/>
  <c r="L1735" s="1"/>
  <c r="K1736"/>
  <c r="L1736" s="1"/>
  <c r="K1737"/>
  <c r="L1737" s="1"/>
  <c r="K1738"/>
  <c r="L1738" s="1"/>
  <c r="K1739"/>
  <c r="L1739" s="1"/>
  <c r="K1740"/>
  <c r="L1740" s="1"/>
  <c r="K1741"/>
  <c r="L1741" s="1"/>
  <c r="K1742"/>
  <c r="L1742" s="1"/>
  <c r="K1743"/>
  <c r="L1743" s="1"/>
  <c r="K1744"/>
  <c r="L1744" s="1"/>
  <c r="K1745"/>
  <c r="L1745" s="1"/>
  <c r="K1746"/>
  <c r="L1746" s="1"/>
  <c r="K1747"/>
  <c r="L1747" s="1"/>
  <c r="K1748"/>
  <c r="L1748" s="1"/>
  <c r="K1749"/>
  <c r="L1749" s="1"/>
  <c r="K1750"/>
  <c r="L1750" s="1"/>
  <c r="K1751"/>
  <c r="L1751" s="1"/>
  <c r="K1752"/>
  <c r="L1752" s="1"/>
  <c r="K1753"/>
  <c r="L1753" s="1"/>
  <c r="K1754"/>
  <c r="L1754" s="1"/>
  <c r="K1755"/>
  <c r="L1755" s="1"/>
  <c r="K1756"/>
  <c r="L1756" s="1"/>
  <c r="K1757"/>
  <c r="L1757" s="1"/>
  <c r="K1758"/>
  <c r="L1758" s="1"/>
  <c r="K1759"/>
  <c r="L1759" s="1"/>
  <c r="K1760"/>
  <c r="L1760" s="1"/>
  <c r="K1761"/>
  <c r="L1761" s="1"/>
  <c r="K1762"/>
  <c r="L1762" s="1"/>
  <c r="BW1725"/>
  <c r="BW1727"/>
  <c r="BW1728"/>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7"/>
  <c r="CB1728"/>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7"/>
  <c r="CL1728"/>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7"/>
  <c r="CV1728"/>
  <c r="CV1729"/>
  <c r="CV1730"/>
  <c r="CV1731"/>
  <c r="CV1732"/>
  <c r="CV1733"/>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7"/>
  <c r="CC1728"/>
  <c r="CC1729"/>
  <c r="CC1730"/>
  <c r="CC1731"/>
  <c r="CC1732"/>
  <c r="CC1733"/>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7"/>
  <c r="CW1728"/>
  <c r="CW1729"/>
  <c r="CW1730"/>
  <c r="CW1731"/>
  <c r="CW1732"/>
  <c r="CW1733"/>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7"/>
  <c r="BY1728"/>
  <c r="BY1730"/>
  <c r="BY1731"/>
  <c r="BY1732"/>
  <c r="BY1733"/>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7"/>
  <c r="CN1728"/>
  <c r="CN1729"/>
  <c r="CN1730"/>
  <c r="CN1731"/>
  <c r="CN1732"/>
  <c r="CN1733"/>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7"/>
  <c r="BZ1728"/>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7"/>
  <c r="CE1728"/>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7"/>
  <c r="CO1728"/>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7"/>
  <c r="CY1728"/>
  <c r="CY1729"/>
  <c r="CY1730"/>
  <c r="CY1731"/>
  <c r="CY1732"/>
  <c r="CY1733"/>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7"/>
  <c r="CA1728"/>
  <c r="CA1730"/>
  <c r="CA1731"/>
  <c r="CA1732"/>
  <c r="CA1733"/>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7"/>
  <c r="CF1728"/>
  <c r="CF1730"/>
  <c r="CF1731"/>
  <c r="CF1732"/>
  <c r="CF1733"/>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7"/>
  <c r="CP1728"/>
  <c r="CP1730"/>
  <c r="CP1731"/>
  <c r="CP1732"/>
  <c r="CP1733"/>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7"/>
  <c r="FD1728"/>
  <c r="FD1729"/>
  <c r="FD1730"/>
  <c r="FD1731"/>
  <c r="FD1732"/>
  <c r="FD1733"/>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7"/>
  <c r="FF1728"/>
  <c r="FF1729"/>
  <c r="FF1730"/>
  <c r="FF1731"/>
  <c r="FF1732"/>
  <c r="FF1733"/>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7"/>
  <c r="FH1728"/>
  <c r="FH1729"/>
  <c r="FH1730"/>
  <c r="FH1731"/>
  <c r="FH1732"/>
  <c r="FH1733"/>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7"/>
  <c r="FJ1728"/>
  <c r="FJ1729"/>
  <c r="FJ1730"/>
  <c r="FJ1731"/>
  <c r="FJ1732"/>
  <c r="FJ1733"/>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7"/>
  <c r="FL1728"/>
  <c r="FL1729"/>
  <c r="FL1730"/>
  <c r="FL1731"/>
  <c r="FL1732"/>
  <c r="FL1733"/>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7"/>
  <c r="FN1728"/>
  <c r="FN1729"/>
  <c r="FN1730"/>
  <c r="FN1731"/>
  <c r="FN1732"/>
  <c r="FN1733"/>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7"/>
  <c r="FP1728"/>
  <c r="FP1729"/>
  <c r="FP1730"/>
  <c r="FP1731"/>
  <c r="FP1732"/>
  <c r="FP1733"/>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7"/>
  <c r="FR1728"/>
  <c r="FR1729"/>
  <c r="FR1730"/>
  <c r="FR1731"/>
  <c r="FR1732"/>
  <c r="FR1733"/>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7"/>
  <c r="EZ1728"/>
  <c r="EZ1729"/>
  <c r="EZ1730"/>
  <c r="EZ1731"/>
  <c r="EZ1732"/>
  <c r="EZ1733"/>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7"/>
  <c r="FB1728"/>
  <c r="FB1729"/>
  <c r="FB1730"/>
  <c r="FB1731"/>
  <c r="FB1732"/>
  <c r="FB1733"/>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7"/>
  <c r="ET1728"/>
  <c r="ET1729"/>
  <c r="ET1730"/>
  <c r="ET1731"/>
  <c r="ET1732"/>
  <c r="ET1733"/>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7"/>
  <c r="EV1728"/>
  <c r="EV1731"/>
  <c r="EV1732"/>
  <c r="EV1733"/>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7"/>
  <c r="EW1728"/>
  <c r="EW1729"/>
  <c r="EW1731"/>
  <c r="EW1732"/>
  <c r="EW1733"/>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7"/>
  <c r="EX1728"/>
  <c r="EX1729"/>
  <c r="EX1731"/>
  <c r="EX1732"/>
  <c r="EX1733"/>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7"/>
  <c r="EJ1728"/>
  <c r="EJ1729"/>
  <c r="EJ1730"/>
  <c r="EJ1731"/>
  <c r="EJ1732"/>
  <c r="EJ1733"/>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7"/>
  <c r="EF1728"/>
  <c r="EF1729"/>
  <c r="EF1730"/>
  <c r="EF1731"/>
  <c r="EF1732"/>
  <c r="EF1733"/>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7"/>
  <c r="EP1728"/>
  <c r="EP1729"/>
  <c r="EP1730"/>
  <c r="EP1731"/>
  <c r="EP1732"/>
  <c r="EP1733"/>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7"/>
  <c r="EL1728"/>
  <c r="EL1729"/>
  <c r="EL1730"/>
  <c r="EL1731"/>
  <c r="EL1732"/>
  <c r="EL1733"/>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7"/>
  <c r="EH1728"/>
  <c r="EH1729"/>
  <c r="EH1730"/>
  <c r="EH1731"/>
  <c r="EH1732"/>
  <c r="EH1733"/>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7"/>
  <c r="ER1728"/>
  <c r="ER1729"/>
  <c r="ER1730"/>
  <c r="ER1731"/>
  <c r="ER1732"/>
  <c r="ER1733"/>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7"/>
  <c r="EN1728"/>
  <c r="EN1729"/>
  <c r="EN1730"/>
  <c r="EN1731"/>
  <c r="EN1732"/>
  <c r="EN1733"/>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7"/>
  <c r="DP1728"/>
  <c r="DP1729"/>
  <c r="DP1730"/>
  <c r="DP1731"/>
  <c r="DP1732"/>
  <c r="DP1733"/>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7"/>
  <c r="DZ1728"/>
  <c r="DZ1729"/>
  <c r="DZ1730"/>
  <c r="DZ1731"/>
  <c r="DZ1732"/>
  <c r="DZ1733"/>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7"/>
  <c r="DV1728"/>
  <c r="DV1729"/>
  <c r="DV1730"/>
  <c r="DV1731"/>
  <c r="DV1732"/>
  <c r="DV1733"/>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7"/>
  <c r="DR1728"/>
  <c r="DR1729"/>
  <c r="DR1730"/>
  <c r="DR1731"/>
  <c r="DR1732"/>
  <c r="DR1733"/>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7"/>
  <c r="EB1728"/>
  <c r="EB1729"/>
  <c r="EB1730"/>
  <c r="EB1731"/>
  <c r="EB1732"/>
  <c r="EB1733"/>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5"/>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7"/>
  <c r="DX1728"/>
  <c r="DX1729"/>
  <c r="DX1730"/>
  <c r="DX1731"/>
  <c r="DX1732"/>
  <c r="DX1733"/>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7"/>
  <c r="DT1728"/>
  <c r="DT1729"/>
  <c r="DT1730"/>
  <c r="DT1731"/>
  <c r="DT1732"/>
  <c r="DT1733"/>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5"/>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7"/>
  <c r="ED1728"/>
  <c r="ED1729"/>
  <c r="ED1730"/>
  <c r="ED1731"/>
  <c r="ED1732"/>
  <c r="ED1733"/>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7"/>
  <c r="DF1728"/>
  <c r="DF1729"/>
  <c r="DF1730"/>
  <c r="DF1731"/>
  <c r="DF1732"/>
  <c r="DF1733"/>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7"/>
  <c r="DB1728"/>
  <c r="DB1729"/>
  <c r="DB1730"/>
  <c r="DB1731"/>
  <c r="DB1732"/>
  <c r="DB1733"/>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7"/>
  <c r="DL1728"/>
  <c r="DL1729"/>
  <c r="DL1730"/>
  <c r="DL1731"/>
  <c r="DL1732"/>
  <c r="DL1733"/>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7"/>
  <c r="DH1728"/>
  <c r="DH1729"/>
  <c r="DH1730"/>
  <c r="DH1731"/>
  <c r="DH1732"/>
  <c r="DH1733"/>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7"/>
  <c r="DD1728"/>
  <c r="DD1729"/>
  <c r="DD1730"/>
  <c r="DD1731"/>
  <c r="DD1732"/>
  <c r="DD1733"/>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7"/>
  <c r="DN1728"/>
  <c r="DN1729"/>
  <c r="DN1730"/>
  <c r="DN1731"/>
  <c r="DN1732"/>
  <c r="DN1733"/>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7"/>
  <c r="DJ1728"/>
  <c r="DJ1729"/>
  <c r="DJ1730"/>
  <c r="DJ1731"/>
  <c r="DJ1732"/>
  <c r="DJ1733"/>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7"/>
  <c r="BM1728"/>
  <c r="BM1729"/>
  <c r="BM1730"/>
  <c r="BM1731"/>
  <c r="BM1732"/>
  <c r="BM1733"/>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7"/>
  <c r="BN1728"/>
  <c r="BN1729"/>
  <c r="BN1730"/>
  <c r="BN1731"/>
  <c r="BN1732"/>
  <c r="BN1733"/>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7"/>
  <c r="BO1728"/>
  <c r="BO1729"/>
  <c r="BO1730"/>
  <c r="BO1731"/>
  <c r="BO1732"/>
  <c r="BO1733"/>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7"/>
  <c r="BP1728"/>
  <c r="BP1729"/>
  <c r="BP1730"/>
  <c r="BP1731"/>
  <c r="BP1732"/>
  <c r="BP1733"/>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7"/>
  <c r="BQ1728"/>
  <c r="BQ1729"/>
  <c r="BQ1730"/>
  <c r="BQ1731"/>
  <c r="BQ1732"/>
  <c r="BQ1733"/>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7"/>
  <c r="AX1728"/>
  <c r="AX1729"/>
  <c r="AX1730"/>
  <c r="AX1731"/>
  <c r="AX1732"/>
  <c r="AX1733"/>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7"/>
  <c r="AY1728"/>
  <c r="AY1729"/>
  <c r="AY1730"/>
  <c r="AY1731"/>
  <c r="AY1732"/>
  <c r="AY1733"/>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7"/>
  <c r="AZ1728"/>
  <c r="AZ1729"/>
  <c r="AZ1730"/>
  <c r="AZ1731"/>
  <c r="AZ1732"/>
  <c r="AZ1733"/>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7"/>
  <c r="BA1728"/>
  <c r="BA1729"/>
  <c r="BA1730"/>
  <c r="BA1731"/>
  <c r="BA1732"/>
  <c r="BA1733"/>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7"/>
  <c r="BB1728"/>
  <c r="BB1729"/>
  <c r="BB1730"/>
  <c r="BB1731"/>
  <c r="BB1732"/>
  <c r="BB1733"/>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7"/>
  <c r="HK1728"/>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7"/>
  <c r="HJ1728"/>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7"/>
  <c r="HI1728"/>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7"/>
  <c r="HH1728"/>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7"/>
  <c r="HG1728"/>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7"/>
  <c r="HF1728"/>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7"/>
  <c r="HE1728"/>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7"/>
  <c r="HD1728"/>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7"/>
  <c r="HC1728"/>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7"/>
  <c r="HB1728"/>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7"/>
  <c r="HA1728"/>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7"/>
  <c r="GZ1728"/>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7"/>
  <c r="GY1728"/>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7"/>
  <c r="GX1728"/>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7"/>
  <c r="GW1728"/>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7"/>
  <c r="GV1728"/>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7"/>
  <c r="GU1728"/>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7"/>
  <c r="GT1728"/>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7"/>
  <c r="GS1728"/>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7"/>
  <c r="GR1728"/>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7"/>
  <c r="GQ1728"/>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7"/>
  <c r="GP1728"/>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7"/>
  <c r="GO1728"/>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7"/>
  <c r="GN1728"/>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7"/>
  <c r="GM1728"/>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7"/>
  <c r="GL1728"/>
  <c r="GL1729"/>
  <c r="GL1730"/>
  <c r="GL1731"/>
  <c r="GL1732"/>
  <c r="GL1733"/>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7"/>
  <c r="GJ1728"/>
  <c r="GJ1729"/>
  <c r="GJ1730"/>
  <c r="GJ1731"/>
  <c r="GJ1732"/>
  <c r="GJ1733"/>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7"/>
  <c r="GH1728"/>
  <c r="GH1729"/>
  <c r="GH1730"/>
  <c r="GH1731"/>
  <c r="GH1732"/>
  <c r="GH1733"/>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7"/>
  <c r="GF1728"/>
  <c r="GF1729"/>
  <c r="GF1730"/>
  <c r="GF1731"/>
  <c r="GF1732"/>
  <c r="GF1733"/>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7"/>
  <c r="GD1728"/>
  <c r="GD1729"/>
  <c r="GD1730"/>
  <c r="GD1731"/>
  <c r="GD1732"/>
  <c r="GD1733"/>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7"/>
  <c r="GB1728"/>
  <c r="GB1729"/>
  <c r="GB1730"/>
  <c r="GB1731"/>
  <c r="GB1732"/>
  <c r="GB1733"/>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7"/>
  <c r="FZ1728"/>
  <c r="FZ1729"/>
  <c r="FZ1730"/>
  <c r="FZ1731"/>
  <c r="FZ1732"/>
  <c r="FZ1733"/>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7"/>
  <c r="FX1728"/>
  <c r="FX1729"/>
  <c r="FX1730"/>
  <c r="FX1731"/>
  <c r="FX1732"/>
  <c r="FX1733"/>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7"/>
  <c r="FV1728"/>
  <c r="FV1729"/>
  <c r="FV1730"/>
  <c r="FV1731"/>
  <c r="FV1732"/>
  <c r="FV1733"/>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7"/>
  <c r="FT1728"/>
  <c r="FT1729"/>
  <c r="FT1730"/>
  <c r="FT1731"/>
  <c r="FT1732"/>
  <c r="FT1733"/>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7"/>
  <c r="CU1728"/>
  <c r="CU1729"/>
  <c r="CU1730"/>
  <c r="CU1731"/>
  <c r="CU1732"/>
  <c r="CU1733"/>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7"/>
  <c r="CS1728"/>
  <c r="CS1729"/>
  <c r="CS1730"/>
  <c r="CS1731"/>
  <c r="CS1732"/>
  <c r="CS1733"/>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7"/>
  <c r="CQ1728"/>
  <c r="CQ1729"/>
  <c r="CQ1730"/>
  <c r="CQ1731"/>
  <c r="CQ1732"/>
  <c r="CQ1733"/>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7"/>
  <c r="CJ1728"/>
  <c r="CJ1729"/>
  <c r="CJ1730"/>
  <c r="CJ1731"/>
  <c r="CJ1732"/>
  <c r="CJ1733"/>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7"/>
  <c r="CH1728"/>
  <c r="CH1729"/>
  <c r="CH1730"/>
  <c r="CH1731"/>
  <c r="CH1732"/>
  <c r="CH1733"/>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7"/>
  <c r="BG1728"/>
  <c r="BG1729"/>
  <c r="BG1730"/>
  <c r="BG1731"/>
  <c r="BG1732"/>
  <c r="BG1733"/>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7"/>
  <c r="BE1728"/>
  <c r="BE1729"/>
  <c r="BE1730"/>
  <c r="BE1731"/>
  <c r="BE1732"/>
  <c r="BE1733"/>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7"/>
  <c r="BC1728"/>
  <c r="BC1729"/>
  <c r="BC1730"/>
  <c r="BC1731"/>
  <c r="BC1732"/>
  <c r="BC1733"/>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7"/>
  <c r="AQ1728"/>
  <c r="AQ1729"/>
  <c r="AQ1730"/>
  <c r="AQ1731"/>
  <c r="AQ1732"/>
  <c r="AQ1733"/>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7"/>
  <c r="AO1728"/>
  <c r="AO1729"/>
  <c r="AO1730"/>
  <c r="AO1731"/>
  <c r="AO1732"/>
  <c r="AO1733"/>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7"/>
  <c r="AH1728"/>
  <c r="AH1729"/>
  <c r="AH1730"/>
  <c r="AH1731"/>
  <c r="AH1732"/>
  <c r="AH1733"/>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7"/>
  <c r="AF1728"/>
  <c r="AF1729"/>
  <c r="AF1730"/>
  <c r="AF1731"/>
  <c r="AF1732"/>
  <c r="AF1733"/>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7"/>
  <c r="AD1728"/>
  <c r="AD1729"/>
  <c r="AD1730"/>
  <c r="AD1731"/>
  <c r="AD1732"/>
  <c r="AD1733"/>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A1725"/>
  <c r="A1727"/>
  <c r="A1728"/>
  <c r="A1729"/>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s="1"/>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s="1"/>
  <c r="E425" s="1"/>
  <c r="D418"/>
  <c r="D424" s="1"/>
  <c r="D425" s="1"/>
  <c r="C424"/>
  <c r="C425" s="1"/>
  <c r="M17" i="15"/>
  <c r="B387" i="35"/>
  <c r="B386"/>
  <c r="B385"/>
  <c r="R345"/>
  <c r="A205"/>
  <c r="I183"/>
  <c r="H88"/>
  <c r="L53"/>
  <c r="J36"/>
  <c r="J35"/>
  <c r="A30"/>
  <c r="A2"/>
  <c r="M85" i="11"/>
  <c r="M84"/>
  <c r="A105"/>
  <c r="A2597" i="35" s="1"/>
  <c r="O93" i="11"/>
  <c r="O2585" i="35" s="1"/>
  <c r="A179" i="11"/>
  <c r="A178"/>
  <c r="P40"/>
  <c r="O40"/>
  <c r="O82"/>
  <c r="O2574" i="35" s="1"/>
  <c r="R2574" s="1"/>
  <c r="O8" i="11"/>
  <c r="O55"/>
  <c r="O139"/>
  <c r="O132" s="1"/>
  <c r="O166"/>
  <c r="O180"/>
  <c r="O2672" i="35"/>
  <c r="O2667" s="1"/>
  <c r="O175" i="11"/>
  <c r="O191"/>
  <c r="O199"/>
  <c r="O235"/>
  <c r="O227"/>
  <c r="O270"/>
  <c r="O279"/>
  <c r="G109" i="15"/>
  <c r="D37" i="3" s="1"/>
  <c r="J25" i="7"/>
  <c r="J54" i="35" s="1"/>
  <c r="I3" i="29"/>
  <c r="I17"/>
  <c r="J117" i="15"/>
  <c r="J17"/>
  <c r="J27"/>
  <c r="J32"/>
  <c r="J36"/>
  <c r="J56"/>
  <c r="J68"/>
  <c r="J74"/>
  <c r="J83"/>
  <c r="J109"/>
  <c r="J12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23"/>
  <c r="P140"/>
  <c r="P137"/>
  <c r="P141"/>
  <c r="P142"/>
  <c r="P144"/>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F106"/>
  <c r="B39"/>
  <c r="F42" s="1"/>
  <c r="E34"/>
  <c r="F34" s="1"/>
  <c r="E35"/>
  <c r="F35" s="1"/>
  <c r="S36"/>
  <c r="S17"/>
  <c r="S23"/>
  <c r="S27"/>
  <c r="S32"/>
  <c r="S56"/>
  <c r="S68"/>
  <c r="S74"/>
  <c r="S83"/>
  <c r="S98"/>
  <c r="S104"/>
  <c r="S109"/>
  <c r="S117"/>
  <c r="S121"/>
  <c r="J26" i="7"/>
  <c r="O3" i="36" s="1"/>
  <c r="P6"/>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c r="P2667" s="1"/>
  <c r="P175" i="11"/>
  <c r="P8"/>
  <c r="P55"/>
  <c r="P139"/>
  <c r="P132" s="1"/>
  <c r="P294" s="1"/>
  <c r="P6" s="1"/>
  <c r="P166"/>
  <c r="P191"/>
  <c r="P199"/>
  <c r="P235"/>
  <c r="P227"/>
  <c r="P270"/>
  <c r="P279"/>
  <c r="L279"/>
  <c r="A3" i="38"/>
  <c r="A2"/>
  <c r="A3" i="37"/>
  <c r="A2"/>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c r="A1" i="34"/>
  <c r="P15" i="36"/>
  <c r="Q15" s="1"/>
  <c r="P16"/>
  <c r="P17"/>
  <c r="P1732" i="35" s="1"/>
  <c r="P18" i="36"/>
  <c r="P19"/>
  <c r="P1734" i="35" s="1"/>
  <c r="P20" i="36"/>
  <c r="P21"/>
  <c r="P1736" i="35"/>
  <c r="P22" i="36"/>
  <c r="P1737" i="35"/>
  <c r="P23" i="36"/>
  <c r="P1738" i="35"/>
  <c r="P24" i="36"/>
  <c r="Q24" s="1"/>
  <c r="P25"/>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1" i="36"/>
  <c r="P12"/>
  <c r="P13"/>
  <c r="P14"/>
  <c r="P10"/>
  <c r="A37" i="8"/>
  <c r="A72" s="1"/>
  <c r="A107" s="1"/>
  <c r="A142" s="1"/>
  <c r="A36"/>
  <c r="A71" s="1"/>
  <c r="A106" s="1"/>
  <c r="A141" s="1"/>
  <c r="A35"/>
  <c r="A70" s="1"/>
  <c r="A105" s="1"/>
  <c r="A140" s="1"/>
  <c r="A34"/>
  <c r="A69" s="1"/>
  <c r="A104" s="1"/>
  <c r="A139" s="1"/>
  <c r="A73"/>
  <c r="A108"/>
  <c r="A143"/>
  <c r="A74"/>
  <c r="A109"/>
  <c r="A144"/>
  <c r="A63"/>
  <c r="A98"/>
  <c r="A133"/>
  <c r="A26"/>
  <c r="A61" s="1"/>
  <c r="A96" s="1"/>
  <c r="A131" s="1"/>
  <c r="A25"/>
  <c r="A60" s="1"/>
  <c r="A95" s="1"/>
  <c r="A130" s="1"/>
  <c r="A24"/>
  <c r="A59" s="1"/>
  <c r="A94" s="1"/>
  <c r="A129" s="1"/>
  <c r="A23"/>
  <c r="A58" s="1"/>
  <c r="A93" s="1"/>
  <c r="A128" s="1"/>
  <c r="A62"/>
  <c r="A97"/>
  <c r="A132"/>
  <c r="R259" i="11"/>
  <c r="R247"/>
  <c r="R237"/>
  <c r="R239"/>
  <c r="R240"/>
  <c r="R241"/>
  <c r="R242"/>
  <c r="R238"/>
  <c r="R243"/>
  <c r="R236"/>
  <c r="L213"/>
  <c r="R193"/>
  <c r="R192"/>
  <c r="R180"/>
  <c r="R168"/>
  <c r="R167"/>
  <c r="R31"/>
  <c r="L259"/>
  <c r="L247"/>
  <c r="L243"/>
  <c r="L238"/>
  <c r="L242"/>
  <c r="L241"/>
  <c r="L240"/>
  <c r="L239"/>
  <c r="L237"/>
  <c r="L236"/>
  <c r="L192"/>
  <c r="L168"/>
  <c r="G133"/>
  <c r="F150" i="8"/>
  <c r="E150"/>
  <c r="D150"/>
  <c r="C150"/>
  <c r="B150"/>
  <c r="K115"/>
  <c r="J115"/>
  <c r="I115"/>
  <c r="H115"/>
  <c r="G115"/>
  <c r="F115"/>
  <c r="E115"/>
  <c r="D115"/>
  <c r="C115"/>
  <c r="B115"/>
  <c r="K80"/>
  <c r="J80"/>
  <c r="I80"/>
  <c r="H80"/>
  <c r="G80"/>
  <c r="F80"/>
  <c r="E80"/>
  <c r="D80"/>
  <c r="C80"/>
  <c r="B80"/>
  <c r="C45"/>
  <c r="D45"/>
  <c r="E45"/>
  <c r="F45"/>
  <c r="G45"/>
  <c r="H45"/>
  <c r="I45"/>
  <c r="J45"/>
  <c r="K45"/>
  <c r="B45"/>
  <c r="B42"/>
  <c r="B32"/>
  <c r="M37" i="3"/>
  <c r="M390" i="35" s="1"/>
  <c r="B30" i="8"/>
  <c r="M36" i="3"/>
  <c r="M389" i="35"/>
  <c r="F133" i="8"/>
  <c r="E133"/>
  <c r="D133"/>
  <c r="C133"/>
  <c r="B133"/>
  <c r="M35" i="3"/>
  <c r="M388" i="35" s="1"/>
  <c r="M34" i="3"/>
  <c r="M387" i="35" s="1"/>
  <c r="M33" i="3"/>
  <c r="M386" i="35" s="1"/>
  <c r="K101" i="8"/>
  <c r="I101"/>
  <c r="G101"/>
  <c r="E101"/>
  <c r="C101"/>
  <c r="K98"/>
  <c r="J98"/>
  <c r="I98"/>
  <c r="H98"/>
  <c r="G98"/>
  <c r="F98"/>
  <c r="E98"/>
  <c r="D98"/>
  <c r="C98"/>
  <c r="B98"/>
  <c r="F97"/>
  <c r="E95"/>
  <c r="K66"/>
  <c r="J66"/>
  <c r="I66"/>
  <c r="H66"/>
  <c r="G66"/>
  <c r="F66"/>
  <c r="E66"/>
  <c r="D66"/>
  <c r="C66"/>
  <c r="B66"/>
  <c r="K1951" i="35"/>
  <c r="J1951"/>
  <c r="I1951"/>
  <c r="H1951"/>
  <c r="G1951"/>
  <c r="F1951"/>
  <c r="E1951"/>
  <c r="D1951"/>
  <c r="C1951"/>
  <c r="B1951"/>
  <c r="D62" i="8"/>
  <c r="K1948" i="35"/>
  <c r="K1959" s="1"/>
  <c r="J1948"/>
  <c r="I1948"/>
  <c r="I1959" s="1"/>
  <c r="H1948"/>
  <c r="H1959" s="1"/>
  <c r="G1948"/>
  <c r="G1959" s="1"/>
  <c r="F1948"/>
  <c r="E1948"/>
  <c r="E1959" s="1"/>
  <c r="D1948"/>
  <c r="D1959" s="1"/>
  <c r="C1948"/>
  <c r="C1959" s="1"/>
  <c r="B1948"/>
  <c r="C1913"/>
  <c r="C1924" s="1"/>
  <c r="D1913"/>
  <c r="D1924" s="1"/>
  <c r="E1913"/>
  <c r="E1924" s="1"/>
  <c r="F1913"/>
  <c r="F1924" s="1"/>
  <c r="G1913"/>
  <c r="G1924" s="1"/>
  <c r="H1913"/>
  <c r="H1924" s="1"/>
  <c r="I1913"/>
  <c r="I1924" s="1"/>
  <c r="J1913"/>
  <c r="J1924" s="1"/>
  <c r="K1913"/>
  <c r="K1924" s="1"/>
  <c r="E27" i="8"/>
  <c r="C28"/>
  <c r="D28"/>
  <c r="E28"/>
  <c r="F28"/>
  <c r="G28"/>
  <c r="H28"/>
  <c r="I28"/>
  <c r="J28"/>
  <c r="K28"/>
  <c r="C31"/>
  <c r="D31"/>
  <c r="E31"/>
  <c r="F31"/>
  <c r="G31"/>
  <c r="H31"/>
  <c r="I31"/>
  <c r="J31"/>
  <c r="K31"/>
  <c r="B28"/>
  <c r="B31"/>
  <c r="B1913" i="35"/>
  <c r="B20" i="8"/>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F125" i="8"/>
  <c r="E125"/>
  <c r="D125"/>
  <c r="C125"/>
  <c r="B125"/>
  <c r="K90"/>
  <c r="J90"/>
  <c r="I90"/>
  <c r="H90"/>
  <c r="G90"/>
  <c r="F90"/>
  <c r="E90"/>
  <c r="D90"/>
  <c r="C90"/>
  <c r="B90"/>
  <c r="K55"/>
  <c r="J55"/>
  <c r="I55"/>
  <c r="H55"/>
  <c r="G55"/>
  <c r="F55"/>
  <c r="E55"/>
  <c r="D55"/>
  <c r="C55"/>
  <c r="B55"/>
  <c r="C20"/>
  <c r="D20"/>
  <c r="E20"/>
  <c r="F20"/>
  <c r="G20"/>
  <c r="H20"/>
  <c r="I20"/>
  <c r="J20"/>
  <c r="K20"/>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c r="K22"/>
  <c r="L22"/>
  <c r="K23"/>
  <c r="L23"/>
  <c r="K24"/>
  <c r="L24" s="1"/>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c r="F13"/>
  <c r="G13"/>
  <c r="H13"/>
  <c r="I13"/>
  <c r="J13"/>
  <c r="K13"/>
  <c r="B48"/>
  <c r="C48"/>
  <c r="D48"/>
  <c r="E48"/>
  <c r="F48"/>
  <c r="G48"/>
  <c r="H48"/>
  <c r="I48"/>
  <c r="J48"/>
  <c r="K48"/>
  <c r="B83"/>
  <c r="C83"/>
  <c r="D83"/>
  <c r="E83"/>
  <c r="F83"/>
  <c r="G83"/>
  <c r="H83"/>
  <c r="I83"/>
  <c r="J83"/>
  <c r="K83"/>
  <c r="B118"/>
  <c r="F146" i="36"/>
  <c r="F155"/>
  <c r="F166"/>
  <c r="K144"/>
  <c r="K153"/>
  <c r="K163"/>
  <c r="P145"/>
  <c r="C118" i="8"/>
  <c r="D118"/>
  <c r="E118"/>
  <c r="F118"/>
  <c r="B129"/>
  <c r="C129"/>
  <c r="D129"/>
  <c r="E129"/>
  <c r="F129"/>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H134" i="36"/>
  <c r="H137" s="1"/>
  <c r="C88" i="8" s="1"/>
  <c r="B39" i="26"/>
  <c r="I134" i="36"/>
  <c r="I137" s="1"/>
  <c r="D88" i="8" s="1"/>
  <c r="B40" i="26"/>
  <c r="J134" i="36"/>
  <c r="J137" s="1"/>
  <c r="E88" i="8" s="1"/>
  <c r="B41" i="26"/>
  <c r="K134" i="36"/>
  <c r="K137" s="1"/>
  <c r="F88" i="8" s="1"/>
  <c r="B42" i="26"/>
  <c r="L134" i="36"/>
  <c r="L137" s="1"/>
  <c r="G88" i="8" s="1"/>
  <c r="B43" i="26"/>
  <c r="M134" i="36"/>
  <c r="M137" s="1"/>
  <c r="H88" i="8" s="1"/>
  <c r="B44" i="26"/>
  <c r="N134" i="36"/>
  <c r="N137" s="1"/>
  <c r="I88" i="8" s="1"/>
  <c r="B45" i="26"/>
  <c r="O134" i="36"/>
  <c r="O137" s="1"/>
  <c r="J88" i="8" s="1"/>
  <c r="B46" i="26"/>
  <c r="P134" i="36"/>
  <c r="P137" s="1"/>
  <c r="K88" i="8" s="1"/>
  <c r="B37" i="26"/>
  <c r="G134" i="36"/>
  <c r="G137" s="1"/>
  <c r="B88" i="8" s="1"/>
  <c r="B28" i="26"/>
  <c r="H123" i="36"/>
  <c r="H126" s="1"/>
  <c r="C53" i="8" s="1"/>
  <c r="B29" i="26"/>
  <c r="I123" i="36"/>
  <c r="I126" s="1"/>
  <c r="D53" i="8" s="1"/>
  <c r="B30" i="26"/>
  <c r="J123" i="36"/>
  <c r="J126" s="1"/>
  <c r="E53" i="8" s="1"/>
  <c r="B31" i="26"/>
  <c r="K123" i="36"/>
  <c r="K126" s="1"/>
  <c r="F53" i="8" s="1"/>
  <c r="B32" i="26"/>
  <c r="L123" i="36"/>
  <c r="L126" s="1"/>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G59"/>
  <c r="H59"/>
  <c r="I59"/>
  <c r="J59"/>
  <c r="K59"/>
  <c r="B59"/>
  <c r="G120" i="36"/>
  <c r="B52" i="8"/>
  <c r="P120" i="36"/>
  <c r="K52" i="8"/>
  <c r="O120" i="36"/>
  <c r="J52" i="8"/>
  <c r="N120" i="36"/>
  <c r="I52" i="8"/>
  <c r="M120" i="36"/>
  <c r="H52" i="8"/>
  <c r="L120" i="36"/>
  <c r="G52" i="8"/>
  <c r="K120" i="36"/>
  <c r="F52" i="8"/>
  <c r="J120" i="36"/>
  <c r="E52" i="8"/>
  <c r="I120" i="36"/>
  <c r="D52" i="8"/>
  <c r="H120" i="36"/>
  <c r="C52" i="8"/>
  <c r="C24"/>
  <c r="D24"/>
  <c r="E24"/>
  <c r="F24"/>
  <c r="G24"/>
  <c r="H24"/>
  <c r="I24"/>
  <c r="J24"/>
  <c r="K24"/>
  <c r="B24"/>
  <c r="G109" i="36"/>
  <c r="B17" i="8"/>
  <c r="H109" i="36"/>
  <c r="C17" i="8"/>
  <c r="I109" i="36"/>
  <c r="D17" i="8"/>
  <c r="J109" i="36"/>
  <c r="E17" i="8"/>
  <c r="K109" i="36"/>
  <c r="F17" i="8"/>
  <c r="L109" i="36"/>
  <c r="G17" i="8"/>
  <c r="M109" i="36"/>
  <c r="H17" i="8"/>
  <c r="N109" i="36"/>
  <c r="I17" i="8"/>
  <c r="O109" i="36"/>
  <c r="J17" i="8"/>
  <c r="P109" i="36"/>
  <c r="K17" i="8"/>
  <c r="L227" i="11"/>
  <c r="P17"/>
  <c r="G12"/>
  <c r="K17"/>
  <c r="G1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C34" i="8"/>
  <c r="GH10" i="36"/>
  <c r="GC10"/>
  <c r="FX10"/>
  <c r="FS10"/>
  <c r="GL10"/>
  <c r="GK10"/>
  <c r="GJ10"/>
  <c r="GI10"/>
  <c r="GG10"/>
  <c r="GF10"/>
  <c r="GE10"/>
  <c r="GD10"/>
  <c r="GG48"/>
  <c r="GF48"/>
  <c r="GE48"/>
  <c r="GD48"/>
  <c r="GB10"/>
  <c r="GA10"/>
  <c r="FZ10"/>
  <c r="FY10"/>
  <c r="FW10"/>
  <c r="FV10"/>
  <c r="FU10"/>
  <c r="FT10"/>
  <c r="A1" i="11"/>
  <c r="O7" i="15"/>
  <c r="O18"/>
  <c r="O24"/>
  <c r="O28"/>
  <c r="O33"/>
  <c r="O47"/>
  <c r="O57"/>
  <c r="O69"/>
  <c r="O75"/>
  <c r="O88"/>
  <c r="O99"/>
  <c r="O105"/>
  <c r="O110"/>
  <c r="O118"/>
  <c r="J156"/>
  <c r="CU48" i="36"/>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B1924" i="35"/>
  <c r="J55"/>
  <c r="P1721"/>
  <c r="O1718"/>
  <c r="X48" i="36"/>
  <c r="L57" s="1"/>
  <c r="T48"/>
  <c r="H57" s="1"/>
  <c r="M123" i="15"/>
  <c r="M140"/>
  <c r="M142"/>
  <c r="M144"/>
  <c r="O38" i="11"/>
  <c r="O2530" i="35" s="1"/>
  <c r="O2532"/>
  <c r="P38" i="11"/>
  <c r="P2532" i="35"/>
  <c r="A3"/>
  <c r="A354"/>
  <c r="A414"/>
  <c r="A471"/>
  <c r="G471"/>
  <c r="A959"/>
  <c r="A1008"/>
  <c r="I1675"/>
  <c r="P2530"/>
  <c r="P1863" l="1"/>
  <c r="B1919"/>
  <c r="B1916"/>
  <c r="K1919"/>
  <c r="J1919"/>
  <c r="I1919"/>
  <c r="H1919"/>
  <c r="G1919"/>
  <c r="F1919"/>
  <c r="E1919"/>
  <c r="D1919"/>
  <c r="C1919"/>
  <c r="K1916"/>
  <c r="J1916"/>
  <c r="I1916"/>
  <c r="H1916"/>
  <c r="G1916"/>
  <c r="F1916"/>
  <c r="E1916"/>
  <c r="D1916"/>
  <c r="C1916"/>
  <c r="E1915"/>
  <c r="D1950"/>
  <c r="B1954"/>
  <c r="C1954"/>
  <c r="D1954"/>
  <c r="E1954"/>
  <c r="F1954"/>
  <c r="G1954"/>
  <c r="H1954"/>
  <c r="I1954"/>
  <c r="J1954"/>
  <c r="K1954"/>
  <c r="E1983"/>
  <c r="E1994" s="1"/>
  <c r="F1985"/>
  <c r="B1986"/>
  <c r="C1986"/>
  <c r="D1986"/>
  <c r="E1986"/>
  <c r="F1986"/>
  <c r="G1986"/>
  <c r="H1986"/>
  <c r="I1986"/>
  <c r="J1986"/>
  <c r="K1986"/>
  <c r="C1989"/>
  <c r="E1989"/>
  <c r="G1989"/>
  <c r="I1989"/>
  <c r="K1989"/>
  <c r="B2021"/>
  <c r="C2021"/>
  <c r="D2021"/>
  <c r="E2021"/>
  <c r="F2021"/>
  <c r="B1920"/>
  <c r="B1930"/>
  <c r="B1933"/>
  <c r="K1933"/>
  <c r="J1933"/>
  <c r="I1933"/>
  <c r="H1933"/>
  <c r="G1933"/>
  <c r="F1933"/>
  <c r="E1933"/>
  <c r="D1933"/>
  <c r="C1933"/>
  <c r="B1968"/>
  <c r="C1968"/>
  <c r="D1968"/>
  <c r="E1968"/>
  <c r="F1968"/>
  <c r="G1968"/>
  <c r="H1968"/>
  <c r="I1968"/>
  <c r="J1968"/>
  <c r="K1968"/>
  <c r="B2003"/>
  <c r="C2003"/>
  <c r="D2003"/>
  <c r="E2003"/>
  <c r="F2003"/>
  <c r="G2003"/>
  <c r="H2003"/>
  <c r="I2003"/>
  <c r="J2003"/>
  <c r="K2003"/>
  <c r="B2038"/>
  <c r="C2038"/>
  <c r="D2038"/>
  <c r="E2038"/>
  <c r="F2038"/>
  <c r="Q1739"/>
  <c r="Q1730"/>
  <c r="D390"/>
  <c r="K385"/>
  <c r="L385"/>
  <c r="F128" i="8"/>
  <c r="F139" s="1"/>
  <c r="J385" i="35"/>
  <c r="H49" i="3"/>
  <c r="J1650" i="35" s="1"/>
  <c r="J2095"/>
  <c r="Q1762"/>
  <c r="Q1761"/>
  <c r="Q1760"/>
  <c r="Q1759"/>
  <c r="Q1758"/>
  <c r="Q1757"/>
  <c r="Q1756"/>
  <c r="Q1755"/>
  <c r="Q1754"/>
  <c r="Q1753"/>
  <c r="Q1752"/>
  <c r="Q1751"/>
  <c r="Q1750"/>
  <c r="Q1749"/>
  <c r="Q1748"/>
  <c r="Q1747"/>
  <c r="Q1746"/>
  <c r="Q1745"/>
  <c r="Q1744"/>
  <c r="Q1743"/>
  <c r="Q1742"/>
  <c r="Q1741"/>
  <c r="Q1740"/>
  <c r="Q1738"/>
  <c r="Q1737"/>
  <c r="Q1736"/>
  <c r="F140" i="8"/>
  <c r="K23"/>
  <c r="K34" s="1"/>
  <c r="V48" i="36"/>
  <c r="J57" s="1"/>
  <c r="AK48"/>
  <c r="J60" s="1"/>
  <c r="CS48"/>
  <c r="P1739" i="35"/>
  <c r="AO48" i="36"/>
  <c r="AA57"/>
  <c r="AD1734" i="35"/>
  <c r="AF1734"/>
  <c r="AH1734"/>
  <c r="AO1734"/>
  <c r="AQ1734"/>
  <c r="BC1734"/>
  <c r="BE1734"/>
  <c r="BG1734"/>
  <c r="CH1734"/>
  <c r="CJ1734"/>
  <c r="CQ1734"/>
  <c r="CS1734"/>
  <c r="CU1734"/>
  <c r="FT1734"/>
  <c r="FV1734"/>
  <c r="FX1734"/>
  <c r="FZ1734"/>
  <c r="GB1734"/>
  <c r="GD1734"/>
  <c r="GF1734"/>
  <c r="GH1734"/>
  <c r="GJ1734"/>
  <c r="GL1734"/>
  <c r="BB1734"/>
  <c r="BA1734"/>
  <c r="AZ1734"/>
  <c r="AY1734"/>
  <c r="AX1734"/>
  <c r="BQ1734"/>
  <c r="BP1734"/>
  <c r="BO1734"/>
  <c r="BN1734"/>
  <c r="BM1734"/>
  <c r="DJ1734"/>
  <c r="DN1734"/>
  <c r="DD1734"/>
  <c r="DH1734"/>
  <c r="DL1734"/>
  <c r="DB1734"/>
  <c r="DF1734"/>
  <c r="ED1734"/>
  <c r="DT1734"/>
  <c r="DX1734"/>
  <c r="EB1734"/>
  <c r="DR1734"/>
  <c r="DV1734"/>
  <c r="DZ1734"/>
  <c r="DP1734"/>
  <c r="EN1734"/>
  <c r="ER1734"/>
  <c r="EH1734"/>
  <c r="EL1734"/>
  <c r="EP1734"/>
  <c r="EF1734"/>
  <c r="EJ1734"/>
  <c r="EX1734"/>
  <c r="EW1734"/>
  <c r="EV1734"/>
  <c r="ET1734"/>
  <c r="FB1734"/>
  <c r="EZ1734"/>
  <c r="FR1734"/>
  <c r="FP1734"/>
  <c r="FN1734"/>
  <c r="FL1734"/>
  <c r="FJ1734"/>
  <c r="FH1734"/>
  <c r="FF1734"/>
  <c r="FD1734"/>
  <c r="CP1734"/>
  <c r="CF1734"/>
  <c r="CA1734"/>
  <c r="CY1734"/>
  <c r="CN1734"/>
  <c r="BY1734"/>
  <c r="CW1734"/>
  <c r="CC1734"/>
  <c r="CV1734"/>
  <c r="AM1734"/>
  <c r="AC1734"/>
  <c r="X1734"/>
  <c r="BU1734"/>
  <c r="W1734"/>
  <c r="CT48" i="36"/>
  <c r="CR48"/>
  <c r="AI48"/>
  <c r="H60" s="1"/>
  <c r="W48"/>
  <c r="K57" s="1"/>
  <c r="U48"/>
  <c r="I57" s="1"/>
  <c r="CQ48"/>
  <c r="AS48"/>
  <c r="H66" s="1"/>
  <c r="AQ48"/>
  <c r="AM48"/>
  <c r="L60" s="1"/>
  <c r="A1726" i="35"/>
  <c r="GM1726"/>
  <c r="GO1726"/>
  <c r="GQ1726"/>
  <c r="GS1726"/>
  <c r="GU1726"/>
  <c r="GW1726"/>
  <c r="GY1726"/>
  <c r="HA1726"/>
  <c r="HC1726"/>
  <c r="HE1726"/>
  <c r="HG1726"/>
  <c r="HI1726"/>
  <c r="HK1726"/>
  <c r="AW1726"/>
  <c r="BB1726"/>
  <c r="AV1726"/>
  <c r="BA1726"/>
  <c r="AU1726"/>
  <c r="AZ1726"/>
  <c r="AT1726"/>
  <c r="AY1726"/>
  <c r="AS1726"/>
  <c r="AX1726"/>
  <c r="BL1726"/>
  <c r="BQ1726"/>
  <c r="BK1726"/>
  <c r="BP1726"/>
  <c r="BJ1726"/>
  <c r="BO1726"/>
  <c r="BI1726"/>
  <c r="BN1726"/>
  <c r="BH1726"/>
  <c r="BM1726"/>
  <c r="DO1726"/>
  <c r="DJ1726"/>
  <c r="DE1726"/>
  <c r="DN1726"/>
  <c r="DI1726"/>
  <c r="DD1726"/>
  <c r="DM1726"/>
  <c r="DH1726"/>
  <c r="DC1726"/>
  <c r="DL1726"/>
  <c r="DG1726"/>
  <c r="DB1726"/>
  <c r="DK1726"/>
  <c r="DF1726"/>
  <c r="DA1726"/>
  <c r="ED1726"/>
  <c r="DY1726"/>
  <c r="DT1726"/>
  <c r="EC1726"/>
  <c r="DX1726"/>
  <c r="DS1726"/>
  <c r="EB1726"/>
  <c r="DW1726"/>
  <c r="DR1726"/>
  <c r="EA1726"/>
  <c r="DV1726"/>
  <c r="DQ1726"/>
  <c r="DZ1726"/>
  <c r="DU1726"/>
  <c r="DP1726"/>
  <c r="ES1726"/>
  <c r="EN1726"/>
  <c r="EI1726"/>
  <c r="ER1726"/>
  <c r="EM1726"/>
  <c r="EH1726"/>
  <c r="EQ1726"/>
  <c r="EL1726"/>
  <c r="EG1726"/>
  <c r="EP1726"/>
  <c r="EK1726"/>
  <c r="EF1726"/>
  <c r="EO1726"/>
  <c r="EJ1726"/>
  <c r="EE1726"/>
  <c r="EW1726"/>
  <c r="EV1726"/>
  <c r="EU1726"/>
  <c r="ET1726"/>
  <c r="FC1726"/>
  <c r="FB1726"/>
  <c r="FA1726"/>
  <c r="EZ1726"/>
  <c r="EY1726"/>
  <c r="FR1726"/>
  <c r="FQ1726"/>
  <c r="FP1726"/>
  <c r="FO1726"/>
  <c r="FN1726"/>
  <c r="FM1726"/>
  <c r="FL1726"/>
  <c r="FK1726"/>
  <c r="FJ1726"/>
  <c r="FI1726"/>
  <c r="FH1726"/>
  <c r="FG1726"/>
  <c r="FF1726"/>
  <c r="FE1726"/>
  <c r="FD1726"/>
  <c r="CZ1726"/>
  <c r="CF1726"/>
  <c r="CO1726"/>
  <c r="BZ1726"/>
  <c r="CX1726"/>
  <c r="CN1726"/>
  <c r="CD1726"/>
  <c r="CL1726"/>
  <c r="BW1726"/>
  <c r="BV1726"/>
  <c r="AC1726"/>
  <c r="AL1726"/>
  <c r="AK1726"/>
  <c r="BS1726"/>
  <c r="BR1726"/>
  <c r="AI1726"/>
  <c r="AD1726"/>
  <c r="AE1726"/>
  <c r="AF1726"/>
  <c r="AG1726"/>
  <c r="AH1726"/>
  <c r="AN1726"/>
  <c r="AO1726"/>
  <c r="AP1726"/>
  <c r="AQ1726"/>
  <c r="AR1726"/>
  <c r="BC1726"/>
  <c r="BD1726"/>
  <c r="BE1726"/>
  <c r="BF1726"/>
  <c r="BG1726"/>
  <c r="CG1726"/>
  <c r="CH1726"/>
  <c r="CI1726"/>
  <c r="CJ1726"/>
  <c r="CK1726"/>
  <c r="CQ1726"/>
  <c r="CR1726"/>
  <c r="CS1726"/>
  <c r="CT1726"/>
  <c r="CU1726"/>
  <c r="FS1726"/>
  <c r="FT1726"/>
  <c r="FU1726"/>
  <c r="FV1726"/>
  <c r="FW1726"/>
  <c r="FX1726"/>
  <c r="FY1726"/>
  <c r="FZ1726"/>
  <c r="GA1726"/>
  <c r="GB1726"/>
  <c r="GC1726"/>
  <c r="GD1726"/>
  <c r="GE1726"/>
  <c r="GF1726"/>
  <c r="GG1726"/>
  <c r="GH1726"/>
  <c r="GI1726"/>
  <c r="GJ1726"/>
  <c r="GK1726"/>
  <c r="GL1726"/>
  <c r="GN1726"/>
  <c r="GP1726"/>
  <c r="GR1726"/>
  <c r="GT1726"/>
  <c r="GV1726"/>
  <c r="GX1726"/>
  <c r="GZ1726"/>
  <c r="HB1726"/>
  <c r="HD1726"/>
  <c r="HF1726"/>
  <c r="HH1726"/>
  <c r="HJ1726"/>
  <c r="EX1726"/>
  <c r="CP1726"/>
  <c r="CA1726"/>
  <c r="CY1726"/>
  <c r="CE1726"/>
  <c r="BY1726"/>
  <c r="CW1726"/>
  <c r="CM1726"/>
  <c r="CC1726"/>
  <c r="BX1726"/>
  <c r="CV1726"/>
  <c r="CB1726"/>
  <c r="AM1726"/>
  <c r="X1726"/>
  <c r="BU1726"/>
  <c r="AB1726"/>
  <c r="BT1726"/>
  <c r="V1726"/>
  <c r="B101" i="8"/>
  <c r="D101"/>
  <c r="F101"/>
  <c r="H101"/>
  <c r="J101"/>
  <c r="I27"/>
  <c r="H62"/>
  <c r="B97"/>
  <c r="J97"/>
  <c r="D132"/>
  <c r="B1918" i="35"/>
  <c r="C30" i="8"/>
  <c r="U1616" i="35"/>
  <c r="I95" i="8"/>
  <c r="D130"/>
  <c r="C95"/>
  <c r="G95"/>
  <c r="K95"/>
  <c r="B130"/>
  <c r="F130"/>
  <c r="B95"/>
  <c r="D95"/>
  <c r="F95"/>
  <c r="H95"/>
  <c r="J95"/>
  <c r="C130"/>
  <c r="E130"/>
  <c r="C42"/>
  <c r="G23"/>
  <c r="G34" s="1"/>
  <c r="E58"/>
  <c r="E69" s="1"/>
  <c r="B1923" i="35"/>
  <c r="D1923"/>
  <c r="F1923"/>
  <c r="H1923"/>
  <c r="J1923"/>
  <c r="H385"/>
  <c r="H402" s="1"/>
  <c r="S1570"/>
  <c r="F1870"/>
  <c r="K1878"/>
  <c r="E23" i="8"/>
  <c r="E34" s="1"/>
  <c r="I23"/>
  <c r="I34" s="1"/>
  <c r="C58"/>
  <c r="C69" s="1"/>
  <c r="I58"/>
  <c r="A2051" i="35"/>
  <c r="H2051" s="1"/>
  <c r="K27" i="8"/>
  <c r="G27"/>
  <c r="C27"/>
  <c r="B62"/>
  <c r="F62"/>
  <c r="J62"/>
  <c r="D97"/>
  <c r="H97"/>
  <c r="B132"/>
  <c r="F132"/>
  <c r="B27"/>
  <c r="J27"/>
  <c r="H27"/>
  <c r="F27"/>
  <c r="D27"/>
  <c r="C62"/>
  <c r="E62"/>
  <c r="G62"/>
  <c r="I62"/>
  <c r="K62"/>
  <c r="C97"/>
  <c r="E97"/>
  <c r="G97"/>
  <c r="I97"/>
  <c r="K97"/>
  <c r="C132"/>
  <c r="E132"/>
  <c r="A1612" i="35"/>
  <c r="S123" i="15"/>
  <c r="Q14" i="36"/>
  <c r="Q12"/>
  <c r="Q20"/>
  <c r="Q18"/>
  <c r="Q16"/>
  <c r="B1958" i="35"/>
  <c r="D1958"/>
  <c r="F1958"/>
  <c r="H1958"/>
  <c r="J1958"/>
  <c r="B1993"/>
  <c r="D1993"/>
  <c r="F1993"/>
  <c r="H1993"/>
  <c r="J1993"/>
  <c r="P1735"/>
  <c r="Q19" i="36"/>
  <c r="P1733" i="35"/>
  <c r="Q17" i="36"/>
  <c r="FZ48"/>
  <c r="FT48"/>
  <c r="FV48"/>
  <c r="P1731" i="35"/>
  <c r="Q10" i="36"/>
  <c r="Q13"/>
  <c r="Q11"/>
  <c r="G1513" i="35"/>
  <c r="A1511"/>
  <c r="M1513"/>
  <c r="P1513"/>
  <c r="G1519"/>
  <c r="S1519"/>
  <c r="S1513"/>
  <c r="M1528"/>
  <c r="P1528"/>
  <c r="S1528"/>
  <c r="M1532"/>
  <c r="P1532"/>
  <c r="S1532"/>
  <c r="G1579"/>
  <c r="M1552"/>
  <c r="P1552"/>
  <c r="S1552"/>
  <c r="J1564"/>
  <c r="M1564"/>
  <c r="P1564"/>
  <c r="S1564"/>
  <c r="M1570"/>
  <c r="P1570"/>
  <c r="M1579"/>
  <c r="P1579"/>
  <c r="S1579"/>
  <c r="G1594"/>
  <c r="G1605"/>
  <c r="C1605" s="1"/>
  <c r="A1592"/>
  <c r="S1594"/>
  <c r="S1600"/>
  <c r="M1605"/>
  <c r="S1605"/>
  <c r="S1613"/>
  <c r="M1613"/>
  <c r="P1613"/>
  <c r="G1617"/>
  <c r="J1617"/>
  <c r="M1617"/>
  <c r="P1617"/>
  <c r="S1617"/>
  <c r="U1578"/>
  <c r="U1593"/>
  <c r="J1633"/>
  <c r="J1637" s="1"/>
  <c r="P1633"/>
  <c r="P1637" s="1"/>
  <c r="C109" i="15"/>
  <c r="G1564" i="35"/>
  <c r="R2672"/>
  <c r="G1613"/>
  <c r="U1512"/>
  <c r="F2509"/>
  <c r="G2502" s="1"/>
  <c r="P2509"/>
  <c r="G2504" s="1"/>
  <c r="O2547"/>
  <c r="P2624"/>
  <c r="J1605"/>
  <c r="F108" i="15"/>
  <c r="J1552" i="35"/>
  <c r="J1532"/>
  <c r="G1532"/>
  <c r="U1551"/>
  <c r="A1551"/>
  <c r="U1599"/>
  <c r="A1599"/>
  <c r="T1725"/>
  <c r="Y1725"/>
  <c r="AI1725"/>
  <c r="Z1725"/>
  <c r="V1725"/>
  <c r="AK1725"/>
  <c r="AB1725"/>
  <c r="AI1762"/>
  <c r="Z1762"/>
  <c r="V1762"/>
  <c r="AK1762"/>
  <c r="T1761"/>
  <c r="Y1761"/>
  <c r="U1761"/>
  <c r="AJ1761"/>
  <c r="BS1761"/>
  <c r="AA1761"/>
  <c r="W1761"/>
  <c r="AI1760"/>
  <c r="Z1760"/>
  <c r="V1760"/>
  <c r="AK1760"/>
  <c r="T1759"/>
  <c r="Y1759"/>
  <c r="U1759"/>
  <c r="AJ1759"/>
  <c r="BS1759"/>
  <c r="AA1759"/>
  <c r="W1759"/>
  <c r="AI1758"/>
  <c r="Z1758"/>
  <c r="V1758"/>
  <c r="AK1758"/>
  <c r="T1757"/>
  <c r="Y1757"/>
  <c r="U1757"/>
  <c r="AJ1757"/>
  <c r="BS1757"/>
  <c r="AA1757"/>
  <c r="W1757"/>
  <c r="AI1756"/>
  <c r="Z1756"/>
  <c r="V1756"/>
  <c r="AK1756"/>
  <c r="T1755"/>
  <c r="Y1755"/>
  <c r="U1755"/>
  <c r="AJ1755"/>
  <c r="BS1755"/>
  <c r="AA1755"/>
  <c r="W1755"/>
  <c r="AI1754"/>
  <c r="Z1754"/>
  <c r="V1754"/>
  <c r="AK1754"/>
  <c r="T1753"/>
  <c r="Y1753"/>
  <c r="U1753"/>
  <c r="AJ1753"/>
  <c r="BS1753"/>
  <c r="AA1753"/>
  <c r="W1753"/>
  <c r="AI1752"/>
  <c r="Z1752"/>
  <c r="V1752"/>
  <c r="AK1752"/>
  <c r="T1751"/>
  <c r="Y1751"/>
  <c r="U1751"/>
  <c r="AJ1751"/>
  <c r="BS1751"/>
  <c r="AA1751"/>
  <c r="W1751"/>
  <c r="AI1750"/>
  <c r="Z1750"/>
  <c r="V1750"/>
  <c r="AK1750"/>
  <c r="T1749"/>
  <c r="Y1749"/>
  <c r="U1749"/>
  <c r="AJ1749"/>
  <c r="BS1749"/>
  <c r="AA1749"/>
  <c r="W1749"/>
  <c r="AI1748"/>
  <c r="Z1748"/>
  <c r="V1748"/>
  <c r="AK1748"/>
  <c r="T1747"/>
  <c r="Y1747"/>
  <c r="U1747"/>
  <c r="AJ1747"/>
  <c r="BS1747"/>
  <c r="AA1747"/>
  <c r="W1747"/>
  <c r="AI1746"/>
  <c r="Z1746"/>
  <c r="V1746"/>
  <c r="AK1746"/>
  <c r="T1745"/>
  <c r="Y1745"/>
  <c r="U1745"/>
  <c r="AJ1745"/>
  <c r="BS1745"/>
  <c r="AA1745"/>
  <c r="W1745"/>
  <c r="AI1744"/>
  <c r="Z1744"/>
  <c r="V1744"/>
  <c r="AK1744"/>
  <c r="T1743"/>
  <c r="Y1743"/>
  <c r="U1743"/>
  <c r="AJ1743"/>
  <c r="BS1743"/>
  <c r="AA1743"/>
  <c r="W1743"/>
  <c r="AI1742"/>
  <c r="Z1742"/>
  <c r="V1742"/>
  <c r="AK1742"/>
  <c r="T1741"/>
  <c r="Y1741"/>
  <c r="U1741"/>
  <c r="AJ1741"/>
  <c r="BS1741"/>
  <c r="AA1741"/>
  <c r="W1741"/>
  <c r="AI1740"/>
  <c r="Z1740"/>
  <c r="V1740"/>
  <c r="AK1740"/>
  <c r="T1739"/>
  <c r="Y1739"/>
  <c r="U1739"/>
  <c r="AJ1739"/>
  <c r="BS1739"/>
  <c r="AA1739"/>
  <c r="W1739"/>
  <c r="AI1738"/>
  <c r="Z1738"/>
  <c r="V1738"/>
  <c r="AK1738"/>
  <c r="T1737"/>
  <c r="Y1737"/>
  <c r="U1737"/>
  <c r="AJ1737"/>
  <c r="BS1737"/>
  <c r="AA1737"/>
  <c r="W1737"/>
  <c r="AI1736"/>
  <c r="Z1736"/>
  <c r="V1736"/>
  <c r="AK1736"/>
  <c r="T1735"/>
  <c r="Y1735"/>
  <c r="U1735"/>
  <c r="AJ1735"/>
  <c r="BS1735"/>
  <c r="AA1735"/>
  <c r="W1735"/>
  <c r="AI1734"/>
  <c r="Z1734"/>
  <c r="V1734"/>
  <c r="AK1734"/>
  <c r="AB1734"/>
  <c r="T1733"/>
  <c r="Y1733"/>
  <c r="U1733"/>
  <c r="AJ1733"/>
  <c r="BS1733"/>
  <c r="AA1733"/>
  <c r="W1733"/>
  <c r="AI1732"/>
  <c r="Z1732"/>
  <c r="V1732"/>
  <c r="AK1732"/>
  <c r="AB1732"/>
  <c r="T1731"/>
  <c r="Y1731"/>
  <c r="U1731"/>
  <c r="AJ1731"/>
  <c r="BS1731"/>
  <c r="AA1731"/>
  <c r="W1731"/>
  <c r="AI1730"/>
  <c r="Z1730"/>
  <c r="V1730"/>
  <c r="AK1730"/>
  <c r="AB1730"/>
  <c r="T1729"/>
  <c r="Y1729"/>
  <c r="BS1729"/>
  <c r="U1728"/>
  <c r="AJ1728"/>
  <c r="AA1728"/>
  <c r="W1728"/>
  <c r="T1727"/>
  <c r="Y1727"/>
  <c r="AI1727"/>
  <c r="Z1727"/>
  <c r="BS1727"/>
  <c r="V1727"/>
  <c r="AK1727"/>
  <c r="AB1727"/>
  <c r="U1726"/>
  <c r="AJ1726"/>
  <c r="AA1726"/>
  <c r="W1726"/>
  <c r="O2727"/>
  <c r="O2719" s="1"/>
  <c r="L2728"/>
  <c r="J1579"/>
  <c r="P2683"/>
  <c r="AA1760"/>
  <c r="AA1756"/>
  <c r="AA1752"/>
  <c r="AA1748"/>
  <c r="V1761"/>
  <c r="V1757"/>
  <c r="V1753"/>
  <c r="V1749"/>
  <c r="V1745"/>
  <c r="V1741"/>
  <c r="AJ1762"/>
  <c r="AJ1758"/>
  <c r="AJ1754"/>
  <c r="AJ1750"/>
  <c r="AJ1746"/>
  <c r="AJ1742"/>
  <c r="AJ1738"/>
  <c r="AJ1734"/>
  <c r="AJ1730"/>
  <c r="AJ1725"/>
  <c r="Z1759"/>
  <c r="Z1755"/>
  <c r="Z1751"/>
  <c r="Z1747"/>
  <c r="Z1743"/>
  <c r="Z1739"/>
  <c r="Z1735"/>
  <c r="Z1731"/>
  <c r="Z1726"/>
  <c r="U1760"/>
  <c r="U1756"/>
  <c r="U1752"/>
  <c r="U1748"/>
  <c r="U1744"/>
  <c r="U1740"/>
  <c r="U1736"/>
  <c r="U1732"/>
  <c r="U1727"/>
  <c r="AI1761"/>
  <c r="AI1757"/>
  <c r="AI1753"/>
  <c r="AI1749"/>
  <c r="AI1745"/>
  <c r="AI1741"/>
  <c r="AI1737"/>
  <c r="AI1733"/>
  <c r="AI1728"/>
  <c r="Y1762"/>
  <c r="Y1758"/>
  <c r="Y1754"/>
  <c r="Y1750"/>
  <c r="Y1746"/>
  <c r="Y1742"/>
  <c r="Y1738"/>
  <c r="Y1734"/>
  <c r="Y1730"/>
  <c r="Y1726"/>
  <c r="T1760"/>
  <c r="T1756"/>
  <c r="T1752"/>
  <c r="T1748"/>
  <c r="T1744"/>
  <c r="T1740"/>
  <c r="T1736"/>
  <c r="T1732"/>
  <c r="T1728"/>
  <c r="U1511"/>
  <c r="U1592"/>
  <c r="L378"/>
  <c r="C93" i="8"/>
  <c r="J1651" i="35"/>
  <c r="J1653" s="1"/>
  <c r="J154" i="15"/>
  <c r="J155" s="1"/>
  <c r="J157" s="1"/>
  <c r="B2028" i="35"/>
  <c r="D2028"/>
  <c r="F2028"/>
  <c r="C2033"/>
  <c r="E2033"/>
  <c r="C1923"/>
  <c r="E1923"/>
  <c r="G1923"/>
  <c r="I1923"/>
  <c r="K1923"/>
  <c r="G58" i="8"/>
  <c r="G69" s="1"/>
  <c r="K58"/>
  <c r="K69" s="1"/>
  <c r="G93"/>
  <c r="C1922" i="35"/>
  <c r="E1922"/>
  <c r="G1922"/>
  <c r="I1922"/>
  <c r="K1922"/>
  <c r="C2028"/>
  <c r="E2028"/>
  <c r="B2033"/>
  <c r="D2033"/>
  <c r="F2033"/>
  <c r="P2786"/>
  <c r="P2498" s="1"/>
  <c r="E1529"/>
  <c r="K93" i="8"/>
  <c r="D136"/>
  <c r="B136"/>
  <c r="F136"/>
  <c r="C136"/>
  <c r="E136"/>
  <c r="B46"/>
  <c r="K35"/>
  <c r="G35"/>
  <c r="C35"/>
  <c r="B1910" i="35"/>
  <c r="C1928"/>
  <c r="E1928"/>
  <c r="G1928"/>
  <c r="I1928"/>
  <c r="K1928"/>
  <c r="C1963"/>
  <c r="E1963"/>
  <c r="G1963"/>
  <c r="I1963"/>
  <c r="K1963"/>
  <c r="C1998"/>
  <c r="E1998"/>
  <c r="G1998"/>
  <c r="I1998"/>
  <c r="K1998"/>
  <c r="C1958"/>
  <c r="E1958"/>
  <c r="G1958"/>
  <c r="I1958"/>
  <c r="K1958"/>
  <c r="C1993"/>
  <c r="E1993"/>
  <c r="G1993"/>
  <c r="I1993"/>
  <c r="K1993"/>
  <c r="G1600"/>
  <c r="BY1729"/>
  <c r="EV1730"/>
  <c r="K1868"/>
  <c r="B23" i="8"/>
  <c r="D23"/>
  <c r="F23"/>
  <c r="H23"/>
  <c r="J23"/>
  <c r="B58"/>
  <c r="D58"/>
  <c r="D71" s="1"/>
  <c r="F58"/>
  <c r="H58"/>
  <c r="J58"/>
  <c r="B93"/>
  <c r="B104" s="1"/>
  <c r="E93"/>
  <c r="I93"/>
  <c r="C128"/>
  <c r="C139" s="1"/>
  <c r="H71"/>
  <c r="C32"/>
  <c r="B1928" i="35"/>
  <c r="D1928"/>
  <c r="F1928"/>
  <c r="H1928"/>
  <c r="J1928"/>
  <c r="B1963"/>
  <c r="D1963"/>
  <c r="F1963"/>
  <c r="H1963"/>
  <c r="J1963"/>
  <c r="B1998"/>
  <c r="D1998"/>
  <c r="F1998"/>
  <c r="H1998"/>
  <c r="J1998"/>
  <c r="F1881"/>
  <c r="GL48" i="36"/>
  <c r="GJ48"/>
  <c r="GH48"/>
  <c r="GB48"/>
  <c r="FX48"/>
  <c r="A1730" i="35"/>
  <c r="EX1730"/>
  <c r="EW1730"/>
  <c r="FM48" i="36"/>
  <c r="L88" s="1"/>
  <c r="EU48"/>
  <c r="I85" s="1"/>
  <c r="BC48"/>
  <c r="AA60"/>
  <c r="P1730" i="35"/>
  <c r="P1729"/>
  <c r="P1728"/>
  <c r="P1727"/>
  <c r="P1726"/>
  <c r="P1725"/>
  <c r="L1689"/>
  <c r="L26" i="3"/>
  <c r="L27" s="1"/>
  <c r="L379" i="35"/>
  <c r="J123" i="15"/>
  <c r="J140" s="1"/>
  <c r="J142" s="1"/>
  <c r="J144" s="1"/>
  <c r="J1570" i="35"/>
  <c r="J1528"/>
  <c r="G1528"/>
  <c r="S1523"/>
  <c r="J1523"/>
  <c r="G1523"/>
  <c r="J1513"/>
  <c r="G123" i="15"/>
  <c r="H403" i="35" s="1"/>
  <c r="D2019"/>
  <c r="B108" i="8"/>
  <c r="D1984" i="35"/>
  <c r="F1984"/>
  <c r="H1984"/>
  <c r="J1984"/>
  <c r="B2019"/>
  <c r="F144" i="8"/>
  <c r="O294" i="11"/>
  <c r="O6" s="1"/>
  <c r="O2786" i="35"/>
  <c r="O2498" s="1"/>
  <c r="AY48" i="36"/>
  <c r="Z65" s="1"/>
  <c r="AW48"/>
  <c r="L66" s="1"/>
  <c r="I65"/>
  <c r="Y66"/>
  <c r="P148"/>
  <c r="P158" s="1"/>
  <c r="B19" i="8" s="1"/>
  <c r="K89" s="1"/>
  <c r="E1763" i="35"/>
  <c r="EV1729"/>
  <c r="GK48" i="36"/>
  <c r="GI48"/>
  <c r="GC48"/>
  <c r="GA48"/>
  <c r="FY48"/>
  <c r="FW48"/>
  <c r="FU48"/>
  <c r="FS48"/>
  <c r="FP48"/>
  <c r="J87" s="1"/>
  <c r="FN48"/>
  <c r="H87" s="1"/>
  <c r="FO48"/>
  <c r="I87" s="1"/>
  <c r="EZ48"/>
  <c r="Z86" s="1"/>
  <c r="FG48"/>
  <c r="K89" s="1"/>
  <c r="CZ48"/>
  <c r="L97" s="1"/>
  <c r="FB48"/>
  <c r="K86" s="1"/>
  <c r="FI48"/>
  <c r="Y88" s="1"/>
  <c r="FC48"/>
  <c r="L86" s="1"/>
  <c r="FA48"/>
  <c r="AA86" s="1"/>
  <c r="L48"/>
  <c r="L49" s="1"/>
  <c r="B14" i="8" s="1"/>
  <c r="I86" i="36"/>
  <c r="FR48"/>
  <c r="L87" s="1"/>
  <c r="FE48"/>
  <c r="I89" s="1"/>
  <c r="EY48"/>
  <c r="H86" s="1"/>
  <c r="BA48"/>
  <c r="K65" s="1"/>
  <c r="AU48"/>
  <c r="J66" s="1"/>
  <c r="AI1729" i="35"/>
  <c r="FK48" i="36"/>
  <c r="J88" s="1"/>
  <c r="EW48"/>
  <c r="K85" s="1"/>
  <c r="CY48"/>
  <c r="AB97" s="1"/>
  <c r="CX48"/>
  <c r="AA97" s="1"/>
  <c r="BU48"/>
  <c r="AB62" s="1"/>
  <c r="CR1763" i="35"/>
  <c r="FW1763"/>
  <c r="J97" i="36"/>
  <c r="K97"/>
  <c r="CT1763" i="35"/>
  <c r="BT1763"/>
  <c r="J1777" s="1"/>
  <c r="CW48" i="36"/>
  <c r="I97" s="1"/>
  <c r="CV48"/>
  <c r="H97" s="1"/>
  <c r="BV48"/>
  <c r="L62" s="1"/>
  <c r="AA88"/>
  <c r="AB85"/>
  <c r="DZ48"/>
  <c r="BT48"/>
  <c r="J62" s="1"/>
  <c r="BS48"/>
  <c r="Z62" s="1"/>
  <c r="BR48"/>
  <c r="H62" s="1"/>
  <c r="FY1763" i="35"/>
  <c r="GA1763"/>
  <c r="GE1763"/>
  <c r="GG1763"/>
  <c r="GI1763"/>
  <c r="CZ1763"/>
  <c r="AC1812" s="1"/>
  <c r="CX1763"/>
  <c r="AA1812" s="1"/>
  <c r="CV1763"/>
  <c r="Y1812" s="1"/>
  <c r="I62" i="36"/>
  <c r="Z97"/>
  <c r="FF48"/>
  <c r="AA89" s="1"/>
  <c r="FL48"/>
  <c r="AB88" s="1"/>
  <c r="EX48"/>
  <c r="AC85" s="1"/>
  <c r="ET48"/>
  <c r="Y85" s="1"/>
  <c r="BE48"/>
  <c r="BG48"/>
  <c r="FH48"/>
  <c r="AC89" s="1"/>
  <c r="FD48"/>
  <c r="Y89" s="1"/>
  <c r="FJ48"/>
  <c r="Z88" s="1"/>
  <c r="FQ48"/>
  <c r="K87" s="1"/>
  <c r="EV48"/>
  <c r="AA85" s="1"/>
  <c r="AB89"/>
  <c r="A48"/>
  <c r="A7" s="1"/>
  <c r="DP48"/>
  <c r="H76" s="1"/>
  <c r="EJ48"/>
  <c r="H80" s="1"/>
  <c r="FS1763" i="35"/>
  <c r="GC1763"/>
  <c r="GK1763"/>
  <c r="BV1763"/>
  <c r="L1777" s="1"/>
  <c r="BR1763"/>
  <c r="Y1777" s="1"/>
  <c r="CK48" i="36"/>
  <c r="GR48"/>
  <c r="DK48"/>
  <c r="BD48"/>
  <c r="AC57"/>
  <c r="Y57"/>
  <c r="BB48"/>
  <c r="AC65" s="1"/>
  <c r="AZ48"/>
  <c r="AA65" s="1"/>
  <c r="AX48"/>
  <c r="Y65" s="1"/>
  <c r="AV48"/>
  <c r="K66" s="1"/>
  <c r="AT48"/>
  <c r="Z66" s="1"/>
  <c r="AR48"/>
  <c r="AP48"/>
  <c r="AN48"/>
  <c r="DO48"/>
  <c r="DI48"/>
  <c r="K74" s="1"/>
  <c r="DC48"/>
  <c r="J73" s="1"/>
  <c r="DU48"/>
  <c r="H77" s="1"/>
  <c r="L65"/>
  <c r="L67" s="1"/>
  <c r="J65"/>
  <c r="H65"/>
  <c r="H67" s="1"/>
  <c r="AB66"/>
  <c r="I66"/>
  <c r="GM1729" i="35"/>
  <c r="GM1763" s="1"/>
  <c r="GN1729"/>
  <c r="GO1729"/>
  <c r="GO1763" s="1"/>
  <c r="GP1729"/>
  <c r="GQ1729"/>
  <c r="GR1729"/>
  <c r="GS1729"/>
  <c r="GS1763" s="1"/>
  <c r="GT1729"/>
  <c r="GU1729"/>
  <c r="GU1763" s="1"/>
  <c r="GV1729"/>
  <c r="GW1729"/>
  <c r="GW1763" s="1"/>
  <c r="GX1729"/>
  <c r="GY1729"/>
  <c r="GY1763" s="1"/>
  <c r="GZ1729"/>
  <c r="HA1729"/>
  <c r="HA1763" s="1"/>
  <c r="HB1729"/>
  <c r="HC1729"/>
  <c r="HC1763" s="1"/>
  <c r="HD1729"/>
  <c r="HE1729"/>
  <c r="HE1763" s="1"/>
  <c r="HF1729"/>
  <c r="HG1729"/>
  <c r="HH1729"/>
  <c r="HI1729"/>
  <c r="HI1763" s="1"/>
  <c r="HJ1729"/>
  <c r="HK1729"/>
  <c r="HK1763" s="1"/>
  <c r="CP1729"/>
  <c r="CF1729"/>
  <c r="CF1763" s="1"/>
  <c r="AC1808" s="1"/>
  <c r="CA1729"/>
  <c r="CA1763" s="1"/>
  <c r="L1807" s="1"/>
  <c r="CO1729"/>
  <c r="CE1729"/>
  <c r="BZ1729"/>
  <c r="CL1729"/>
  <c r="CB1729"/>
  <c r="CB1763" s="1"/>
  <c r="Y1808" s="1"/>
  <c r="BW1729"/>
  <c r="AM1729"/>
  <c r="AM1763" s="1"/>
  <c r="AC1729"/>
  <c r="AC1763" s="1"/>
  <c r="L1773" s="1"/>
  <c r="X1729"/>
  <c r="X1763" s="1"/>
  <c r="AL1729"/>
  <c r="AB1729"/>
  <c r="W1729"/>
  <c r="AK1729"/>
  <c r="AK1763" s="1"/>
  <c r="AA1729"/>
  <c r="AA1763" s="1"/>
  <c r="J1773" s="1"/>
  <c r="V1729"/>
  <c r="V1763" s="1"/>
  <c r="J1772" s="1"/>
  <c r="AJ1729"/>
  <c r="Z1729"/>
  <c r="U1729"/>
  <c r="EO48" i="36"/>
  <c r="AC48"/>
  <c r="AC58" s="1"/>
  <c r="AB48"/>
  <c r="AB58" s="1"/>
  <c r="AC60"/>
  <c r="Y60"/>
  <c r="AB57"/>
  <c r="Z57"/>
  <c r="CG48"/>
  <c r="GV48"/>
  <c r="GT48"/>
  <c r="ED48"/>
  <c r="DX48"/>
  <c r="K77" s="1"/>
  <c r="DR48"/>
  <c r="J76" s="1"/>
  <c r="ES48"/>
  <c r="EM48"/>
  <c r="K80" s="1"/>
  <c r="EG48"/>
  <c r="AA79" s="1"/>
  <c r="BF48"/>
  <c r="BH48"/>
  <c r="Y70" s="1"/>
  <c r="BI48"/>
  <c r="Z70" s="1"/>
  <c r="BN48"/>
  <c r="Z69" s="1"/>
  <c r="CF48"/>
  <c r="L93" s="1"/>
  <c r="CE48"/>
  <c r="K93" s="1"/>
  <c r="BW48"/>
  <c r="Y92" s="1"/>
  <c r="AL48"/>
  <c r="AB60" s="1"/>
  <c r="AJ48"/>
  <c r="Z60" s="1"/>
  <c r="AA48"/>
  <c r="J58" s="1"/>
  <c r="Z48"/>
  <c r="Z58" s="1"/>
  <c r="Z59" s="1"/>
  <c r="Z61" s="1"/>
  <c r="Y48"/>
  <c r="H58" s="1"/>
  <c r="BH1763" i="35"/>
  <c r="H1785" s="1"/>
  <c r="DO1763"/>
  <c r="DC1763"/>
  <c r="AA1788" s="1"/>
  <c r="AH48" i="36"/>
  <c r="EE48"/>
  <c r="Y79" s="1"/>
  <c r="AB77"/>
  <c r="AC66"/>
  <c r="GM48"/>
  <c r="AA73"/>
  <c r="CH48"/>
  <c r="HA48"/>
  <c r="GZ48"/>
  <c r="GY48"/>
  <c r="GX48"/>
  <c r="GW48"/>
  <c r="HG48"/>
  <c r="GQ48"/>
  <c r="GP48"/>
  <c r="GS48"/>
  <c r="BM1763" i="35"/>
  <c r="Y1784" s="1"/>
  <c r="DE1763"/>
  <c r="AC1788" s="1"/>
  <c r="DI1763"/>
  <c r="AB1789" s="1"/>
  <c r="DM1763"/>
  <c r="DD48" i="36"/>
  <c r="AB73" s="1"/>
  <c r="DM48"/>
  <c r="DH48"/>
  <c r="J74" s="1"/>
  <c r="DF48"/>
  <c r="H74" s="1"/>
  <c r="DA48"/>
  <c r="H73" s="1"/>
  <c r="DS48"/>
  <c r="K76" s="1"/>
  <c r="EB48"/>
  <c r="DW48"/>
  <c r="J77" s="1"/>
  <c r="EH48"/>
  <c r="K79" s="1"/>
  <c r="EQ48"/>
  <c r="EL48"/>
  <c r="AA80" s="1"/>
  <c r="BM48"/>
  <c r="Y69" s="1"/>
  <c r="BO48"/>
  <c r="J69" s="1"/>
  <c r="GQ1763" i="35"/>
  <c r="HG1763"/>
  <c r="CJ48" i="36"/>
  <c r="CI48"/>
  <c r="BQ48"/>
  <c r="AC69" s="1"/>
  <c r="BP48"/>
  <c r="AB69" s="1"/>
  <c r="DJ48"/>
  <c r="L74" s="1"/>
  <c r="DE48"/>
  <c r="AC73" s="1"/>
  <c r="DN48"/>
  <c r="DL48"/>
  <c r="DG48"/>
  <c r="I74" s="1"/>
  <c r="DB48"/>
  <c r="I73" s="1"/>
  <c r="DY48"/>
  <c r="L77" s="1"/>
  <c r="DT48"/>
  <c r="L76" s="1"/>
  <c r="EC48"/>
  <c r="EA48"/>
  <c r="DV48"/>
  <c r="I77" s="1"/>
  <c r="DQ48"/>
  <c r="Z76" s="1"/>
  <c r="EN48"/>
  <c r="L80" s="1"/>
  <c r="EI48"/>
  <c r="AC79" s="1"/>
  <c r="ER48"/>
  <c r="EP48"/>
  <c r="EK48"/>
  <c r="I80" s="1"/>
  <c r="EF48"/>
  <c r="Z79" s="1"/>
  <c r="BL48"/>
  <c r="AC70" s="1"/>
  <c r="BK48"/>
  <c r="AB70" s="1"/>
  <c r="BJ48"/>
  <c r="AA70" s="1"/>
  <c r="A1763" i="35"/>
  <c r="A1722" s="1"/>
  <c r="AG1763"/>
  <c r="AN1763"/>
  <c r="AP1763"/>
  <c r="BD1763"/>
  <c r="BF1763"/>
  <c r="CG1763"/>
  <c r="CK1763"/>
  <c r="AV1763"/>
  <c r="AB1781" s="1"/>
  <c r="AT1763"/>
  <c r="Z1781" s="1"/>
  <c r="BL1763"/>
  <c r="AC1785" s="1"/>
  <c r="BQ1763"/>
  <c r="AC1784" s="1"/>
  <c r="BO1763"/>
  <c r="J1784" s="1"/>
  <c r="BW1763"/>
  <c r="H1807" s="1"/>
  <c r="AL1763"/>
  <c r="AB1775" s="1"/>
  <c r="AG48" i="36"/>
  <c r="AF48"/>
  <c r="AE48"/>
  <c r="AD48"/>
  <c r="GU48"/>
  <c r="DG1763" i="35"/>
  <c r="Z1789" s="1"/>
  <c r="DK1763"/>
  <c r="DA1763"/>
  <c r="Y1788" s="1"/>
  <c r="ED1763"/>
  <c r="DT1763"/>
  <c r="AC1791" s="1"/>
  <c r="EC1763"/>
  <c r="DX1763"/>
  <c r="AB1792" s="1"/>
  <c r="CD1763"/>
  <c r="J1808" s="1"/>
  <c r="BY1763"/>
  <c r="AA1807" s="1"/>
  <c r="L73" i="36"/>
  <c r="AC76"/>
  <c r="L79"/>
  <c r="H1784" i="35"/>
  <c r="H69" i="36"/>
  <c r="L70"/>
  <c r="CP48"/>
  <c r="AC95" s="1"/>
  <c r="CN48"/>
  <c r="J95" s="1"/>
  <c r="CL48"/>
  <c r="Y95" s="1"/>
  <c r="CA48"/>
  <c r="L92" s="1"/>
  <c r="BZ48"/>
  <c r="AB92" s="1"/>
  <c r="BY48"/>
  <c r="J92" s="1"/>
  <c r="BX48"/>
  <c r="Z92" s="1"/>
  <c r="HF48"/>
  <c r="HE48"/>
  <c r="HD48"/>
  <c r="HC48"/>
  <c r="HB48"/>
  <c r="HK48"/>
  <c r="HJ48"/>
  <c r="HI48"/>
  <c r="HH48"/>
  <c r="GO48"/>
  <c r="GN48"/>
  <c r="CO48"/>
  <c r="K95" s="1"/>
  <c r="CM48"/>
  <c r="Z95" s="1"/>
  <c r="CD48"/>
  <c r="J93" s="1"/>
  <c r="CC48"/>
  <c r="Z93" s="1"/>
  <c r="CB48"/>
  <c r="H93" s="1"/>
  <c r="DN1763" i="35"/>
  <c r="DH1763"/>
  <c r="J1789" s="1"/>
  <c r="DB1763"/>
  <c r="Z1788" s="1"/>
  <c r="BA1763"/>
  <c r="K1780" s="1"/>
  <c r="J67" i="36"/>
  <c r="AE1763" i="35"/>
  <c r="AR1763"/>
  <c r="CI1763"/>
  <c r="AY1763"/>
  <c r="Z1780" s="1"/>
  <c r="BJ1763"/>
  <c r="AA1785" s="1"/>
  <c r="DJ1763"/>
  <c r="L1789" s="1"/>
  <c r="DD1763"/>
  <c r="AB1788" s="1"/>
  <c r="DL1763"/>
  <c r="DF1763"/>
  <c r="Y1789" s="1"/>
  <c r="DY1763"/>
  <c r="AC1792" s="1"/>
  <c r="T1763"/>
  <c r="H1772" s="1"/>
  <c r="K70" i="36"/>
  <c r="CO1763" i="35"/>
  <c r="K1810" s="1"/>
  <c r="CM1763"/>
  <c r="I1810" s="1"/>
  <c r="F1959"/>
  <c r="B1959"/>
  <c r="J1959"/>
  <c r="J35" i="8"/>
  <c r="I35"/>
  <c r="F35"/>
  <c r="E35"/>
  <c r="K36"/>
  <c r="J36"/>
  <c r="G36"/>
  <c r="F36"/>
  <c r="C36"/>
  <c r="C70"/>
  <c r="D70"/>
  <c r="G70"/>
  <c r="H70"/>
  <c r="K70"/>
  <c r="B71"/>
  <c r="J71"/>
  <c r="I71"/>
  <c r="F71"/>
  <c r="E71"/>
  <c r="B105"/>
  <c r="G109"/>
  <c r="I108"/>
  <c r="E108"/>
  <c r="K107"/>
  <c r="G107"/>
  <c r="C107"/>
  <c r="C144"/>
  <c r="F141"/>
  <c r="AF1763" i="35"/>
  <c r="AO1763"/>
  <c r="BC1763"/>
  <c r="BG1763"/>
  <c r="CJ1763"/>
  <c r="CS1763"/>
  <c r="FU1763"/>
  <c r="FV1763"/>
  <c r="L1763"/>
  <c r="L1764" s="1"/>
  <c r="G1817" s="1"/>
  <c r="AB1780"/>
  <c r="AC1777"/>
  <c r="AD1763"/>
  <c r="AH1763"/>
  <c r="AQ1763"/>
  <c r="BE1763"/>
  <c r="CH1763"/>
  <c r="CQ1763"/>
  <c r="CU1763"/>
  <c r="FT1763"/>
  <c r="FX1763"/>
  <c r="GB1763"/>
  <c r="GF1763"/>
  <c r="GJ1763"/>
  <c r="GN1763"/>
  <c r="GR1763"/>
  <c r="GV1763"/>
  <c r="GZ1763"/>
  <c r="HD1763"/>
  <c r="HH1763"/>
  <c r="BK1763"/>
  <c r="K1785" s="1"/>
  <c r="BP1763"/>
  <c r="AB1784" s="1"/>
  <c r="BI1763"/>
  <c r="I1785" s="1"/>
  <c r="BN1763"/>
  <c r="Z1784" s="1"/>
  <c r="DS1763"/>
  <c r="K1791" s="1"/>
  <c r="EB1763"/>
  <c r="DW1763"/>
  <c r="J1792" s="1"/>
  <c r="DR1763"/>
  <c r="AA1791" s="1"/>
  <c r="EA1763"/>
  <c r="DV1763"/>
  <c r="Z1792" s="1"/>
  <c r="DQ1763"/>
  <c r="Z1791" s="1"/>
  <c r="DZ1763"/>
  <c r="DU1763"/>
  <c r="Y1792" s="1"/>
  <c r="DP1763"/>
  <c r="Y1791" s="1"/>
  <c r="ES1763"/>
  <c r="EN1763"/>
  <c r="L1795" s="1"/>
  <c r="EI1763"/>
  <c r="L1794" s="1"/>
  <c r="ER1763"/>
  <c r="EM1763"/>
  <c r="K1795" s="1"/>
  <c r="EH1763"/>
  <c r="K1794" s="1"/>
  <c r="EQ1763"/>
  <c r="EL1763"/>
  <c r="J1795" s="1"/>
  <c r="EG1763"/>
  <c r="J1794" s="1"/>
  <c r="EP1763"/>
  <c r="EK1763"/>
  <c r="I1795" s="1"/>
  <c r="EF1763"/>
  <c r="I1794" s="1"/>
  <c r="EO1763"/>
  <c r="EJ1763"/>
  <c r="H1795" s="1"/>
  <c r="EE1763"/>
  <c r="H1794" s="1"/>
  <c r="EX1763"/>
  <c r="L1800" s="1"/>
  <c r="EW1763"/>
  <c r="AB1800" s="1"/>
  <c r="EV1763"/>
  <c r="AA1800" s="1"/>
  <c r="EU1763"/>
  <c r="Z1800" s="1"/>
  <c r="ET1763"/>
  <c r="H1800" s="1"/>
  <c r="FC1763"/>
  <c r="L1801" s="1"/>
  <c r="FB1763"/>
  <c r="K1801" s="1"/>
  <c r="FA1763"/>
  <c r="J1801" s="1"/>
  <c r="EZ1763"/>
  <c r="Z1801" s="1"/>
  <c r="EY1763"/>
  <c r="H1801" s="1"/>
  <c r="FN1763"/>
  <c r="Y1802" s="1"/>
  <c r="FM1763"/>
  <c r="L1803" s="1"/>
  <c r="FL1763"/>
  <c r="K1803" s="1"/>
  <c r="FK1763"/>
  <c r="J1803" s="1"/>
  <c r="FJ1763"/>
  <c r="Z1803" s="1"/>
  <c r="FI1763"/>
  <c r="H1803" s="1"/>
  <c r="FH1763"/>
  <c r="L1804" s="1"/>
  <c r="FG1763"/>
  <c r="K1804" s="1"/>
  <c r="FF1763"/>
  <c r="AA1804" s="1"/>
  <c r="FE1763"/>
  <c r="I1804" s="1"/>
  <c r="FD1763"/>
  <c r="H1804" s="1"/>
  <c r="CP1763"/>
  <c r="L1810" s="1"/>
  <c r="CY1763"/>
  <c r="AB1812" s="1"/>
  <c r="CN1763"/>
  <c r="J1810" s="1"/>
  <c r="CW1763"/>
  <c r="I1812" s="1"/>
  <c r="CL1763"/>
  <c r="H1810" s="1"/>
  <c r="AB1763"/>
  <c r="W1763"/>
  <c r="Z1763"/>
  <c r="U1763"/>
  <c r="C1992"/>
  <c r="E1992"/>
  <c r="G1992"/>
  <c r="I1992"/>
  <c r="K1992"/>
  <c r="P1619"/>
  <c r="P1636" s="1"/>
  <c r="P1638" s="1"/>
  <c r="P1640" s="1"/>
  <c r="J1619"/>
  <c r="J1636" s="1"/>
  <c r="J1638" s="1"/>
  <c r="J1640" s="1"/>
  <c r="S1619"/>
  <c r="B1535"/>
  <c r="M1619"/>
  <c r="M1636" s="1"/>
  <c r="M1638" s="1"/>
  <c r="M1640" s="1"/>
  <c r="G1552"/>
  <c r="G1570"/>
  <c r="A1512"/>
  <c r="A1578"/>
  <c r="A1593"/>
  <c r="U1612"/>
  <c r="FZ1763"/>
  <c r="GD1763"/>
  <c r="GH1763"/>
  <c r="GL1763"/>
  <c r="GP1763"/>
  <c r="GT1763"/>
  <c r="GX1763"/>
  <c r="HB1763"/>
  <c r="HF1763"/>
  <c r="HJ1763"/>
  <c r="AW1763"/>
  <c r="L1781" s="1"/>
  <c r="BB1763"/>
  <c r="L1780" s="1"/>
  <c r="AU1763"/>
  <c r="AA1781" s="1"/>
  <c r="AZ1763"/>
  <c r="J1780" s="1"/>
  <c r="AS1763"/>
  <c r="H1781" s="1"/>
  <c r="AX1763"/>
  <c r="H1780" s="1"/>
  <c r="CE1763"/>
  <c r="K1808" s="1"/>
  <c r="BZ1763"/>
  <c r="K1807" s="1"/>
  <c r="CC1763"/>
  <c r="Z1808" s="1"/>
  <c r="BX1763"/>
  <c r="I1807" s="1"/>
  <c r="BU1763"/>
  <c r="BS1763"/>
  <c r="AI1763"/>
  <c r="E128" i="8"/>
  <c r="Y1800" i="35"/>
  <c r="B89" i="8"/>
  <c r="G54"/>
  <c r="C124"/>
  <c r="B54"/>
  <c r="I19"/>
  <c r="E33" i="15"/>
  <c r="FQ1763" i="35"/>
  <c r="FO1763"/>
  <c r="B70" i="8"/>
  <c r="F142"/>
  <c r="C141"/>
  <c r="FR1763" i="35"/>
  <c r="FP1763"/>
  <c r="L1812"/>
  <c r="F1602"/>
  <c r="A1616"/>
  <c r="D93" i="8"/>
  <c r="F93"/>
  <c r="H93"/>
  <c r="J93"/>
  <c r="B128"/>
  <c r="B140" s="1"/>
  <c r="D128"/>
  <c r="AB93" i="36"/>
  <c r="AA93"/>
  <c r="I92"/>
  <c r="B1934" i="35" l="1"/>
  <c r="F2024"/>
  <c r="B2024"/>
  <c r="D2024"/>
  <c r="Q1726"/>
  <c r="Q1728"/>
  <c r="Q1725"/>
  <c r="Q1732"/>
  <c r="Q1734"/>
  <c r="Q1731"/>
  <c r="Q1733"/>
  <c r="Q1735"/>
  <c r="Q1727"/>
  <c r="Q1729"/>
  <c r="F2020"/>
  <c r="B2020"/>
  <c r="H1985"/>
  <c r="D1985"/>
  <c r="J1950"/>
  <c r="F1950"/>
  <c r="B1950"/>
  <c r="C1915"/>
  <c r="G1915"/>
  <c r="K1915"/>
  <c r="C1930"/>
  <c r="E2018"/>
  <c r="E2029" s="1"/>
  <c r="C2018"/>
  <c r="C2029" s="1"/>
  <c r="J1983"/>
  <c r="J1994" s="1"/>
  <c r="H1983"/>
  <c r="H1994" s="1"/>
  <c r="F1983"/>
  <c r="F1994" s="1"/>
  <c r="D1983"/>
  <c r="B1983"/>
  <c r="B1994" s="1"/>
  <c r="F2018"/>
  <c r="F2029" s="1"/>
  <c r="B2018"/>
  <c r="K1983"/>
  <c r="K1994" s="1"/>
  <c r="G1983"/>
  <c r="G1994" s="1"/>
  <c r="C1983"/>
  <c r="C1994" s="1"/>
  <c r="D2018"/>
  <c r="D2029" s="1"/>
  <c r="I1983"/>
  <c r="I1994" s="1"/>
  <c r="D30" i="8"/>
  <c r="D2020" i="35"/>
  <c r="D2031" s="1"/>
  <c r="J1985"/>
  <c r="B1985"/>
  <c r="H1950"/>
  <c r="I1915"/>
  <c r="J1989"/>
  <c r="H1989"/>
  <c r="F1989"/>
  <c r="D1989"/>
  <c r="B1989"/>
  <c r="H1995"/>
  <c r="D1997"/>
  <c r="M57" i="36"/>
  <c r="J59"/>
  <c r="J61" s="1"/>
  <c r="AJ1763" i="35"/>
  <c r="I1775" s="1"/>
  <c r="AC1803"/>
  <c r="AC88" i="36"/>
  <c r="AD88" s="1"/>
  <c r="D54" i="8"/>
  <c r="J89"/>
  <c r="F19"/>
  <c r="E89"/>
  <c r="I93" i="36"/>
  <c r="M93" s="1"/>
  <c r="Y1803" i="35"/>
  <c r="Z1785"/>
  <c r="H1777"/>
  <c r="AA77" i="36"/>
  <c r="Y74"/>
  <c r="Z80"/>
  <c r="Z81" s="1"/>
  <c r="Z77"/>
  <c r="Z74"/>
  <c r="J86"/>
  <c r="M86" s="1"/>
  <c r="H1997" i="35"/>
  <c r="B106" i="8"/>
  <c r="D2032" i="35"/>
  <c r="D2030"/>
  <c r="D42" i="8"/>
  <c r="E70"/>
  <c r="E36"/>
  <c r="I70"/>
  <c r="I69"/>
  <c r="C109"/>
  <c r="B2032" i="35"/>
  <c r="D1996"/>
  <c r="I36" i="8"/>
  <c r="C71"/>
  <c r="E143"/>
  <c r="B2031" i="35"/>
  <c r="K109" i="8"/>
  <c r="C2020" i="35"/>
  <c r="I1985"/>
  <c r="E1985"/>
  <c r="K1950"/>
  <c r="G1950"/>
  <c r="C1950"/>
  <c r="F1915"/>
  <c r="J1915"/>
  <c r="E2020"/>
  <c r="K1985"/>
  <c r="G1985"/>
  <c r="C1985"/>
  <c r="I1950"/>
  <c r="E1950"/>
  <c r="D1915"/>
  <c r="H1915"/>
  <c r="B1915"/>
  <c r="B44" i="8"/>
  <c r="H1802" i="35"/>
  <c r="E141" i="8"/>
  <c r="Z1782" i="35"/>
  <c r="Y1763"/>
  <c r="H1773" s="1"/>
  <c r="H1774" s="1"/>
  <c r="AC97" i="36"/>
  <c r="AC1789" i="35"/>
  <c r="AC1790" s="1"/>
  <c r="AC77" i="36"/>
  <c r="Y58"/>
  <c r="Y59" s="1"/>
  <c r="AC87"/>
  <c r="Y87"/>
  <c r="H88"/>
  <c r="L380" i="35"/>
  <c r="C105" i="8"/>
  <c r="C106"/>
  <c r="C104"/>
  <c r="G106"/>
  <c r="G105"/>
  <c r="G104"/>
  <c r="K71"/>
  <c r="G71"/>
  <c r="K106"/>
  <c r="K104"/>
  <c r="K105"/>
  <c r="AA1803" i="35"/>
  <c r="AB1791"/>
  <c r="AB1793" s="1"/>
  <c r="AB1810"/>
  <c r="AA1808"/>
  <c r="AA1809" s="1"/>
  <c r="I1780"/>
  <c r="P1873"/>
  <c r="C140" i="8"/>
  <c r="E2024" i="35"/>
  <c r="C46" i="8"/>
  <c r="C2024" i="35"/>
  <c r="C1920"/>
  <c r="D32" i="8"/>
  <c r="E106"/>
  <c r="E104"/>
  <c r="E105"/>
  <c r="J70"/>
  <c r="J69"/>
  <c r="F70"/>
  <c r="F69"/>
  <c r="B69"/>
  <c r="H35"/>
  <c r="H34"/>
  <c r="D35"/>
  <c r="D34"/>
  <c r="G1619" i="35"/>
  <c r="I106" i="8"/>
  <c r="I104"/>
  <c r="I105"/>
  <c r="H69"/>
  <c r="D69"/>
  <c r="J34"/>
  <c r="F34"/>
  <c r="B41"/>
  <c r="B35"/>
  <c r="B34"/>
  <c r="B36"/>
  <c r="D36"/>
  <c r="H36"/>
  <c r="C1918" i="35"/>
  <c r="E19" i="8"/>
  <c r="H54"/>
  <c r="F89"/>
  <c r="E124"/>
  <c r="J19"/>
  <c r="C54"/>
  <c r="K54"/>
  <c r="I89"/>
  <c r="K19"/>
  <c r="G19"/>
  <c r="C19"/>
  <c r="F54"/>
  <c r="J54"/>
  <c r="D89"/>
  <c r="H89"/>
  <c r="F124"/>
  <c r="D124"/>
  <c r="B124"/>
  <c r="H19"/>
  <c r="D19"/>
  <c r="E54"/>
  <c r="I54"/>
  <c r="C89"/>
  <c r="G89"/>
  <c r="I1789" i="35"/>
  <c r="AC80" i="36"/>
  <c r="AC74"/>
  <c r="AC75" s="1"/>
  <c r="Z1804" i="35"/>
  <c r="L85" i="36"/>
  <c r="AB1804" i="35"/>
  <c r="I88" i="36"/>
  <c r="Z85"/>
  <c r="AD85" s="1"/>
  <c r="L89"/>
  <c r="AC1781" i="35"/>
  <c r="AA1794"/>
  <c r="AC1810"/>
  <c r="Y1781"/>
  <c r="I1791"/>
  <c r="Y1810"/>
  <c r="J1781"/>
  <c r="J1782" s="1"/>
  <c r="H50" i="3"/>
  <c r="S41" s="1"/>
  <c r="G1984" i="35"/>
  <c r="G108" i="8"/>
  <c r="K1984" i="35"/>
  <c r="K108" i="8"/>
  <c r="C1984" i="35"/>
  <c r="C108" i="8"/>
  <c r="E1984" i="35"/>
  <c r="E107" i="8"/>
  <c r="E109"/>
  <c r="I1984" i="35"/>
  <c r="I109" i="8"/>
  <c r="I107"/>
  <c r="F2019" i="35"/>
  <c r="F143" i="8"/>
  <c r="J1995" i="35"/>
  <c r="J1997"/>
  <c r="J1996"/>
  <c r="F1996"/>
  <c r="F1995"/>
  <c r="F1997"/>
  <c r="B1984"/>
  <c r="B107" i="8"/>
  <c r="B109"/>
  <c r="E2019" i="35"/>
  <c r="C2019"/>
  <c r="C143" i="8"/>
  <c r="C142"/>
  <c r="AC93" i="36"/>
  <c r="Y1804" i="35"/>
  <c r="J1804"/>
  <c r="M1804" s="1"/>
  <c r="AC1804"/>
  <c r="I1803"/>
  <c r="M1803" s="1"/>
  <c r="AB1803"/>
  <c r="Y1780"/>
  <c r="Y1782" s="1"/>
  <c r="AA1780"/>
  <c r="AA1782" s="1"/>
  <c r="AC1780"/>
  <c r="I1801"/>
  <c r="M1801" s="1"/>
  <c r="AC1800"/>
  <c r="AD1800" s="1"/>
  <c r="I1784"/>
  <c r="I1786" s="1"/>
  <c r="AA1777"/>
  <c r="AA66" i="36"/>
  <c r="AD66" s="1"/>
  <c r="Y77"/>
  <c r="I67"/>
  <c r="Z67"/>
  <c r="K88"/>
  <c r="AB87"/>
  <c r="H89"/>
  <c r="Y97"/>
  <c r="AD97" s="1"/>
  <c r="Z87"/>
  <c r="AC92"/>
  <c r="AC94" s="1"/>
  <c r="AC96" s="1"/>
  <c r="AC98" s="1"/>
  <c r="I95"/>
  <c r="AB1808" i="35"/>
  <c r="AA1810"/>
  <c r="AB1795"/>
  <c r="AA1792"/>
  <c r="AA1793" s="1"/>
  <c r="AB1785"/>
  <c r="AB1786" s="1"/>
  <c r="Z1810"/>
  <c r="I1788"/>
  <c r="K1781"/>
  <c r="K1782" s="1"/>
  <c r="AB79" i="36"/>
  <c r="I76"/>
  <c r="I78" s="1"/>
  <c r="Y73"/>
  <c r="Y75" s="1"/>
  <c r="AA76"/>
  <c r="AB80"/>
  <c r="Y80"/>
  <c r="Y81" s="1"/>
  <c r="AB74"/>
  <c r="AB75" s="1"/>
  <c r="AC86"/>
  <c r="M87"/>
  <c r="Z89"/>
  <c r="AD89" s="1"/>
  <c r="G102"/>
  <c r="B15" i="8" s="1"/>
  <c r="AA87" i="36"/>
  <c r="AB86"/>
  <c r="L95"/>
  <c r="L1785" i="35"/>
  <c r="AB1801"/>
  <c r="J1800"/>
  <c r="Y1795"/>
  <c r="AA1795"/>
  <c r="AC1795"/>
  <c r="I1792"/>
  <c r="AA1789"/>
  <c r="AA1790" s="1"/>
  <c r="AA74" i="36"/>
  <c r="AA75" s="1"/>
  <c r="J80"/>
  <c r="M80" s="1"/>
  <c r="K73"/>
  <c r="K75" s="1"/>
  <c r="J79"/>
  <c r="J81" s="1"/>
  <c r="Y76"/>
  <c r="K60"/>
  <c r="AC62"/>
  <c r="K62"/>
  <c r="M62" s="1"/>
  <c r="Y86"/>
  <c r="Y93"/>
  <c r="Y94" s="1"/>
  <c r="K92"/>
  <c r="K94" s="1"/>
  <c r="K96" s="1"/>
  <c r="K98" s="1"/>
  <c r="H95"/>
  <c r="AB95"/>
  <c r="Z1812" i="35"/>
  <c r="AD1812" s="1"/>
  <c r="K1812"/>
  <c r="Y1807"/>
  <c r="Y1809" s="1"/>
  <c r="K1775"/>
  <c r="I70" i="36"/>
  <c r="J1785" i="35"/>
  <c r="J1786" s="1"/>
  <c r="AA1773"/>
  <c r="K58" i="36"/>
  <c r="K59" s="1"/>
  <c r="AB65"/>
  <c r="AB67" s="1"/>
  <c r="Y1773" i="35"/>
  <c r="B119" i="8"/>
  <c r="C119"/>
  <c r="F119"/>
  <c r="B84"/>
  <c r="I84"/>
  <c r="H84"/>
  <c r="E84"/>
  <c r="D84"/>
  <c r="B49"/>
  <c r="J49"/>
  <c r="I49"/>
  <c r="F49"/>
  <c r="E49"/>
  <c r="C14"/>
  <c r="D14"/>
  <c r="G14"/>
  <c r="H14"/>
  <c r="K14"/>
  <c r="D119"/>
  <c r="E119"/>
  <c r="K84"/>
  <c r="J84"/>
  <c r="G84"/>
  <c r="F84"/>
  <c r="C84"/>
  <c r="K49"/>
  <c r="H49"/>
  <c r="G49"/>
  <c r="D49"/>
  <c r="C49"/>
  <c r="E14"/>
  <c r="F14"/>
  <c r="I14"/>
  <c r="J14"/>
  <c r="M97" i="36"/>
  <c r="P52" i="7" s="1"/>
  <c r="J89" i="36"/>
  <c r="M89" s="1"/>
  <c r="AA62"/>
  <c r="J1812" i="35"/>
  <c r="H1789"/>
  <c r="L1791"/>
  <c r="M65" i="36"/>
  <c r="I51" i="7" s="1"/>
  <c r="AA92" i="36"/>
  <c r="AA95"/>
  <c r="I1808" i="35"/>
  <c r="I1809" s="1"/>
  <c r="I1811" s="1"/>
  <c r="I1813" s="1"/>
  <c r="Y1801"/>
  <c r="AA1801"/>
  <c r="AC1801"/>
  <c r="I1800"/>
  <c r="K1800"/>
  <c r="Y1794"/>
  <c r="Z1795"/>
  <c r="AC1794"/>
  <c r="H1792"/>
  <c r="Y1772"/>
  <c r="H70" i="36"/>
  <c r="AB94"/>
  <c r="AC1807" i="35"/>
  <c r="AC1809" s="1"/>
  <c r="AA1784"/>
  <c r="AD1784" s="1"/>
  <c r="Z73" i="36"/>
  <c r="Z75" s="1"/>
  <c r="AA69"/>
  <c r="AD69" s="1"/>
  <c r="I79"/>
  <c r="I81" s="1"/>
  <c r="AC78"/>
  <c r="K69"/>
  <c r="K71" s="1"/>
  <c r="K1789" i="35"/>
  <c r="AA58" i="36"/>
  <c r="AA59" s="1"/>
  <c r="AA61" s="1"/>
  <c r="L58"/>
  <c r="L59" s="1"/>
  <c r="L61" s="1"/>
  <c r="L63" s="1"/>
  <c r="I69"/>
  <c r="J85"/>
  <c r="H1812" i="35"/>
  <c r="Y62" i="36"/>
  <c r="M66"/>
  <c r="I50" i="7" s="1"/>
  <c r="K67" i="36"/>
  <c r="L1808" i="35"/>
  <c r="L1809" s="1"/>
  <c r="L1811" s="1"/>
  <c r="L1813" s="1"/>
  <c r="Z1807"/>
  <c r="Z1809" s="1"/>
  <c r="AB1807"/>
  <c r="Z1794"/>
  <c r="AB1794"/>
  <c r="H1791"/>
  <c r="J1791"/>
  <c r="J1793" s="1"/>
  <c r="K1784"/>
  <c r="K1786" s="1"/>
  <c r="Y1785"/>
  <c r="H1808"/>
  <c r="H1809" s="1"/>
  <c r="H1811" s="1"/>
  <c r="J1774"/>
  <c r="L1788"/>
  <c r="L1790" s="1"/>
  <c r="I1781"/>
  <c r="I1782" s="1"/>
  <c r="L69" i="36"/>
  <c r="L71" s="1"/>
  <c r="J70"/>
  <c r="AB76"/>
  <c r="AB78" s="1"/>
  <c r="AC1773" i="35"/>
  <c r="Z78" i="36"/>
  <c r="AB71"/>
  <c r="J71"/>
  <c r="H79"/>
  <c r="H81" s="1"/>
  <c r="H92"/>
  <c r="H94" s="1"/>
  <c r="J63"/>
  <c r="H78"/>
  <c r="H85"/>
  <c r="Y67"/>
  <c r="J75"/>
  <c r="AC59"/>
  <c r="AC61" s="1"/>
  <c r="L1792" i="35"/>
  <c r="AB1790"/>
  <c r="M77" i="36"/>
  <c r="Z63"/>
  <c r="AB59"/>
  <c r="AB1782" i="35"/>
  <c r="AC67" i="36"/>
  <c r="AA1772" i="35"/>
  <c r="K1788"/>
  <c r="J1807"/>
  <c r="J1809" s="1"/>
  <c r="AC81" i="36"/>
  <c r="H1788" i="35"/>
  <c r="AC1786"/>
  <c r="L81" i="36"/>
  <c r="L78"/>
  <c r="L75"/>
  <c r="K78"/>
  <c r="J1788" i="35"/>
  <c r="J1790" s="1"/>
  <c r="I58" i="36"/>
  <c r="I59" s="1"/>
  <c r="I60"/>
  <c r="K1809" i="35"/>
  <c r="K1811" s="1"/>
  <c r="L1782"/>
  <c r="I1796"/>
  <c r="H1786"/>
  <c r="Y1790"/>
  <c r="AD1788"/>
  <c r="Y71" i="36"/>
  <c r="H75"/>
  <c r="M74"/>
  <c r="J94"/>
  <c r="J96" s="1"/>
  <c r="J98" s="1"/>
  <c r="L94"/>
  <c r="AC1793" i="35"/>
  <c r="AC71" i="36"/>
  <c r="Z1786" i="35"/>
  <c r="AD70" i="36"/>
  <c r="Z71"/>
  <c r="J78"/>
  <c r="L1772" i="35"/>
  <c r="L1774" s="1"/>
  <c r="AC1772"/>
  <c r="AD60" i="36"/>
  <c r="Z1790" i="35"/>
  <c r="K1792"/>
  <c r="K1793" s="1"/>
  <c r="L1784"/>
  <c r="K81" i="36"/>
  <c r="AD57"/>
  <c r="Q57" s="1"/>
  <c r="Y61"/>
  <c r="I75"/>
  <c r="H59"/>
  <c r="H80" i="35"/>
  <c r="H51" i="7"/>
  <c r="AA81" i="36"/>
  <c r="M1794" i="35"/>
  <c r="J1796"/>
  <c r="L1796"/>
  <c r="AD1792"/>
  <c r="S393"/>
  <c r="H404"/>
  <c r="S394"/>
  <c r="I1777"/>
  <c r="Z1777"/>
  <c r="K1777"/>
  <c r="AB1777"/>
  <c r="I1773"/>
  <c r="Z1773"/>
  <c r="K1773"/>
  <c r="AB1773"/>
  <c r="Z1793"/>
  <c r="E144" i="8"/>
  <c r="E139"/>
  <c r="H1775" i="35"/>
  <c r="Y1775"/>
  <c r="J1775"/>
  <c r="AA1775"/>
  <c r="L1775"/>
  <c r="AC1775"/>
  <c r="I1772"/>
  <c r="Z1772"/>
  <c r="K1772"/>
  <c r="AB1772"/>
  <c r="K1796"/>
  <c r="E140" i="8"/>
  <c r="E142"/>
  <c r="D139"/>
  <c r="D142"/>
  <c r="D144"/>
  <c r="D141"/>
  <c r="D143"/>
  <c r="J107"/>
  <c r="J109"/>
  <c r="J105"/>
  <c r="J104"/>
  <c r="J106"/>
  <c r="J108"/>
  <c r="F107"/>
  <c r="F109"/>
  <c r="F105"/>
  <c r="F104"/>
  <c r="F106"/>
  <c r="F108"/>
  <c r="AA1802" i="35"/>
  <c r="J1802"/>
  <c r="I1802"/>
  <c r="Z1802"/>
  <c r="M1810"/>
  <c r="M1780"/>
  <c r="H1782"/>
  <c r="M1795"/>
  <c r="Y1793"/>
  <c r="B139" i="8"/>
  <c r="B142"/>
  <c r="B144"/>
  <c r="B141"/>
  <c r="B143"/>
  <c r="H107"/>
  <c r="H109"/>
  <c r="H105"/>
  <c r="H104"/>
  <c r="H106"/>
  <c r="H108"/>
  <c r="D107"/>
  <c r="D109"/>
  <c r="D105"/>
  <c r="D104"/>
  <c r="D106"/>
  <c r="D108"/>
  <c r="L1802" i="35"/>
  <c r="AC1802"/>
  <c r="K1802"/>
  <c r="AB1802"/>
  <c r="D140" i="8"/>
  <c r="H1796" i="35"/>
  <c r="Z94" i="36"/>
  <c r="Z96" s="1"/>
  <c r="Z98" s="1"/>
  <c r="D1930" i="35" l="1"/>
  <c r="E30" i="8"/>
  <c r="B2029" i="35"/>
  <c r="B2030"/>
  <c r="D1994"/>
  <c r="D1995"/>
  <c r="H1996"/>
  <c r="M88" i="36"/>
  <c r="I80" i="35"/>
  <c r="AA71" i="36"/>
  <c r="Z1775" i="35"/>
  <c r="AB1796"/>
  <c r="Y78" i="36"/>
  <c r="AD1803" i="35"/>
  <c r="Q1803" s="1"/>
  <c r="I94" i="36"/>
  <c r="I96" s="1"/>
  <c r="I98" s="1"/>
  <c r="AA67"/>
  <c r="AD67" s="1"/>
  <c r="AD77"/>
  <c r="I79" i="35"/>
  <c r="AD1791"/>
  <c r="E42" i="8"/>
  <c r="Z1811" i="35"/>
  <c r="Z1813" s="1"/>
  <c r="AD1808"/>
  <c r="B1932"/>
  <c r="C44" i="8"/>
  <c r="M1785" i="35"/>
  <c r="S40" i="3"/>
  <c r="S42" s="1"/>
  <c r="Y1811" i="35"/>
  <c r="H1790"/>
  <c r="AD1789"/>
  <c r="AC63" i="36"/>
  <c r="M73"/>
  <c r="AA1796" i="35"/>
  <c r="K61" i="36"/>
  <c r="K63" s="1"/>
  <c r="L1776" i="35"/>
  <c r="L1778" s="1"/>
  <c r="AC1782"/>
  <c r="AD1782" s="1"/>
  <c r="H51" i="3"/>
  <c r="K1790" i="35"/>
  <c r="C1934"/>
  <c r="D46" i="8"/>
  <c r="B16"/>
  <c r="K5" s="1"/>
  <c r="B1929" i="35"/>
  <c r="C41" i="8"/>
  <c r="D1920" i="35"/>
  <c r="E32" i="8"/>
  <c r="D1918" i="35"/>
  <c r="I1790"/>
  <c r="M76" i="36"/>
  <c r="L1793" i="35"/>
  <c r="AD86" i="36"/>
  <c r="AD87"/>
  <c r="Q87" s="1"/>
  <c r="AD1804" i="35"/>
  <c r="M85" i="36"/>
  <c r="Q85" s="1"/>
  <c r="Q1804" i="35"/>
  <c r="Q86" i="36"/>
  <c r="AD1781" i="35"/>
  <c r="AD62" i="36"/>
  <c r="Q62" s="1"/>
  <c r="Y1796" i="35"/>
  <c r="AB81" i="36"/>
  <c r="AD81" s="1"/>
  <c r="AD93"/>
  <c r="M1781" i="35"/>
  <c r="AD79" i="36"/>
  <c r="AD74"/>
  <c r="Q74" s="1"/>
  <c r="P81" i="35"/>
  <c r="AD1785"/>
  <c r="H1793"/>
  <c r="Z1796"/>
  <c r="AB1809"/>
  <c r="AB1811" s="1"/>
  <c r="AB1813" s="1"/>
  <c r="Y1774"/>
  <c r="Y1776" s="1"/>
  <c r="AC1796"/>
  <c r="I1793"/>
  <c r="AD1810"/>
  <c r="Q1810" s="1"/>
  <c r="L96" i="36"/>
  <c r="L98" s="1"/>
  <c r="AA1774" i="35"/>
  <c r="AA1786"/>
  <c r="AD65" i="36"/>
  <c r="Q65" s="1"/>
  <c r="I71"/>
  <c r="AC1811" i="35"/>
  <c r="AC1813" s="1"/>
  <c r="AD92" i="36"/>
  <c r="AA63"/>
  <c r="AD76"/>
  <c r="M78"/>
  <c r="F73" i="35" s="1"/>
  <c r="M95" i="36"/>
  <c r="P50" i="7" s="1"/>
  <c r="M67" i="36"/>
  <c r="Q66"/>
  <c r="AD1780" i="35"/>
  <c r="Q1780" s="1"/>
  <c r="H54" i="7"/>
  <c r="H83" i="35"/>
  <c r="K1774"/>
  <c r="K1776" s="1"/>
  <c r="K1778" s="1"/>
  <c r="I1774"/>
  <c r="I1776" s="1"/>
  <c r="I1778" s="1"/>
  <c r="J1776"/>
  <c r="J1778" s="1"/>
  <c r="M1791"/>
  <c r="AD80" i="36"/>
  <c r="Q80" s="1"/>
  <c r="AA78"/>
  <c r="M60"/>
  <c r="H81" i="35" s="1"/>
  <c r="AA1811"/>
  <c r="AA1813" s="1"/>
  <c r="AD59" i="36"/>
  <c r="Y1786" i="35"/>
  <c r="Q97" i="36"/>
  <c r="AD1795" i="35"/>
  <c r="Q1795" s="1"/>
  <c r="G1995"/>
  <c r="G1997"/>
  <c r="G1996"/>
  <c r="K1995"/>
  <c r="K1996"/>
  <c r="K1997"/>
  <c r="C1995"/>
  <c r="C1996"/>
  <c r="C1997"/>
  <c r="E1995"/>
  <c r="E1996"/>
  <c r="E1997"/>
  <c r="I1995"/>
  <c r="I1996"/>
  <c r="I1997"/>
  <c r="B1995"/>
  <c r="B1997"/>
  <c r="B1996"/>
  <c r="F2030"/>
  <c r="F2032"/>
  <c r="F2031"/>
  <c r="E2030"/>
  <c r="E2031"/>
  <c r="E2032"/>
  <c r="C2030"/>
  <c r="C2032"/>
  <c r="C2031"/>
  <c r="M79" i="36"/>
  <c r="AD1794" i="35"/>
  <c r="Q1794" s="1"/>
  <c r="AD95" i="36"/>
  <c r="M1808" i="35"/>
  <c r="K1813"/>
  <c r="AA94" i="36"/>
  <c r="AA96" s="1"/>
  <c r="AA98" s="1"/>
  <c r="AB96"/>
  <c r="AB98" s="1"/>
  <c r="M92"/>
  <c r="M1812" i="35"/>
  <c r="Q1812" s="1"/>
  <c r="K6" i="8"/>
  <c r="M1800" i="35"/>
  <c r="Q1800" s="1"/>
  <c r="B120" i="8"/>
  <c r="B121" s="1"/>
  <c r="E120"/>
  <c r="E121" s="1"/>
  <c r="H50"/>
  <c r="H51" s="1"/>
  <c r="D50"/>
  <c r="D51" s="1"/>
  <c r="E15"/>
  <c r="E16" s="1"/>
  <c r="I15"/>
  <c r="I16" s="1"/>
  <c r="F120"/>
  <c r="F121" s="1"/>
  <c r="I50"/>
  <c r="I51" s="1"/>
  <c r="E50"/>
  <c r="E51" s="1"/>
  <c r="D15"/>
  <c r="D16" s="1"/>
  <c r="H15"/>
  <c r="H16" s="1"/>
  <c r="B50"/>
  <c r="B51" s="1"/>
  <c r="C85"/>
  <c r="C86" s="1"/>
  <c r="E85"/>
  <c r="E86" s="1"/>
  <c r="G85"/>
  <c r="G86" s="1"/>
  <c r="I85"/>
  <c r="I86" s="1"/>
  <c r="K85"/>
  <c r="K86" s="1"/>
  <c r="B85"/>
  <c r="B86" s="1"/>
  <c r="C120"/>
  <c r="C121" s="1"/>
  <c r="K15"/>
  <c r="K16" s="1"/>
  <c r="J15"/>
  <c r="J16" s="1"/>
  <c r="G15"/>
  <c r="G16" s="1"/>
  <c r="F15"/>
  <c r="F16" s="1"/>
  <c r="C15"/>
  <c r="C16" s="1"/>
  <c r="C50"/>
  <c r="C51" s="1"/>
  <c r="F50"/>
  <c r="F51" s="1"/>
  <c r="G50"/>
  <c r="G51" s="1"/>
  <c r="J50"/>
  <c r="J51" s="1"/>
  <c r="K50"/>
  <c r="K51" s="1"/>
  <c r="D85"/>
  <c r="D86" s="1"/>
  <c r="F85"/>
  <c r="F86" s="1"/>
  <c r="H85"/>
  <c r="H86" s="1"/>
  <c r="J85"/>
  <c r="J86" s="1"/>
  <c r="D120"/>
  <c r="D121" s="1"/>
  <c r="AD1790" i="35"/>
  <c r="Q77" i="36"/>
  <c r="M70"/>
  <c r="Q70" s="1"/>
  <c r="M1789" i="35"/>
  <c r="AD1801"/>
  <c r="Q1801" s="1"/>
  <c r="M1807"/>
  <c r="H71" i="36"/>
  <c r="M71" s="1"/>
  <c r="M69"/>
  <c r="Q69" s="1"/>
  <c r="M58"/>
  <c r="M75"/>
  <c r="F42" i="7" s="1"/>
  <c r="AD58" i="36"/>
  <c r="AC1774" i="35"/>
  <c r="AC1776" s="1"/>
  <c r="AC1778" s="1"/>
  <c r="AB61" i="36"/>
  <c r="AB63" s="1"/>
  <c r="AD73"/>
  <c r="Q88"/>
  <c r="M1792" i="35"/>
  <c r="Q1792" s="1"/>
  <c r="M1784"/>
  <c r="Q1784" s="1"/>
  <c r="AD1807"/>
  <c r="AD71" i="36"/>
  <c r="M1802" i="35"/>
  <c r="AD1793"/>
  <c r="M1782"/>
  <c r="AD1772"/>
  <c r="M1788"/>
  <c r="Q1788" s="1"/>
  <c r="AA1776"/>
  <c r="AA1778" s="1"/>
  <c r="AD75" i="36"/>
  <c r="M81"/>
  <c r="F45" i="7" s="1"/>
  <c r="M1809" i="35"/>
  <c r="J1811"/>
  <c r="J1813" s="1"/>
  <c r="M1777"/>
  <c r="Q89" i="36"/>
  <c r="I61"/>
  <c r="I63" s="1"/>
  <c r="L1786" i="35"/>
  <c r="M1786" s="1"/>
  <c r="H61" i="36"/>
  <c r="M59"/>
  <c r="Y63"/>
  <c r="M1796" i="35"/>
  <c r="Q93" i="36"/>
  <c r="S395" i="35"/>
  <c r="AD1775"/>
  <c r="H1776"/>
  <c r="H1778" s="1"/>
  <c r="M1773"/>
  <c r="Z1774"/>
  <c r="Z1776" s="1"/>
  <c r="Z1778" s="1"/>
  <c r="AD1773"/>
  <c r="M1775"/>
  <c r="M1772"/>
  <c r="AB1774"/>
  <c r="AB1776" s="1"/>
  <c r="AB1778" s="1"/>
  <c r="AD1777"/>
  <c r="Y1813"/>
  <c r="AD1802"/>
  <c r="H1813"/>
  <c r="M94" i="36"/>
  <c r="H96"/>
  <c r="Y96"/>
  <c r="E1930" i="35" l="1"/>
  <c r="F30" i="8"/>
  <c r="Q1808" i="35"/>
  <c r="Q76" i="36"/>
  <c r="Q1785" i="35"/>
  <c r="Q73" i="36"/>
  <c r="AD78"/>
  <c r="Q1791" i="35"/>
  <c r="P79"/>
  <c r="Q1789"/>
  <c r="Q92" i="36"/>
  <c r="M1790" i="35"/>
  <c r="Q1790" s="1"/>
  <c r="F42" i="8"/>
  <c r="AD1786" i="35"/>
  <c r="C1932"/>
  <c r="D44" i="8"/>
  <c r="Q1772" i="35"/>
  <c r="AD1809"/>
  <c r="Q1809" s="1"/>
  <c r="K7" i="8"/>
  <c r="Q1781" i="35"/>
  <c r="Q78" i="36"/>
  <c r="F44" i="7"/>
  <c r="F71" i="35"/>
  <c r="Q67" i="36"/>
  <c r="AD94"/>
  <c r="AD1813" i="35"/>
  <c r="Q59" i="36"/>
  <c r="Q60"/>
  <c r="Q95"/>
  <c r="Q79"/>
  <c r="Q1782" i="35"/>
  <c r="D1934"/>
  <c r="E46" i="8"/>
  <c r="E1920" i="35"/>
  <c r="F32" i="8"/>
  <c r="D41"/>
  <c r="C1929" i="35"/>
  <c r="E1918"/>
  <c r="M1793"/>
  <c r="Q1775"/>
  <c r="AD1796"/>
  <c r="Q1796" s="1"/>
  <c r="AD1811"/>
  <c r="AD61" i="36"/>
  <c r="Q1786" i="35"/>
  <c r="AD63" i="36"/>
  <c r="Q75"/>
  <c r="M1774" i="35"/>
  <c r="H52" i="7"/>
  <c r="Q1793" i="35"/>
  <c r="Q1777"/>
  <c r="Q1807"/>
  <c r="Q58" i="36"/>
  <c r="Q71"/>
  <c r="H79" i="35"/>
  <c r="H78" s="1"/>
  <c r="H82" s="1"/>
  <c r="H84" s="1"/>
  <c r="H50" i="7"/>
  <c r="H49" s="1"/>
  <c r="H53" s="1"/>
  <c r="H55" s="1"/>
  <c r="M1776" i="35"/>
  <c r="M1811"/>
  <c r="Q1811" s="1"/>
  <c r="Q1802"/>
  <c r="Q81" i="36"/>
  <c r="F74" i="35"/>
  <c r="M1813"/>
  <c r="H63" i="36"/>
  <c r="M61"/>
  <c r="M1778" i="35"/>
  <c r="P1876" s="1"/>
  <c r="P1881" s="1"/>
  <c r="Q1773"/>
  <c r="Y1778"/>
  <c r="AD1778" s="1"/>
  <c r="Q1778" s="1"/>
  <c r="AD1776"/>
  <c r="AD1774"/>
  <c r="AD96" i="36"/>
  <c r="Y98"/>
  <c r="AD98" s="1"/>
  <c r="M96"/>
  <c r="Q96" s="1"/>
  <c r="H98"/>
  <c r="M98" s="1"/>
  <c r="P78" i="35"/>
  <c r="P80" s="1"/>
  <c r="P82" s="1"/>
  <c r="P87" s="1"/>
  <c r="P49" i="7"/>
  <c r="P51" s="1"/>
  <c r="P53" s="1"/>
  <c r="P58" s="1"/>
  <c r="Q94" i="36"/>
  <c r="F1930" i="35" l="1"/>
  <c r="G30" i="8"/>
  <c r="G42"/>
  <c r="H42"/>
  <c r="D1932" i="35"/>
  <c r="E44" i="8"/>
  <c r="Q1776" i="35"/>
  <c r="Q1813"/>
  <c r="E1934"/>
  <c r="F46" i="8"/>
  <c r="D1929" i="35"/>
  <c r="E41" i="8"/>
  <c r="F1920" i="35"/>
  <c r="G32" i="8"/>
  <c r="F1918" i="35"/>
  <c r="Q1774"/>
  <c r="P1641"/>
  <c r="P1642" s="1"/>
  <c r="P1644" s="1"/>
  <c r="N1864"/>
  <c r="M145" i="15"/>
  <c r="M146" s="1"/>
  <c r="M148" s="1"/>
  <c r="M63" i="36"/>
  <c r="R13" i="24"/>
  <c r="R11"/>
  <c r="R12"/>
  <c r="P170" i="35"/>
  <c r="P140" i="7"/>
  <c r="P169" i="35"/>
  <c r="Q61" i="36"/>
  <c r="M32" i="11"/>
  <c r="M2524" i="35"/>
  <c r="P141" i="7"/>
  <c r="P145" i="15"/>
  <c r="P146" s="1"/>
  <c r="P148" s="1"/>
  <c r="J145"/>
  <c r="J146" s="1"/>
  <c r="J148" s="1"/>
  <c r="M1641" i="35"/>
  <c r="M1642" s="1"/>
  <c r="M1644" s="1"/>
  <c r="N1865"/>
  <c r="J1641"/>
  <c r="J1642" s="1"/>
  <c r="J1644" s="1"/>
  <c r="J1645" s="1"/>
  <c r="M1621"/>
  <c r="D1535"/>
  <c r="Q98" i="36"/>
  <c r="D39" i="15"/>
  <c r="M125"/>
  <c r="G1930" i="35" l="1"/>
  <c r="H30" i="8"/>
  <c r="H1930" i="35"/>
  <c r="I42" i="8"/>
  <c r="E1932" i="35"/>
  <c r="F44" i="8"/>
  <c r="Q1769" i="35"/>
  <c r="F1934"/>
  <c r="G46" i="8"/>
  <c r="G1920" i="35"/>
  <c r="H32" i="8"/>
  <c r="E1929" i="35"/>
  <c r="F41" i="8"/>
  <c r="G1918" i="35"/>
  <c r="J149" i="15"/>
  <c r="D1621" i="35"/>
  <c r="D125" i="15"/>
  <c r="N158" i="36"/>
  <c r="N150"/>
  <c r="G125" i="15"/>
  <c r="P98" i="35"/>
  <c r="P69" i="7"/>
  <c r="P100" i="35"/>
  <c r="J160" i="36"/>
  <c r="N149"/>
  <c r="P67" i="7"/>
  <c r="E1589" i="35"/>
  <c r="P71" i="7"/>
  <c r="Q63" i="36"/>
  <c r="Q54" s="1"/>
  <c r="D1534" i="35"/>
  <c r="J158" i="36"/>
  <c r="F1611" i="35"/>
  <c r="P96"/>
  <c r="F115" i="15"/>
  <c r="E93"/>
  <c r="D38"/>
  <c r="J159" i="36"/>
  <c r="P161"/>
  <c r="G1621" i="35"/>
  <c r="I30" i="8" l="1"/>
  <c r="I1930" i="35"/>
  <c r="J42" i="8"/>
  <c r="F1932" i="35"/>
  <c r="G44" i="8"/>
  <c r="G1934" i="35"/>
  <c r="H46" i="8"/>
  <c r="F1929" i="35"/>
  <c r="G41" i="8"/>
  <c r="H1920" i="35"/>
  <c r="I32" i="8"/>
  <c r="H1918" i="35"/>
  <c r="P166" i="36"/>
  <c r="B21" i="8"/>
  <c r="B40" s="1"/>
  <c r="M1647" i="35"/>
  <c r="J1648"/>
  <c r="J152" i="15"/>
  <c r="M151"/>
  <c r="J30" i="8" l="1"/>
  <c r="J1930" i="35"/>
  <c r="K42" i="8"/>
  <c r="G1932" i="35"/>
  <c r="H44" i="8"/>
  <c r="H1934" i="35"/>
  <c r="I46" i="8"/>
  <c r="I1920" i="35"/>
  <c r="J32" i="8"/>
  <c r="G1929" i="35"/>
  <c r="H41" i="8"/>
  <c r="I1918" i="35"/>
  <c r="F126" i="8"/>
  <c r="E91"/>
  <c r="G56"/>
  <c r="G21"/>
  <c r="C126"/>
  <c r="B91"/>
  <c r="H91"/>
  <c r="D91"/>
  <c r="J56"/>
  <c r="F56"/>
  <c r="B22"/>
  <c r="F21"/>
  <c r="J21"/>
  <c r="K91"/>
  <c r="C91"/>
  <c r="E56"/>
  <c r="E21"/>
  <c r="B126"/>
  <c r="I91"/>
  <c r="K56"/>
  <c r="C56"/>
  <c r="K21"/>
  <c r="E126"/>
  <c r="J91"/>
  <c r="F91"/>
  <c r="B56"/>
  <c r="H56"/>
  <c r="D56"/>
  <c r="D21"/>
  <c r="H21"/>
  <c r="D126"/>
  <c r="G91"/>
  <c r="I56"/>
  <c r="C21"/>
  <c r="I21"/>
  <c r="K30" l="1"/>
  <c r="K1930" i="35"/>
  <c r="B77" i="8"/>
  <c r="H1932" i="35"/>
  <c r="I44" i="8"/>
  <c r="B43"/>
  <c r="B1914" i="35"/>
  <c r="B39" i="8"/>
  <c r="B38"/>
  <c r="I1934" i="35"/>
  <c r="J46" i="8"/>
  <c r="C22"/>
  <c r="C40"/>
  <c r="G92"/>
  <c r="G110"/>
  <c r="H22"/>
  <c r="H40"/>
  <c r="D57"/>
  <c r="D61" s="1"/>
  <c r="D75"/>
  <c r="B57"/>
  <c r="B75"/>
  <c r="J92"/>
  <c r="J110"/>
  <c r="K22"/>
  <c r="K40"/>
  <c r="K57"/>
  <c r="K75"/>
  <c r="B127"/>
  <c r="B145"/>
  <c r="E57"/>
  <c r="E75"/>
  <c r="K92"/>
  <c r="K110"/>
  <c r="F22"/>
  <c r="F40"/>
  <c r="F57"/>
  <c r="F75"/>
  <c r="D92"/>
  <c r="D110"/>
  <c r="B92"/>
  <c r="B110"/>
  <c r="G22"/>
  <c r="G40"/>
  <c r="E92"/>
  <c r="E110"/>
  <c r="I22"/>
  <c r="I40"/>
  <c r="I57"/>
  <c r="I75"/>
  <c r="D127"/>
  <c r="D145"/>
  <c r="D22"/>
  <c r="D26" s="1"/>
  <c r="D40"/>
  <c r="H57"/>
  <c r="H75"/>
  <c r="F92"/>
  <c r="F110"/>
  <c r="E127"/>
  <c r="E145"/>
  <c r="C57"/>
  <c r="C75"/>
  <c r="I92"/>
  <c r="I110"/>
  <c r="E22"/>
  <c r="E40"/>
  <c r="C92"/>
  <c r="C110"/>
  <c r="J22"/>
  <c r="J40"/>
  <c r="B29"/>
  <c r="B37"/>
  <c r="J57"/>
  <c r="J61" s="1"/>
  <c r="J75"/>
  <c r="H92"/>
  <c r="H110"/>
  <c r="C127"/>
  <c r="C145"/>
  <c r="G57"/>
  <c r="G75"/>
  <c r="F127"/>
  <c r="F145"/>
  <c r="H1929" i="35"/>
  <c r="I41" i="8"/>
  <c r="J1920" i="35"/>
  <c r="K32" i="8"/>
  <c r="J1918" i="35"/>
  <c r="B1917" l="1"/>
  <c r="B1931"/>
  <c r="B65" i="8"/>
  <c r="B1965" i="35"/>
  <c r="C77" i="8"/>
  <c r="I1932" i="35"/>
  <c r="J44" i="8"/>
  <c r="B1921" i="35"/>
  <c r="G73" i="8"/>
  <c r="G74"/>
  <c r="G1949" i="35"/>
  <c r="J1949"/>
  <c r="J74" i="8"/>
  <c r="J73"/>
  <c r="J1914" i="35"/>
  <c r="J38" i="8"/>
  <c r="J39"/>
  <c r="E1914" i="35"/>
  <c r="E38" i="8"/>
  <c r="E39"/>
  <c r="C73"/>
  <c r="C74"/>
  <c r="C1949" i="35"/>
  <c r="H1949"/>
  <c r="H74" i="8"/>
  <c r="H73"/>
  <c r="D1914" i="35"/>
  <c r="D39" i="8"/>
  <c r="D38"/>
  <c r="I73"/>
  <c r="I74"/>
  <c r="I1949" i="35"/>
  <c r="I1914"/>
  <c r="I39" i="8"/>
  <c r="I38"/>
  <c r="G1914" i="35"/>
  <c r="G39" i="8"/>
  <c r="G38"/>
  <c r="F1949" i="35"/>
  <c r="F74" i="8"/>
  <c r="F73"/>
  <c r="F1914" i="35"/>
  <c r="F39" i="8"/>
  <c r="F38"/>
  <c r="E74"/>
  <c r="E1949" i="35"/>
  <c r="E73" i="8"/>
  <c r="K73"/>
  <c r="K74"/>
  <c r="K1949" i="35"/>
  <c r="K38" i="8"/>
  <c r="K39"/>
  <c r="K1914" i="35"/>
  <c r="B1949"/>
  <c r="B74" i="8"/>
  <c r="B73"/>
  <c r="D1949" i="35"/>
  <c r="D74" i="8"/>
  <c r="D73"/>
  <c r="C38"/>
  <c r="C39"/>
  <c r="C1914" i="35"/>
  <c r="C43" i="8"/>
  <c r="B1926" i="35"/>
  <c r="B1927"/>
  <c r="B1925"/>
  <c r="J1934"/>
  <c r="K46" i="8"/>
  <c r="K1920" i="35"/>
  <c r="B67" i="8"/>
  <c r="J41"/>
  <c r="I1929" i="35"/>
  <c r="J29" i="8"/>
  <c r="J37"/>
  <c r="E29"/>
  <c r="E37"/>
  <c r="C72"/>
  <c r="H64"/>
  <c r="H72"/>
  <c r="D29"/>
  <c r="D37"/>
  <c r="I64"/>
  <c r="I72"/>
  <c r="I29"/>
  <c r="I37"/>
  <c r="G29"/>
  <c r="G37"/>
  <c r="F72"/>
  <c r="F29"/>
  <c r="F37"/>
  <c r="E72"/>
  <c r="K64"/>
  <c r="K72"/>
  <c r="K29"/>
  <c r="K37"/>
  <c r="B72"/>
  <c r="D72"/>
  <c r="C29"/>
  <c r="C37"/>
  <c r="B33"/>
  <c r="G64"/>
  <c r="G72"/>
  <c r="J64"/>
  <c r="J72"/>
  <c r="K1918" i="35"/>
  <c r="B64" i="8"/>
  <c r="B1952" i="35" l="1"/>
  <c r="J1952"/>
  <c r="G1952"/>
  <c r="C1917"/>
  <c r="K1917"/>
  <c r="K1952"/>
  <c r="F1917"/>
  <c r="G1917"/>
  <c r="I1917"/>
  <c r="I1952"/>
  <c r="D1917"/>
  <c r="H1952"/>
  <c r="E1917"/>
  <c r="J1917"/>
  <c r="C1931"/>
  <c r="C65" i="8"/>
  <c r="C1965" i="35"/>
  <c r="D77" i="8"/>
  <c r="J1932" i="35"/>
  <c r="K44" i="8"/>
  <c r="K33"/>
  <c r="C1925" i="35"/>
  <c r="C1926"/>
  <c r="C1927"/>
  <c r="B1961"/>
  <c r="B1960"/>
  <c r="B1962"/>
  <c r="K1960"/>
  <c r="K1961"/>
  <c r="K1962"/>
  <c r="E1962"/>
  <c r="E1960"/>
  <c r="E1961"/>
  <c r="F1960"/>
  <c r="F1962"/>
  <c r="F1961"/>
  <c r="G1925"/>
  <c r="G1927"/>
  <c r="G1926"/>
  <c r="I1925"/>
  <c r="I1927"/>
  <c r="I1926"/>
  <c r="H1960"/>
  <c r="H1962"/>
  <c r="H1961"/>
  <c r="J1926"/>
  <c r="J1925"/>
  <c r="J1927"/>
  <c r="G1960"/>
  <c r="G1961"/>
  <c r="G1962"/>
  <c r="D43" i="8"/>
  <c r="D1961" i="35"/>
  <c r="D1962"/>
  <c r="D1960"/>
  <c r="K1925"/>
  <c r="K1926"/>
  <c r="K1927"/>
  <c r="F1927"/>
  <c r="F1926"/>
  <c r="F1925"/>
  <c r="I1962"/>
  <c r="I1960"/>
  <c r="I1961"/>
  <c r="D1926"/>
  <c r="D1927"/>
  <c r="D1925"/>
  <c r="C1962"/>
  <c r="C1960"/>
  <c r="C1961"/>
  <c r="E1925"/>
  <c r="E1926"/>
  <c r="E1927"/>
  <c r="J1960"/>
  <c r="J1962"/>
  <c r="J1961"/>
  <c r="C33" i="8"/>
  <c r="D33"/>
  <c r="J33"/>
  <c r="G33"/>
  <c r="K1934" i="35"/>
  <c r="B81" i="8"/>
  <c r="K41"/>
  <c r="J1929" i="35"/>
  <c r="B1955"/>
  <c r="C67" i="8"/>
  <c r="F33"/>
  <c r="I33"/>
  <c r="E33"/>
  <c r="B1953" i="35"/>
  <c r="C64" i="8"/>
  <c r="B68"/>
  <c r="C1952" i="35" l="1"/>
  <c r="D65" i="8"/>
  <c r="D1965" i="35"/>
  <c r="E77" i="8"/>
  <c r="K1932" i="35"/>
  <c r="B79" i="8"/>
  <c r="D1931" i="35"/>
  <c r="E43" i="8"/>
  <c r="B1969" i="35"/>
  <c r="C81" i="8"/>
  <c r="C1955" i="35"/>
  <c r="D67" i="8"/>
  <c r="K1929" i="35"/>
  <c r="B76" i="8"/>
  <c r="C1953" i="35"/>
  <c r="D64" i="8"/>
  <c r="C68"/>
  <c r="D1952" i="35" l="1"/>
  <c r="E65" i="8"/>
  <c r="E1965" i="35"/>
  <c r="F77" i="8"/>
  <c r="B1967" i="35"/>
  <c r="C79" i="8"/>
  <c r="E1931" i="35"/>
  <c r="F43" i="8"/>
  <c r="C1969" i="35"/>
  <c r="D81" i="8"/>
  <c r="B1964" i="35"/>
  <c r="C76" i="8"/>
  <c r="D1955" i="35"/>
  <c r="E67" i="8"/>
  <c r="D1953" i="35"/>
  <c r="E64" i="8"/>
  <c r="D68"/>
  <c r="E1952" i="35" l="1"/>
  <c r="F65" i="8"/>
  <c r="F1965" i="35"/>
  <c r="G77" i="8"/>
  <c r="C1967" i="35"/>
  <c r="D79" i="8"/>
  <c r="F1931" i="35"/>
  <c r="G43" i="8"/>
  <c r="D1969" i="35"/>
  <c r="E81" i="8"/>
  <c r="E1955" i="35"/>
  <c r="F67" i="8"/>
  <c r="C1964" i="35"/>
  <c r="D76" i="8"/>
  <c r="E1953" i="35"/>
  <c r="F64" i="8"/>
  <c r="E68"/>
  <c r="F1952" i="35" l="1"/>
  <c r="G1965"/>
  <c r="H77" i="8"/>
  <c r="D1967" i="35"/>
  <c r="E79" i="8"/>
  <c r="G1931" i="35"/>
  <c r="E1969"/>
  <c r="F81" i="8"/>
  <c r="D1964" i="35"/>
  <c r="E76" i="8"/>
  <c r="F1955" i="35"/>
  <c r="G67" i="8"/>
  <c r="F1953" i="35"/>
  <c r="F68" i="8"/>
  <c r="H1965" i="35" l="1"/>
  <c r="I77" i="8"/>
  <c r="E1967" i="35"/>
  <c r="F79" i="8"/>
  <c r="F1969" i="35"/>
  <c r="G81" i="8"/>
  <c r="G1955" i="35"/>
  <c r="H67" i="8"/>
  <c r="F76"/>
  <c r="E1964" i="35"/>
  <c r="G1953"/>
  <c r="G68" i="8"/>
  <c r="I1965" i="35" l="1"/>
  <c r="J77" i="8"/>
  <c r="F1967" i="35"/>
  <c r="G79" i="8"/>
  <c r="G1969" i="35"/>
  <c r="H81" i="8"/>
  <c r="G76"/>
  <c r="F1964" i="35"/>
  <c r="H1955"/>
  <c r="I67" i="8"/>
  <c r="H1953" i="35"/>
  <c r="H68" i="8"/>
  <c r="J1965" i="35" l="1"/>
  <c r="K77" i="8"/>
  <c r="G1967" i="35"/>
  <c r="H79" i="8"/>
  <c r="H1969" i="35"/>
  <c r="I81" i="8"/>
  <c r="G1964" i="35"/>
  <c r="H76" i="8"/>
  <c r="I1955" i="35"/>
  <c r="J67" i="8"/>
  <c r="I1953" i="35"/>
  <c r="I68" i="8"/>
  <c r="K1965" i="35" l="1"/>
  <c r="B112" i="8"/>
  <c r="H1967" i="35"/>
  <c r="I79" i="8"/>
  <c r="I1969" i="35"/>
  <c r="J81" i="8"/>
  <c r="J1955" i="35"/>
  <c r="K67" i="8"/>
  <c r="I76"/>
  <c r="H1964" i="35"/>
  <c r="J1953"/>
  <c r="J68" i="8"/>
  <c r="B2000" i="35" l="1"/>
  <c r="C112" i="8"/>
  <c r="I1967" i="35"/>
  <c r="J79" i="8"/>
  <c r="J1969" i="35"/>
  <c r="K81" i="8"/>
  <c r="J76"/>
  <c r="I1964" i="35"/>
  <c r="K1955"/>
  <c r="B102" i="8"/>
  <c r="K1953" i="35"/>
  <c r="B100" i="8"/>
  <c r="K68"/>
  <c r="C2000" i="35" l="1"/>
  <c r="D112" i="8"/>
  <c r="J1967" i="35"/>
  <c r="K79" i="8"/>
  <c r="K1969" i="35"/>
  <c r="B116" i="8"/>
  <c r="J1964" i="35"/>
  <c r="K76" i="8"/>
  <c r="B1990" i="35"/>
  <c r="C102" i="8"/>
  <c r="B1988" i="35"/>
  <c r="C100" i="8"/>
  <c r="B103"/>
  <c r="D2000" i="35" l="1"/>
  <c r="E112" i="8"/>
  <c r="K1967" i="35"/>
  <c r="B114" i="8"/>
  <c r="B2004" i="35"/>
  <c r="C116" i="8"/>
  <c r="C1990" i="35"/>
  <c r="D102" i="8"/>
  <c r="K1964" i="35"/>
  <c r="B111" i="8"/>
  <c r="C1988" i="35"/>
  <c r="D100" i="8"/>
  <c r="C103"/>
  <c r="E2000" i="35" l="1"/>
  <c r="F112" i="8"/>
  <c r="B2002" i="35"/>
  <c r="C114" i="8"/>
  <c r="C2004" i="35"/>
  <c r="D116" i="8"/>
  <c r="C111"/>
  <c r="B1999" i="35"/>
  <c r="D1990"/>
  <c r="E102" i="8"/>
  <c r="D1988" i="35"/>
  <c r="E100" i="8"/>
  <c r="D103"/>
  <c r="F2000" i="35" l="1"/>
  <c r="G112" i="8"/>
  <c r="C2002" i="35"/>
  <c r="D114" i="8"/>
  <c r="D2004" i="35"/>
  <c r="E116" i="8"/>
  <c r="C1999" i="35"/>
  <c r="D111" i="8"/>
  <c r="E1990" i="35"/>
  <c r="F102" i="8"/>
  <c r="E1988" i="35"/>
  <c r="F100" i="8"/>
  <c r="E103"/>
  <c r="G2000" i="35" l="1"/>
  <c r="H112" i="8"/>
  <c r="D2002" i="35"/>
  <c r="E114" i="8"/>
  <c r="E2004" i="35"/>
  <c r="F116" i="8"/>
  <c r="F1990" i="35"/>
  <c r="G102" i="8"/>
  <c r="D1999" i="35"/>
  <c r="E111" i="8"/>
  <c r="F1988" i="35"/>
  <c r="G100" i="8"/>
  <c r="F103"/>
  <c r="H2000" i="35" l="1"/>
  <c r="I112" i="8"/>
  <c r="E2002" i="35"/>
  <c r="F114" i="8"/>
  <c r="F2004" i="35"/>
  <c r="G116" i="8"/>
  <c r="F111"/>
  <c r="E1999" i="35"/>
  <c r="G1990"/>
  <c r="H102" i="8"/>
  <c r="G1988" i="35"/>
  <c r="H100" i="8"/>
  <c r="G103"/>
  <c r="I2000" i="35" l="1"/>
  <c r="J112" i="8"/>
  <c r="F2002" i="35"/>
  <c r="G114" i="8"/>
  <c r="G2004" i="35"/>
  <c r="H116" i="8"/>
  <c r="G111"/>
  <c r="F1999" i="35"/>
  <c r="H1990"/>
  <c r="I102" i="8"/>
  <c r="H1988" i="35"/>
  <c r="I100" i="8"/>
  <c r="H103"/>
  <c r="J2000" i="35" l="1"/>
  <c r="K112" i="8"/>
  <c r="G2002" i="35"/>
  <c r="H114" i="8"/>
  <c r="H2004" i="35"/>
  <c r="I116" i="8"/>
  <c r="H111"/>
  <c r="G1999" i="35"/>
  <c r="I1990"/>
  <c r="J102" i="8"/>
  <c r="I1988" i="35"/>
  <c r="J100" i="8"/>
  <c r="I103"/>
  <c r="K2000" i="35" l="1"/>
  <c r="B147" i="8"/>
  <c r="H2002" i="35"/>
  <c r="I114" i="8"/>
  <c r="I2004" i="35"/>
  <c r="J116" i="8"/>
  <c r="H1999" i="35"/>
  <c r="I111" i="8"/>
  <c r="J1990" i="35"/>
  <c r="K102" i="8"/>
  <c r="J1988" i="35"/>
  <c r="K100" i="8"/>
  <c r="J103"/>
  <c r="B2035" i="35" l="1"/>
  <c r="C147" i="8"/>
  <c r="I2002" i="35"/>
  <c r="J114" i="8"/>
  <c r="J2004" i="35"/>
  <c r="K116" i="8"/>
  <c r="K1990" i="35"/>
  <c r="B137" i="8"/>
  <c r="I1999" i="35"/>
  <c r="J111" i="8"/>
  <c r="K1988" i="35"/>
  <c r="B135" i="8"/>
  <c r="K103"/>
  <c r="C2035" i="35" l="1"/>
  <c r="D147" i="8"/>
  <c r="J2002" i="35"/>
  <c r="K114" i="8"/>
  <c r="K2004" i="35"/>
  <c r="B151" i="8"/>
  <c r="K111"/>
  <c r="J1999" i="35"/>
  <c r="B2025"/>
  <c r="C137" i="8"/>
  <c r="B2023" i="35"/>
  <c r="C135" i="8"/>
  <c r="B138"/>
  <c r="D2035" i="35" l="1"/>
  <c r="E147" i="8"/>
  <c r="K2002" i="35"/>
  <c r="B149" i="8"/>
  <c r="B2039" i="35"/>
  <c r="C151" i="8"/>
  <c r="K1999" i="35"/>
  <c r="B146" i="8"/>
  <c r="C2025" i="35"/>
  <c r="D137" i="8"/>
  <c r="C2023" i="35"/>
  <c r="D135" i="8"/>
  <c r="C138"/>
  <c r="E2035" i="35" l="1"/>
  <c r="F147" i="8"/>
  <c r="B2037" i="35"/>
  <c r="C149" i="8"/>
  <c r="C2039" i="35"/>
  <c r="D151" i="8"/>
  <c r="D2025" i="35"/>
  <c r="E137" i="8"/>
  <c r="B2034" i="35"/>
  <c r="C146" i="8"/>
  <c r="D2023" i="35"/>
  <c r="E135" i="8"/>
  <c r="D138"/>
  <c r="F2035" i="35" l="1"/>
  <c r="C2037"/>
  <c r="D149" i="8"/>
  <c r="D2039" i="35"/>
  <c r="E151" i="8"/>
  <c r="C2034" i="35"/>
  <c r="D146" i="8"/>
  <c r="E2025" i="35"/>
  <c r="F137" i="8"/>
  <c r="E2023" i="35"/>
  <c r="F135" i="8"/>
  <c r="E138"/>
  <c r="F2025" i="35" l="1"/>
  <c r="D2037"/>
  <c r="E149" i="8"/>
  <c r="E2039" i="35"/>
  <c r="F151" i="8"/>
  <c r="E146"/>
  <c r="D2034" i="35"/>
  <c r="F2023"/>
  <c r="F138" i="8"/>
  <c r="F2039" i="35" l="1"/>
  <c r="E2037"/>
  <c r="F149" i="8"/>
  <c r="E2034" i="35"/>
  <c r="F146" i="8"/>
  <c r="F2034" i="35" l="1"/>
  <c r="F2037"/>
  <c r="N1654"/>
  <c r="J1654" s="1"/>
  <c r="J1655" s="1"/>
  <c r="J1657" s="1"/>
  <c r="J158" i="15"/>
  <c r="J159"/>
  <c r="J161" s="1"/>
  <c r="M1659" i="35" l="1"/>
  <c r="J1661"/>
  <c r="J165" i="15"/>
  <c r="M163"/>
  <c r="J393" i="35" l="1"/>
  <c r="L393" s="1"/>
  <c r="J394"/>
  <c r="L394" s="1"/>
  <c r="J40" i="3"/>
  <c r="L40" s="1"/>
  <c r="J41"/>
  <c r="L41" s="1"/>
  <c r="J6" i="7"/>
  <c r="E92" i="15"/>
  <c r="H38" i="8" l="1"/>
  <c r="H39"/>
  <c r="H37"/>
  <c r="H1914" i="35"/>
  <c r="H1925" s="1"/>
  <c r="H29" i="8"/>
  <c r="H43"/>
  <c r="H1931" i="35" l="1"/>
  <c r="H1917"/>
  <c r="H1926"/>
  <c r="H1927"/>
  <c r="H33" i="8"/>
  <c r="I43"/>
  <c r="I1931" i="35" l="1"/>
  <c r="J43" i="8"/>
  <c r="K43" l="1"/>
  <c r="J1931" i="35"/>
  <c r="K1931" l="1"/>
  <c r="B78" i="8"/>
  <c r="B1966" i="35" l="1"/>
  <c r="C78" i="8"/>
  <c r="C1966" i="35" l="1"/>
  <c r="D78" i="8"/>
  <c r="E78" l="1"/>
  <c r="D1966" i="35"/>
  <c r="E1966" l="1"/>
  <c r="F78" i="8"/>
  <c r="F1966" i="35" l="1"/>
  <c r="G78" i="8"/>
  <c r="G1966" i="35" l="1"/>
  <c r="H78" i="8"/>
  <c r="I78" l="1"/>
  <c r="H1966" i="35"/>
  <c r="I1966" l="1"/>
  <c r="J78" i="8"/>
  <c r="J1966" i="35" l="1"/>
  <c r="K78" i="8"/>
  <c r="K1966" i="35" l="1"/>
  <c r="B113" i="8"/>
  <c r="C113" l="1"/>
  <c r="B2001" i="35"/>
  <c r="C2001" l="1"/>
  <c r="D113" i="8"/>
  <c r="D2001" i="35" l="1"/>
  <c r="E113" i="8"/>
  <c r="E2001" i="35" l="1"/>
  <c r="F113" i="8"/>
  <c r="G113" l="1"/>
  <c r="F2001" i="35"/>
  <c r="H113" i="8" l="1"/>
  <c r="G2001" i="35"/>
  <c r="H2001" l="1"/>
  <c r="I113" i="8"/>
  <c r="I2001" i="35" l="1"/>
  <c r="J113" i="8"/>
  <c r="K113" l="1"/>
  <c r="J2001" i="35"/>
  <c r="B148" i="8" l="1"/>
  <c r="K2001" i="35"/>
  <c r="B2036" l="1"/>
  <c r="C148" i="8"/>
  <c r="C2036" i="35" l="1"/>
  <c r="D148" i="8"/>
  <c r="E148" l="1"/>
  <c r="D2036" i="35"/>
  <c r="F148" i="8" l="1"/>
  <c r="E2036" i="35"/>
  <c r="F2036" l="1"/>
</calcChain>
</file>

<file path=xl/sharedStrings.xml><?xml version="1.0" encoding="utf-8"?>
<sst xmlns="http://schemas.openxmlformats.org/spreadsheetml/2006/main" count="10168" uniqueCount="4113">
  <si>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</si>
  <si>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</si>
  <si>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</si>
  <si>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</si>
  <si>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</si>
  <si>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</si>
  <si>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</si>
  <si>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</si>
  <si>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</si>
  <si>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</si>
  <si>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</si>
  <si>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</si>
  <si>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</si>
  <si>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</si>
  <si>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</si>
  <si>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</si>
  <si>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</si>
  <si>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</si>
  <si>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</si>
  <si>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</si>
  <si>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</si>
  <si>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</si>
  <si>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</si>
  <si>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</si>
  <si>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</si>
  <si>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</si>
  <si>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</si>
  <si>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</si>
  <si>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</si>
  <si>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</si>
  <si>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</si>
  <si>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</si>
  <si>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</si>
  <si>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</si>
  <si>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</si>
  <si>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</si>
  <si>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</si>
  <si>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</si>
  <si>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</si>
  <si>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</si>
  <si>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</si>
  <si>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</si>
  <si>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</si>
  <si>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</si>
  <si>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</si>
  <si>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</si>
  <si>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</si>
  <si>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</si>
  <si>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</si>
  <si>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</si>
  <si>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</si>
  <si>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</si>
  <si>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</si>
  <si>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</si>
  <si>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</si>
  <si>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</si>
  <si>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</si>
  <si>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</si>
  <si>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</si>
  <si>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</si>
  <si>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</si>
  <si>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</si>
  <si>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</si>
  <si>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</si>
  <si>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</si>
  <si>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</si>
  <si>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</si>
  <si>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</si>
  <si>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</si>
  <si>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</si>
  <si>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</si>
  <si>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</si>
  <si>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</si>
  <si>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</si>
  <si>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</si>
  <si>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</si>
  <si>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</si>
  <si>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</si>
  <si>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</si>
  <si>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</si>
  <si>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</si>
  <si>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</si>
  <si>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</si>
  <si>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</si>
  <si>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</si>
  <si>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</si>
  <si>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</si>
  <si>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</si>
  <si>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</si>
  <si>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</si>
  <si>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</si>
  <si>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</si>
  <si>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</si>
  <si>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</si>
  <si>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</si>
  <si>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</si>
  <si>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</si>
  <si>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</si>
  <si>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</si>
  <si>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</si>
  <si>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</si>
  <si>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</si>
  <si>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</si>
  <si>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</si>
  <si>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</si>
  <si>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</si>
  <si>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</si>
  <si>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</si>
  <si>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</si>
  <si>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</si>
  <si>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</si>
  <si>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</si>
  <si>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</si>
  <si>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</si>
  <si>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</si>
  <si>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</si>
  <si>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</si>
  <si>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</si>
  <si>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</si>
  <si>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</si>
  <si>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</si>
  <si>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</si>
  <si>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</si>
  <si>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</si>
  <si>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</si>
  <si>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</si>
  <si>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</si>
  <si>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</si>
  <si>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</si>
  <si>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</si>
  <si>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</si>
  <si>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</si>
  <si>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</si>
  <si>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</si>
  <si>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</si>
  <si>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</si>
  <si>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</si>
  <si>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</si>
  <si>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</si>
  <si>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</si>
  <si>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</si>
  <si>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</si>
  <si>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</si>
  <si>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</si>
  <si>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</si>
  <si>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</si>
  <si>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</si>
  <si>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</si>
  <si>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</si>
  <si>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</si>
  <si>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</si>
  <si>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</si>
  <si>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</si>
  <si>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</si>
  <si>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</si>
  <si>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</si>
  <si>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</si>
  <si>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</si>
  <si>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</si>
  <si>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</si>
  <si>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</si>
  <si>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</si>
  <si>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</si>
  <si>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</si>
  <si>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</si>
  <si>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</si>
  <si>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</si>
  <si>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</si>
  <si>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</si>
  <si>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</si>
  <si>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</si>
  <si>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</si>
  <si>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</si>
  <si>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</si>
  <si>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</si>
  <si>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</si>
  <si>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</si>
  <si>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</si>
  <si>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</si>
  <si>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</si>
  <si>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</si>
  <si>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</si>
  <si>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</si>
  <si>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</si>
  <si>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</si>
  <si>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</si>
  <si>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</si>
  <si>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</si>
  <si>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</si>
  <si>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</si>
  <si>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</si>
  <si>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</si>
  <si>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</si>
  <si>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</si>
  <si>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</si>
  <si>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</si>
  <si>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</si>
  <si>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</si>
  <si>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</si>
  <si>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</si>
  <si>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</si>
  <si>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</si>
  <si>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</si>
  <si>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</si>
  <si>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</si>
  <si>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</si>
  <si>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</si>
  <si>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</si>
  <si>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</si>
  <si>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</si>
  <si>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</si>
  <si>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</si>
  <si>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</si>
  <si>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</si>
  <si>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</si>
  <si>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</si>
  <si>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</si>
  <si>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</si>
  <si>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</si>
  <si>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</si>
  <si>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</si>
  <si>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</si>
  <si>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</si>
  <si>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</si>
  <si>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</si>
  <si>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</si>
  <si>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</si>
  <si>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</si>
  <si>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</si>
  <si>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</si>
  <si>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</si>
  <si>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</si>
  <si>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</si>
  <si>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</si>
  <si>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</si>
  <si>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</si>
  <si>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</si>
  <si>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</si>
  <si>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</si>
  <si>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</si>
  <si>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</si>
  <si>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</si>
  <si>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</si>
  <si>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</si>
  <si>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</si>
  <si>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</si>
  <si>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</si>
  <si>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</si>
  <si>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</si>
  <si>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</si>
  <si>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</si>
  <si>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</si>
  <si>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</si>
  <si>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</si>
  <si>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</si>
  <si>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</si>
  <si>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</si>
  <si>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</si>
  <si>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</si>
  <si>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</si>
  <si>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</si>
  <si>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</si>
  <si>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</si>
  <si>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</si>
  <si>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</si>
  <si>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</si>
  <si>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</si>
  <si>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</si>
  <si>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</si>
  <si>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</si>
  <si>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</si>
  <si>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</si>
  <si>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</si>
  <si>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</si>
  <si>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</si>
  <si>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</si>
  <si>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</si>
  <si>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</si>
  <si>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</si>
  <si>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</si>
  <si>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</si>
  <si>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</si>
  <si>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</si>
  <si>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</si>
  <si>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</si>
  <si>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</si>
  <si>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</si>
  <si>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</si>
  <si>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</si>
  <si>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</si>
  <si>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</si>
  <si>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</si>
  <si>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</si>
  <si>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</si>
  <si>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</si>
  <si>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</si>
  <si>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</si>
  <si>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</si>
  <si>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</si>
  <si>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</si>
  <si>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</si>
  <si>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</si>
  <si>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</si>
  <si>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</si>
  <si>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</si>
  <si>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</si>
  <si>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</si>
  <si>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</si>
  <si>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</si>
  <si>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</si>
  <si>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</si>
  <si>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</si>
  <si>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</si>
  <si>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</si>
  <si>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</si>
  <si>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</si>
  <si>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</si>
  <si>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</si>
  <si>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</si>
  <si>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</si>
  <si>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</si>
  <si>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</si>
  <si>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</si>
  <si>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</si>
  <si>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</si>
  <si>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</si>
  <si>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</si>
  <si>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</si>
  <si>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</si>
  <si>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</si>
  <si>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</si>
  <si>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</si>
  <si>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</si>
  <si>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</si>
  <si>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</si>
  <si>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</si>
  <si>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</si>
  <si>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</si>
  <si>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</si>
  <si>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</si>
  <si>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</si>
  <si>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</si>
  <si>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</si>
  <si>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</si>
  <si>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</si>
  <si>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</si>
  <si>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</si>
  <si>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</si>
  <si>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</si>
  <si>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</si>
  <si>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</si>
  <si>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</si>
  <si>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</si>
  <si>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</si>
  <si>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</si>
  <si>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</si>
  <si>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</si>
  <si>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</si>
  <si>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</si>
  <si>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</si>
  <si>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</si>
  <si>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</si>
  <si>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</si>
  <si>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</si>
  <si>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</si>
  <si>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&lt;&lt;Select applicable option&gt;&gt;</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</si>
  <si>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</si>
  <si>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</si>
  <si>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</si>
  <si>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</si>
  <si>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</si>
  <si>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</si>
  <si>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</si>
  <si>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</si>
  <si>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</si>
  <si>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</si>
  <si>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</si>
  <si>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</si>
  <si>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</si>
  <si>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</si>
  <si>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</si>
  <si>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</si>
  <si>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</si>
  <si>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</si>
  <si>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</si>
  <si>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</si>
  <si>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</si>
  <si>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</si>
  <si>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</si>
  <si>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</si>
  <si>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</si>
  <si>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</si>
  <si>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</si>
  <si>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</si>
  <si>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</si>
  <si>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</si>
  <si>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</si>
  <si>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</si>
  <si>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</si>
  <si>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</si>
  <si>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</si>
  <si>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</si>
  <si>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</si>
  <si>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</si>
  <si>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</si>
  <si>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</si>
  <si>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</si>
  <si>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</si>
  <si>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</si>
  <si>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</si>
  <si>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</si>
  <si>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</si>
  <si>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</si>
  <si>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</si>
  <si>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</si>
  <si>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</si>
  <si>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</si>
  <si>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</si>
  <si>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</si>
  <si>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</si>
  <si>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</si>
  <si>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</si>
  <si>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</si>
  <si>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</si>
  <si>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</si>
  <si>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</si>
  <si>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</si>
  <si>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</si>
  <si>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</si>
  <si>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</si>
  <si>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</si>
  <si>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</si>
  <si>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</si>
  <si>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</si>
  <si>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</si>
  <si>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</si>
  <si>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</si>
  <si>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</si>
  <si>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</si>
  <si>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</si>
  <si>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</si>
  <si>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</si>
  <si>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</si>
  <si>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</si>
  <si>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</si>
  <si>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</si>
  <si>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</si>
  <si>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</si>
  <si>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</si>
  <si>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</si>
  <si>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</si>
  <si>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</si>
  <si>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</si>
  <si>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</si>
  <si>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</si>
  <si>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</si>
  <si>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</si>
  <si>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</si>
  <si>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</si>
  <si>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</si>
  <si>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</si>
  <si>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</si>
  <si>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</si>
  <si>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</si>
  <si>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</si>
  <si>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</si>
  <si>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</si>
  <si>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</si>
  <si>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</si>
  <si>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</si>
  <si>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</si>
  <si>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</si>
  <si>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</si>
  <si>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</si>
  <si>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</si>
  <si>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</si>
  <si>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</si>
  <si>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</si>
  <si>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</si>
  <si>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</si>
  <si>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</si>
  <si>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</si>
  <si>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</si>
  <si>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</si>
  <si>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</si>
  <si>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</si>
  <si>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</si>
  <si>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</si>
  <si>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</si>
  <si>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</si>
  <si>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</si>
  <si>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</si>
  <si>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</si>
  <si>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</si>
  <si>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</si>
  <si>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</si>
  <si>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</si>
  <si>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</si>
  <si>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</si>
  <si>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</si>
  <si>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</si>
  <si>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</si>
  <si>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</si>
  <si>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</si>
  <si>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</si>
  <si>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</si>
  <si>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</si>
  <si>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</si>
  <si>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</si>
  <si>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</si>
  <si>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</si>
  <si>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</si>
  <si>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</si>
  <si>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</si>
  <si>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</si>
  <si>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</si>
  <si>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</si>
  <si>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</si>
  <si>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</si>
  <si>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</si>
  <si>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</si>
  <si>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</si>
  <si>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</si>
  <si>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</si>
  <si>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</si>
  <si>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</si>
  <si>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</si>
  <si>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</si>
  <si>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</si>
  <si>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</si>
  <si>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</si>
  <si>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</si>
  <si>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</si>
  <si>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</si>
  <si>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</si>
  <si>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</si>
  <si>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</si>
  <si>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</si>
  <si>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</si>
  <si>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</si>
  <si>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</si>
  <si>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</si>
  <si>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</si>
  <si>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</si>
  <si>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</si>
  <si>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</si>
  <si>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</si>
  <si>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</si>
  <si>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</si>
  <si>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</si>
  <si>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</si>
  <si>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</si>
  <si>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</si>
  <si>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</si>
  <si>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</si>
  <si>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</si>
  <si>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</si>
  <si>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</si>
  <si>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</si>
  <si>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</si>
  <si>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</si>
  <si>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</si>
  <si>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</si>
  <si>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</si>
  <si>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</si>
  <si>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</si>
  <si>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</si>
  <si>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</si>
  <si>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</si>
  <si>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</si>
  <si>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</si>
  <si>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</si>
  <si>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</si>
  <si>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</si>
  <si>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</si>
  <si>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</si>
  <si>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</si>
  <si>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</si>
  <si>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</si>
  <si>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</si>
  <si>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</si>
  <si>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</si>
  <si>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</si>
  <si>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</si>
  <si>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</si>
  <si>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</si>
  <si>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</si>
  <si>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</si>
  <si>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</si>
  <si>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</si>
  <si>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</si>
  <si>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</si>
  <si>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</si>
  <si>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</si>
  <si>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</si>
  <si>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</si>
  <si>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</si>
  <si>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</si>
  <si>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</si>
  <si>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</si>
  <si>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</si>
  <si>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</si>
  <si>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</si>
  <si>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</si>
  <si>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</si>
  <si>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</si>
  <si>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</si>
  <si>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</si>
  <si>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</si>
  <si>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</si>
  <si>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</si>
  <si>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</si>
  <si>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</si>
  <si>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</si>
  <si>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</si>
  <si>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</si>
  <si>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</si>
  <si>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</si>
  <si>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</si>
  <si>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</si>
  <si>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</si>
  <si>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</si>
  <si>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</si>
  <si>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</si>
  <si>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</si>
  <si>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</si>
  <si>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</si>
  <si>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</si>
  <si>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</si>
  <si>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</si>
  <si>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</si>
  <si>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</si>
  <si>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</si>
  <si>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</si>
  <si>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</si>
  <si>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</si>
  <si>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</si>
  <si>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</si>
  <si>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</si>
  <si>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</si>
  <si>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</si>
  <si>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</si>
  <si>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</si>
  <si>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</si>
  <si>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</si>
  <si>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</si>
  <si>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</si>
  <si>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</si>
  <si>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</si>
  <si>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</si>
  <si>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</si>
  <si>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</si>
  <si>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</si>
  <si>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</si>
  <si>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</si>
  <si>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</si>
  <si>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</si>
  <si>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</si>
  <si>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</si>
  <si>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</si>
  <si>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</si>
  <si>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</si>
  <si>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</si>
  <si>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</si>
  <si>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</si>
  <si>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</si>
  <si>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</si>
  <si>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</si>
  <si>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</si>
  <si>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</si>
  <si>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</si>
  <si>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</si>
  <si>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</si>
  <si>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</si>
  <si>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</si>
  <si>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</si>
  <si>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</si>
  <si>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</si>
  <si>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</si>
  <si>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</si>
  <si>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</si>
  <si>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</si>
  <si>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</si>
  <si>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</si>
  <si>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</si>
  <si>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</si>
  <si>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</si>
  <si>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</si>
  <si>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</si>
  <si>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</si>
  <si>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</si>
  <si>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</si>
  <si>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</si>
  <si>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</si>
  <si>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</si>
  <si>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</si>
  <si>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</si>
  <si>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</si>
  <si>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</si>
  <si>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</si>
  <si>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</si>
  <si>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</si>
  <si>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</si>
  <si>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</si>
  <si>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</si>
  <si>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</si>
  <si>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</si>
  <si>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</si>
  <si>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</si>
  <si>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</si>
  <si>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</si>
  <si>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</si>
  <si>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</si>
  <si>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</si>
  <si>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</si>
  <si>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</si>
  <si>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</si>
  <si>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</si>
  <si>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</si>
  <si>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</si>
  <si>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</si>
  <si>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</si>
  <si>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</si>
  <si>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</si>
  <si>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</si>
  <si>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</si>
  <si>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</si>
  <si>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</si>
  <si>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</si>
  <si>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</si>
  <si>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</si>
  <si>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</si>
  <si>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</si>
  <si>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</si>
  <si>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</si>
  <si>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</si>
  <si>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</si>
  <si>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</si>
  <si>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</si>
  <si>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</si>
  <si>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</si>
  <si>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</si>
  <si>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</si>
  <si>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</si>
  <si>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</si>
  <si>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</si>
  <si>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</si>
  <si>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</si>
  <si>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</si>
  <si>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</si>
  <si>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</si>
  <si>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</si>
  <si>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</si>
  <si>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</si>
  <si>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</si>
  <si>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</si>
  <si>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</si>
  <si>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</si>
  <si>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</si>
  <si>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</si>
  <si>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</si>
  <si>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</si>
  <si>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</si>
  <si>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</si>
  <si>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</si>
  <si>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</si>
  <si>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</si>
  <si>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</si>
  <si>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</si>
  <si>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</si>
  <si>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</si>
  <si>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</si>
  <si>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</si>
  <si>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</si>
  <si>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</si>
  <si>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</si>
  <si>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</si>
  <si>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</si>
  <si>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</si>
  <si>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</si>
  <si>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</si>
  <si>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</si>
  <si>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</si>
  <si>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</si>
  <si>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</si>
  <si>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</si>
  <si>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</si>
  <si>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</si>
  <si>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</si>
  <si>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</si>
  <si>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</si>
  <si>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</si>
  <si>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</si>
  <si>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</si>
  <si>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</si>
  <si>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</si>
  <si>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</si>
  <si>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</si>
  <si>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</si>
  <si>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</si>
  <si>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</si>
  <si>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</si>
  <si>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</si>
  <si>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</si>
  <si>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</si>
  <si>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</si>
  <si>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</si>
  <si>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</si>
  <si>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</si>
  <si>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</si>
  <si>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</si>
  <si>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</si>
  <si>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</si>
  <si>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</si>
  <si>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</si>
  <si>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</si>
  <si>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</si>
  <si>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</si>
  <si>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</si>
  <si>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</si>
  <si>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</si>
  <si>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</si>
  <si>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</si>
  <si>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</si>
  <si>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</si>
  <si>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</si>
  <si>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</si>
  <si>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</si>
  <si>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</si>
  <si>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</si>
  <si>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</si>
  <si>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</si>
  <si>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</si>
  <si>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</si>
  <si>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</si>
  <si>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</si>
  <si>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</si>
  <si>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</si>
  <si>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</si>
  <si>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</si>
  <si>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</si>
  <si>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</si>
  <si>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</si>
  <si>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</si>
  <si>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</si>
  <si>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</si>
  <si>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</si>
  <si>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</si>
  <si>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</si>
  <si>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</si>
  <si>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</si>
  <si>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</si>
  <si>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</si>
  <si>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</si>
  <si>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</si>
  <si>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</si>
  <si>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</si>
  <si>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</si>
  <si>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</si>
  <si>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</si>
  <si>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</si>
  <si>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</si>
  <si>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</si>
  <si>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</si>
  <si>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</si>
  <si>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</si>
  <si>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</si>
  <si>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</si>
  <si>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</si>
  <si>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</si>
  <si>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</si>
  <si>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</si>
  <si>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</si>
  <si>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</si>
  <si>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</si>
  <si>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</si>
  <si>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</si>
  <si>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</si>
  <si>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</si>
  <si>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</si>
  <si>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</si>
  <si>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</si>
  <si>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</si>
  <si>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</si>
  <si>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</si>
  <si>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</si>
  <si>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</si>
  <si>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</si>
  <si>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</si>
  <si>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</si>
  <si>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</si>
  <si>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</si>
  <si>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</si>
  <si>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</si>
  <si>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</si>
  <si>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</si>
  <si>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</si>
  <si>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</si>
  <si>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</si>
  <si>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</si>
  <si>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</si>
  <si>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</si>
  <si>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</si>
  <si>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</si>
  <si>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</si>
  <si>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</si>
  <si>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</si>
  <si>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</si>
  <si>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</si>
  <si>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</si>
  <si>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</si>
  <si>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</si>
  <si>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</si>
  <si>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</si>
  <si>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</si>
  <si>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</si>
  <si>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</si>
  <si>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</si>
  <si>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</si>
  <si>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</si>
  <si>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</si>
  <si>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</si>
  <si>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</si>
  <si>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</si>
  <si>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</si>
  <si>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</si>
  <si>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</si>
  <si>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</si>
  <si>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</si>
  <si>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</si>
  <si>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</si>
  <si>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</si>
  <si>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</si>
  <si>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</si>
  <si>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</si>
  <si>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</si>
  <si>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</si>
  <si>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</si>
  <si>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</si>
  <si>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</si>
  <si>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</si>
  <si>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</si>
  <si>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</si>
  <si>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</si>
  <si>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</si>
  <si>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</si>
  <si>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</si>
  <si>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</si>
  <si>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</si>
  <si>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</si>
  <si>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</si>
  <si>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</si>
  <si>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</si>
  <si>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</si>
  <si>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</si>
  <si>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</si>
  <si>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</si>
  <si>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</si>
  <si>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</si>
  <si>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</si>
  <si>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</si>
  <si>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</si>
  <si>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</si>
  <si>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</si>
  <si>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</si>
  <si>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</si>
  <si>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</si>
  <si>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</si>
  <si>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</si>
  <si>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</si>
  <si>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</si>
  <si>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</si>
  <si>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</si>
  <si>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</si>
  <si>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</si>
  <si>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</si>
  <si>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</si>
  <si>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</si>
  <si>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</si>
  <si>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</si>
  <si>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</si>
  <si>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</si>
  <si>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</si>
  <si>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</si>
  <si>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</si>
  <si>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</si>
  <si>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</si>
  <si>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</si>
  <si>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</si>
  <si>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</si>
  <si>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</si>
  <si>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</si>
  <si>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</si>
  <si>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</si>
  <si>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</si>
  <si>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</si>
  <si>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</si>
  <si>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</si>
  <si>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</si>
  <si>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</si>
  <si>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</si>
  <si>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</si>
  <si>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</si>
  <si>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</si>
  <si>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</si>
  <si>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</si>
  <si>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</si>
  <si>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</si>
  <si>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</si>
  <si>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</si>
  <si>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</si>
  <si>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</si>
  <si>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</si>
  <si>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</si>
  <si>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</si>
  <si>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</si>
  <si>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</si>
  <si>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</si>
  <si>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</si>
  <si>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</si>
  <si>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</si>
  <si>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</si>
  <si>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</si>
  <si>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</si>
  <si>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</si>
  <si>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</si>
  <si>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</si>
  <si>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</si>
  <si>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</si>
  <si>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</si>
  <si>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</si>
  <si>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</si>
  <si>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</si>
  <si>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</si>
  <si>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</si>
  <si>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</si>
  <si>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</si>
  <si>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</si>
  <si>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</si>
  <si>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</si>
  <si>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</si>
  <si>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</si>
  <si>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</si>
  <si>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</si>
  <si>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</si>
  <si>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</si>
  <si>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</si>
  <si>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</si>
  <si>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</si>
  <si>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</si>
  <si>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</si>
  <si>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</si>
  <si>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</si>
  <si>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</si>
  <si>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</si>
  <si>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</si>
  <si>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</si>
  <si>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</si>
  <si>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</si>
  <si>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</si>
  <si>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</si>
  <si>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</si>
  <si>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</si>
  <si>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</si>
  <si>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</si>
  <si>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</si>
  <si>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</si>
  <si>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</si>
  <si>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</si>
  <si>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</si>
  <si>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</si>
  <si>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</si>
  <si>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</si>
  <si>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</si>
  <si>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</si>
  <si>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</si>
  <si>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</si>
  <si>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</si>
  <si>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</si>
  <si>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</si>
  <si>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</si>
  <si>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</si>
  <si>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</si>
  <si>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</si>
  <si>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</si>
  <si>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</si>
  <si>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</si>
  <si>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</si>
  <si>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</si>
  <si>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</si>
  <si>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</si>
  <si>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</si>
  <si>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</si>
  <si>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</si>
  <si>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</si>
  <si>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</si>
  <si>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</si>
  <si>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</si>
  <si>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</si>
  <si>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</si>
  <si>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</si>
  <si>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</si>
  <si>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</si>
  <si>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</si>
  <si>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</si>
  <si>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</si>
  <si>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</si>
  <si>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</si>
  <si>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</si>
  <si>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</si>
  <si>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</si>
  <si>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</si>
  <si>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</si>
  <si>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</si>
  <si>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</si>
  <si>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</si>
  <si>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</si>
  <si>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</si>
  <si>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</si>
  <si>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</si>
  <si>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</si>
  <si>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</si>
  <si>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</si>
  <si>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</si>
  <si>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</si>
  <si>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</si>
  <si>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</si>
  <si>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</si>
  <si>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</si>
  <si>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</si>
  <si>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</si>
  <si>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</si>
  <si>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</si>
  <si>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</si>
  <si>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</si>
  <si>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</si>
  <si>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</si>
  <si>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</si>
  <si>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</si>
  <si>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</si>
  <si>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</si>
  <si>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</si>
  <si>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</si>
  <si>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</si>
  <si>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</si>
  <si>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</si>
  <si>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</si>
  <si>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</si>
  <si>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</si>
  <si>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</si>
  <si>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</si>
  <si>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</si>
  <si>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</si>
  <si>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</si>
  <si>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</si>
  <si>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</si>
  <si>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</si>
  <si>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</si>
  <si>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</si>
  <si>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</si>
  <si>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</si>
  <si>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</si>
  <si>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</si>
  <si>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</si>
  <si>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</si>
  <si>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</si>
  <si>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</si>
  <si>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</si>
  <si>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</si>
  <si>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</si>
  <si>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</si>
  <si>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</si>
  <si>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</si>
  <si>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</si>
  <si>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</si>
  <si>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</si>
  <si>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</si>
  <si>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</si>
  <si>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</si>
  <si>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</si>
  <si>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</si>
  <si>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</si>
  <si>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</si>
  <si>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</si>
  <si>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</si>
  <si>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</si>
  <si>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</si>
  <si>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</si>
  <si>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</si>
  <si>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</si>
  <si>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</si>
  <si>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</si>
  <si>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</si>
  <si>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</si>
  <si>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</si>
  <si>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</si>
  <si>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</si>
  <si>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</si>
  <si>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</si>
  <si>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</si>
  <si>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</si>
  <si>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</si>
  <si>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</si>
  <si>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</si>
  <si>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</si>
  <si>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</si>
  <si>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</si>
  <si>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</si>
  <si>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</si>
  <si>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</si>
  <si>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</si>
  <si>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</si>
  <si>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</si>
  <si>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</si>
  <si>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</si>
  <si>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</si>
  <si>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</si>
  <si>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</si>
  <si>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</si>
  <si>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</si>
  <si>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</si>
  <si>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</si>
  <si>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</si>
  <si>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</si>
  <si>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</si>
  <si>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</si>
  <si>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</si>
  <si>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</si>
  <si>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</si>
  <si>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</si>
  <si>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</si>
  <si>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</si>
  <si>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</si>
  <si>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</si>
  <si>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</si>
  <si>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</si>
  <si>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</si>
  <si>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</si>
  <si>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</si>
  <si>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</si>
  <si>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</si>
  <si>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</si>
  <si>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</si>
  <si>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</si>
  <si>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</si>
  <si>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</si>
  <si>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</si>
  <si>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</si>
  <si>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</si>
  <si>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</si>
  <si>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</si>
  <si>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</si>
  <si>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</si>
  <si>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</si>
  <si>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</si>
  <si>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</si>
  <si>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</si>
  <si>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</si>
  <si>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</si>
  <si>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</si>
  <si>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</si>
  <si>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</si>
  <si>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</si>
  <si>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</si>
  <si>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</si>
  <si>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</si>
  <si>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</si>
  <si>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</si>
  <si>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</si>
  <si>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</si>
  <si>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</si>
  <si>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</si>
  <si>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</si>
  <si>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</si>
  <si>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</si>
  <si>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</si>
  <si>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</si>
  <si>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</si>
  <si>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</si>
  <si>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</si>
  <si>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</si>
  <si>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</si>
  <si>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</si>
  <si>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</si>
  <si>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</si>
  <si>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</si>
  <si>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</si>
  <si>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</si>
  <si>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</si>
  <si>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</si>
  <si>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</si>
  <si>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</si>
  <si>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</si>
  <si>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</si>
  <si>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</si>
  <si>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</si>
  <si>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</si>
  <si>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</si>
  <si>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</si>
  <si>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</si>
  <si>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</si>
  <si>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</si>
  <si>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</si>
  <si>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</si>
  <si>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</si>
  <si>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</si>
  <si>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</si>
  <si>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</si>
  <si>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</si>
  <si>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</si>
  <si>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</si>
  <si>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</si>
  <si>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</si>
  <si>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</si>
  <si>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</si>
  <si>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</si>
  <si>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</si>
  <si>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</si>
  <si>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</si>
  <si>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</si>
  <si>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</si>
  <si>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</si>
  <si>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</si>
  <si>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</si>
  <si>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</si>
  <si>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</si>
  <si>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</si>
  <si>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</si>
  <si>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</si>
  <si>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</si>
  <si>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</si>
  <si>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</si>
  <si>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</si>
  <si>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</si>
  <si>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</si>
  <si>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</si>
  <si>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</si>
  <si>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</si>
  <si>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</si>
  <si>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</si>
  <si>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</si>
  <si>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</si>
  <si>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</si>
  <si>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</si>
  <si>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</si>
  <si>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</si>
  <si>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</si>
  <si>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</si>
  <si>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</si>
  <si>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</si>
  <si>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</si>
  <si>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</si>
  <si>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</si>
  <si>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</si>
  <si>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</si>
  <si>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</si>
  <si>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</si>
  <si>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</si>
  <si>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</si>
  <si>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</si>
  <si>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</si>
  <si>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</si>
  <si>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</si>
  <si>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</si>
  <si>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</si>
  <si>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</si>
  <si>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</si>
  <si>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</si>
  <si>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</si>
  <si>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</si>
  <si>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</si>
  <si>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</si>
  <si>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</si>
  <si>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</si>
  <si>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</si>
  <si>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</si>
  <si>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</si>
  <si>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</si>
  <si>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</si>
  <si>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</si>
  <si>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</si>
  <si>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</si>
  <si>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</si>
  <si>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</si>
  <si>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</si>
  <si>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</si>
  <si>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</si>
  <si>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</si>
  <si>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</si>
  <si>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</si>
  <si>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</si>
  <si>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</si>
  <si>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</si>
  <si>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</si>
  <si>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</si>
  <si>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</si>
  <si>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</si>
  <si>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</si>
  <si>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</si>
  <si>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</si>
  <si>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</si>
  <si>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</si>
  <si>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</si>
  <si>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</si>
  <si>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</si>
  <si>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</si>
  <si>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</si>
  <si>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</si>
  <si>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</si>
  <si>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</si>
  <si>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</si>
  <si>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</si>
  <si>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</si>
  <si>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</si>
  <si>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</si>
  <si>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</si>
  <si>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</si>
  <si>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</si>
  <si>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</si>
  <si>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</si>
  <si>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</si>
  <si>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</si>
  <si>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</si>
  <si>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</si>
  <si>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</si>
  <si>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</si>
  <si>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</si>
  <si>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</si>
  <si>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</si>
  <si>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</si>
  <si>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</si>
  <si>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</si>
  <si>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</si>
  <si>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</si>
  <si>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</si>
  <si>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</si>
  <si>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</si>
  <si>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</si>
  <si>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</si>
  <si>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</si>
  <si>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</si>
  <si>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</si>
  <si>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</si>
  <si>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</si>
  <si>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</si>
  <si>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</si>
  <si>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</si>
  <si>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</si>
  <si>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</si>
  <si>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</si>
  <si>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</si>
  <si>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</si>
  <si>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</si>
  <si>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</si>
  <si>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</si>
  <si>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</si>
  <si>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</si>
  <si>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</si>
  <si>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</si>
  <si>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</si>
  <si>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</si>
  <si>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</si>
  <si>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</si>
  <si>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</si>
  <si>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</si>
  <si>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</si>
  <si>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</si>
  <si>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</si>
  <si>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</si>
  <si>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</si>
  <si>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</si>
  <si>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</si>
  <si>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</si>
  <si>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</si>
  <si>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</si>
  <si>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</si>
  <si>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</si>
  <si>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</si>
  <si>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</si>
  <si>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</si>
  <si>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</si>
  <si>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</si>
  <si>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</si>
  <si>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</si>
  <si>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</si>
  <si>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</si>
  <si>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</si>
  <si>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</si>
  <si>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</si>
  <si>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</si>
  <si>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</si>
  <si>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</si>
  <si>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</si>
  <si>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</si>
  <si>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</si>
  <si>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</si>
  <si>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</si>
  <si>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</si>
  <si>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</si>
  <si>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</si>
  <si>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</si>
  <si>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</si>
  <si>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</si>
  <si>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</si>
  <si>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</si>
  <si>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</si>
  <si>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</si>
  <si>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</si>
  <si>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</si>
  <si>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</si>
  <si>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</si>
  <si>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</si>
  <si>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</si>
  <si>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</si>
  <si>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</si>
  <si>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</si>
  <si>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</si>
  <si>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</si>
  <si>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</si>
  <si>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</si>
  <si>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</si>
  <si>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</si>
  <si>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</si>
  <si>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</si>
  <si>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</si>
  <si>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</si>
  <si>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</si>
  <si>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</si>
  <si>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</si>
  <si>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</si>
  <si>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</si>
  <si>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</si>
  <si>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</si>
  <si>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</si>
  <si>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</si>
  <si>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</si>
  <si>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</si>
  <si>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</si>
  <si>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</si>
  <si>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</si>
  <si>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</si>
  <si>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</si>
  <si>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</si>
  <si>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</si>
  <si>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</si>
  <si>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</si>
  <si>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</si>
  <si>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</si>
  <si>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</si>
  <si>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</si>
  <si>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</si>
  <si>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</si>
  <si>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</si>
  <si>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</si>
  <si>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</si>
  <si>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</si>
  <si>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</si>
  <si>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</si>
  <si>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</si>
  <si>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</si>
  <si>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</si>
  <si>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</si>
  <si>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</si>
  <si>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</si>
  <si>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</si>
  <si>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</si>
  <si>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</si>
  <si>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</si>
  <si>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</si>
  <si>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</si>
  <si>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</si>
  <si>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</si>
  <si>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</si>
  <si>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</si>
  <si>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</si>
  <si>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</si>
  <si>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</si>
  <si>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</si>
  <si>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</si>
  <si>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</si>
  <si>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</si>
  <si>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</si>
  <si>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</si>
  <si>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</si>
  <si>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</si>
  <si>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</si>
  <si>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</si>
  <si>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</si>
  <si>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</si>
  <si>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</si>
  <si>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</si>
  <si>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</si>
  <si>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</si>
  <si>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</si>
  <si>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</si>
  <si>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</si>
  <si>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</si>
  <si>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</si>
  <si>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</si>
  <si>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</si>
  <si>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</si>
  <si>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</si>
  <si>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</si>
  <si>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</si>
  <si>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</si>
  <si>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</si>
  <si>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</si>
  <si>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</si>
  <si>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</si>
  <si>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</si>
  <si>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</si>
  <si>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</si>
  <si>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</si>
  <si>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</si>
  <si>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</si>
  <si>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</si>
  <si>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</si>
  <si>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</si>
  <si>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</si>
  <si>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</si>
  <si>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</si>
  <si>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</si>
  <si>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</si>
  <si>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</si>
  <si>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</si>
  <si>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</si>
  <si>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</si>
  <si>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</si>
  <si>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</si>
  <si>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</si>
  <si>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</si>
  <si>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</si>
  <si>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</si>
  <si>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</si>
  <si>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</si>
  <si>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</si>
  <si>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</si>
  <si>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</si>
  <si>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</si>
  <si>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</si>
  <si>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</si>
  <si>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</si>
  <si>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</si>
  <si>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</si>
  <si>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</si>
  <si>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</si>
  <si>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</si>
  <si>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</si>
  <si>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</si>
  <si>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</si>
  <si>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</si>
  <si>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</si>
  <si>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</si>
  <si>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</si>
  <si>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</si>
  <si>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</si>
  <si>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</si>
  <si>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</si>
  <si>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</si>
  <si>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</si>
  <si>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</si>
  <si>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</si>
  <si>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</si>
  <si>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</si>
  <si>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</si>
  <si>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</si>
  <si>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</si>
  <si>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</si>
  <si>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</si>
  <si>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</si>
  <si>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</si>
  <si>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</si>
  <si>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</si>
  <si>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</si>
  <si>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</si>
  <si>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</si>
  <si>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</si>
  <si>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</si>
  <si>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</si>
  <si>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</si>
  <si>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</si>
  <si>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</si>
  <si>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</si>
  <si>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</si>
  <si>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</si>
  <si>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</si>
  <si>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</si>
  <si>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</si>
  <si>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</si>
  <si>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</si>
  <si>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</si>
  <si>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</si>
  <si>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</si>
  <si>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</si>
  <si>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</si>
  <si>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</si>
  <si>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</si>
  <si>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</si>
  <si>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</si>
  <si>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</si>
  <si>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</si>
  <si>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</si>
  <si>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</si>
  <si>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</si>
  <si>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</si>
  <si>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</si>
  <si>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</si>
  <si>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</si>
  <si>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</si>
  <si>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</si>
  <si>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</si>
  <si>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</si>
  <si>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</si>
  <si>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</si>
  <si>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</si>
  <si>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</si>
  <si>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</si>
  <si>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</si>
  <si>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</si>
  <si>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</si>
  <si>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</si>
  <si>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</si>
  <si>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</si>
  <si>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</si>
  <si>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</si>
  <si>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</si>
  <si>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</si>
  <si>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</si>
  <si>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</si>
  <si>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</si>
  <si>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</si>
  <si>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</si>
  <si>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</si>
  <si>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</si>
  <si>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</si>
  <si>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</si>
  <si>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</si>
  <si>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</si>
  <si>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</si>
  <si>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</si>
  <si>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</si>
  <si>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</si>
  <si>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</si>
  <si>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</si>
  <si>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</si>
  <si>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</si>
  <si>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</si>
  <si>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</si>
  <si>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</si>
  <si>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</si>
  <si>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</si>
  <si>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</si>
  <si>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</si>
  <si>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</si>
  <si>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</si>
  <si>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</si>
  <si>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</si>
  <si>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</si>
  <si>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</si>
  <si>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</si>
  <si>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</si>
  <si>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</si>
  <si>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</si>
  <si>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</si>
  <si>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</si>
  <si>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</si>
  <si>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</si>
  <si>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</si>
  <si>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</si>
  <si>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</si>
  <si>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</si>
  <si>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</si>
  <si>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</si>
  <si>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</si>
  <si>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</si>
  <si>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</si>
  <si>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</si>
  <si>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</si>
  <si>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</si>
  <si>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</si>
  <si>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</si>
  <si>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</si>
  <si>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</si>
  <si>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</si>
  <si>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</si>
  <si>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</si>
  <si>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</si>
  <si>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</si>
  <si>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</si>
  <si>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</si>
  <si>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</si>
  <si>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</si>
  <si>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</si>
  <si>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</si>
  <si>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</si>
  <si>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</si>
  <si>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</si>
  <si>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</si>
  <si>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</si>
  <si>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</si>
  <si>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</si>
  <si>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</si>
  <si>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</si>
  <si>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</si>
  <si>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</si>
  <si>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</si>
  <si>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</si>
  <si>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</si>
  <si>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</si>
  <si>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</si>
  <si>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</si>
  <si>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</si>
  <si>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</si>
  <si>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</si>
  <si>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</si>
  <si>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</si>
  <si>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</si>
  <si>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</si>
  <si>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</si>
  <si>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</si>
  <si>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</si>
  <si>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</si>
  <si>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</si>
  <si>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</si>
  <si>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</si>
  <si>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</si>
  <si>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</si>
  <si>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</si>
  <si>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</si>
  <si>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</si>
  <si>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</si>
  <si>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</si>
  <si>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</si>
  <si>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</si>
  <si>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</si>
  <si>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</si>
  <si>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</si>
  <si>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</si>
  <si>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</si>
  <si>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</si>
  <si>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</si>
  <si>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</si>
  <si>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</si>
  <si>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</si>
  <si>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</si>
  <si>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</si>
  <si>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</si>
  <si>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</si>
  <si>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</si>
  <si>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</si>
  <si>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</si>
  <si>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</si>
  <si>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</si>
  <si>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</si>
  <si>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</si>
  <si>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</si>
  <si>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</si>
  <si>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</si>
  <si>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</si>
  <si>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</si>
  <si>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</si>
  <si>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</si>
  <si>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</si>
  <si>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</si>
  <si>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</si>
  <si>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</si>
  <si>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</si>
  <si>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</si>
  <si>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</si>
  <si>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</si>
  <si>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</si>
  <si>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</si>
  <si>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</si>
  <si>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</si>
  <si>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</si>
  <si>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</si>
  <si>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</si>
  <si>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</si>
  <si>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</si>
  <si>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</si>
  <si>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</si>
  <si>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</si>
  <si>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</si>
  <si>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</si>
  <si>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</si>
  <si>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</si>
  <si>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</si>
  <si>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</si>
  <si>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</si>
  <si>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</si>
  <si>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</si>
  <si>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</si>
  <si>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</si>
  <si>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</si>
  <si>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</si>
  <si>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</si>
  <si>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</si>
  <si>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</si>
  <si>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</si>
  <si>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</si>
  <si>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</si>
  <si>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</si>
  <si>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</si>
  <si>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</si>
  <si>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</si>
  <si>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</si>
  <si>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</si>
  <si>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</si>
  <si>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</si>
  <si>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</si>
  <si>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</si>
  <si>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</si>
  <si>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</si>
  <si>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</si>
  <si>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</si>
  <si>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</si>
  <si>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</si>
  <si>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</si>
  <si>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</si>
  <si>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</si>
  <si>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</si>
  <si>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</si>
  <si>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</si>
  <si>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</si>
  <si>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</si>
  <si>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</si>
  <si>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</si>
  <si>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</si>
  <si>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</si>
  <si>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</si>
  <si>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</si>
  <si>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</si>
  <si>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</si>
  <si>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</si>
  <si>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</si>
  <si>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</si>
  <si>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</si>
  <si>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</si>
  <si>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</si>
  <si>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</si>
  <si>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</si>
  <si>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</si>
  <si>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</si>
  <si>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</si>
  <si>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</si>
  <si>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</si>
  <si>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</si>
  <si>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</si>
  <si>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</si>
  <si>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</si>
  <si>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</si>
  <si>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</si>
  <si>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</si>
  <si>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</si>
  <si>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</si>
  <si>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</si>
  <si>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</si>
  <si>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</si>
  <si>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</si>
  <si>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</si>
  <si>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</si>
  <si>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</si>
  <si>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</si>
  <si>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</si>
  <si>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</si>
  <si>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</si>
  <si>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</si>
  <si>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</si>
  <si>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</si>
  <si>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</si>
  <si>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</si>
  <si>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</si>
  <si>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</si>
  <si>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</si>
  <si>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</si>
  <si>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</si>
  <si>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</si>
  <si>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</si>
  <si>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</si>
  <si>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</si>
  <si>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</si>
  <si>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</si>
  <si>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</si>
  <si>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</si>
  <si>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</si>
  <si>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</si>
  <si>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</si>
  <si>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</si>
  <si>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</si>
  <si>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</si>
  <si>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</si>
  <si>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</si>
  <si>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</si>
  <si>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</si>
  <si>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</si>
  <si>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</si>
  <si>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</si>
  <si>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</si>
  <si>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</si>
  <si>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</si>
  <si>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</si>
  <si>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</si>
  <si>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</si>
  <si>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</si>
  <si>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</si>
  <si>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</si>
  <si>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</si>
  <si>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</si>
  <si>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</si>
  <si>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</si>
  <si>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</si>
  <si>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</si>
  <si>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</si>
  <si>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</si>
  <si>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</si>
  <si>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</si>
  <si>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</si>
  <si>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</si>
  <si>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</si>
  <si>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</si>
  <si>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</si>
  <si>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</si>
  <si>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</si>
  <si>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</si>
  <si>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</si>
  <si>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</si>
  <si>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</si>
  <si>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</si>
  <si>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</si>
  <si>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</si>
  <si>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</si>
  <si>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</si>
  <si>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</si>
  <si>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</si>
  <si>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</si>
  <si>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</si>
  <si>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</si>
  <si>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</si>
  <si>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</si>
  <si>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</si>
  <si>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</si>
  <si>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</si>
  <si>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</si>
  <si>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</si>
  <si>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</si>
  <si>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</si>
  <si>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</si>
  <si>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</si>
  <si>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</si>
  <si>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</si>
  <si>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</si>
  <si>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</si>
  <si>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</si>
  <si>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</si>
  <si>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</si>
  <si>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</si>
  <si>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</si>
  <si>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</si>
  <si>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</si>
  <si>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</si>
  <si>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</si>
  <si>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</si>
  <si>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</si>
  <si>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</si>
  <si>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</si>
  <si>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</si>
  <si>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</si>
  <si>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</si>
  <si>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</si>
  <si>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</si>
  <si>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</si>
  <si>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</si>
  <si>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</si>
  <si>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</si>
  <si>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</si>
  <si>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</si>
  <si>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</si>
  <si>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</si>
  <si>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</si>
  <si>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</si>
  <si>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</si>
  <si>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</si>
  <si>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</si>
  <si>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</si>
  <si>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</si>
  <si>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</si>
  <si>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</si>
  <si>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</si>
  <si>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</si>
  <si>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</si>
  <si>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</si>
  <si>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</si>
  <si>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</si>
  <si>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</si>
  <si>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</si>
  <si>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</si>
  <si>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</si>
  <si>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</si>
  <si>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</si>
  <si>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</si>
  <si>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</si>
  <si>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</si>
  <si>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</si>
  <si>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</si>
  <si>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</si>
  <si>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</si>
  <si>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</si>
  <si>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</si>
  <si>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</si>
  <si>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</si>
  <si>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</si>
  <si>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</si>
  <si>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</si>
  <si>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</si>
  <si>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</si>
  <si>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</si>
  <si>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</si>
  <si>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</si>
  <si>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</si>
  <si>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</si>
  <si>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</si>
  <si>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</si>
  <si>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</si>
  <si>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</si>
  <si>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</si>
  <si>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</si>
  <si>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</si>
  <si>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</si>
  <si>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</si>
  <si>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</si>
  <si>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</si>
  <si>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</si>
  <si>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</si>
  <si>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</si>
  <si>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</si>
  <si>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</si>
  <si>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</si>
  <si>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</si>
  <si>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</si>
  <si>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</si>
  <si>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</si>
  <si>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</si>
  <si>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</si>
  <si>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</si>
  <si>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</si>
  <si>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</si>
  <si>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</si>
  <si>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</si>
  <si>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</si>
  <si>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</si>
  <si>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</si>
  <si>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</si>
  <si>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</si>
  <si>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</si>
  <si>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</si>
  <si>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</si>
  <si>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</si>
  <si>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</si>
  <si>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</si>
  <si>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</si>
  <si>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</si>
  <si>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</si>
  <si>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</si>
  <si>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</si>
  <si>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</si>
  <si>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</si>
  <si>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</si>
  <si>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</si>
  <si>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</si>
  <si>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</si>
  <si>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</si>
  <si>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</si>
  <si>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</si>
  <si>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</si>
  <si>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</si>
  <si>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</si>
  <si>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</si>
  <si>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</si>
  <si>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</si>
  <si>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</si>
  <si>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</si>
  <si>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</si>
  <si>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</si>
  <si>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</si>
  <si>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</si>
  <si>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</si>
  <si>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</si>
  <si>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</si>
  <si>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</si>
  <si>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</si>
  <si>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</si>
  <si>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</si>
  <si>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</si>
  <si>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</si>
  <si>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</si>
  <si>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</si>
  <si>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</si>
  <si>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</si>
  <si>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</si>
  <si>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</si>
  <si>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</si>
  <si>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</si>
  <si>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</si>
  <si>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</si>
  <si>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</si>
  <si>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</si>
  <si>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</si>
  <si>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</si>
  <si>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</si>
  <si>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</si>
  <si>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</si>
  <si>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</si>
  <si>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</si>
  <si>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</si>
  <si>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</si>
  <si>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</si>
  <si>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</si>
  <si>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</si>
  <si>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</si>
  <si>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</si>
  <si>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</si>
  <si>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</si>
  <si>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</si>
  <si>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</si>
  <si>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</si>
  <si>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</si>
  <si>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</si>
  <si>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</si>
  <si>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</si>
  <si>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</si>
  <si>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</si>
  <si>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</si>
  <si>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</si>
  <si>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</si>
  <si>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</si>
  <si>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</si>
  <si>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</si>
  <si>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</si>
  <si>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</si>
  <si>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</si>
  <si>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</si>
  <si>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</si>
  <si>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</si>
  <si>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</si>
  <si>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</si>
  <si>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</si>
  <si>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</si>
  <si>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</si>
  <si>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</si>
  <si>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</si>
  <si>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</si>
  <si>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</si>
  <si>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</si>
  <si>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</si>
  <si>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</si>
  <si>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</si>
  <si>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</si>
  <si>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</si>
  <si>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</si>
  <si>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</si>
  <si>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</si>
  <si>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</si>
  <si>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</si>
  <si>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</si>
  <si>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</si>
  <si>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</si>
  <si>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</si>
  <si>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</si>
  <si>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</si>
  <si>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</si>
  <si>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</si>
  <si>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</si>
  <si>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</si>
  <si>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</si>
  <si>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</si>
  <si>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</si>
  <si>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</si>
  <si>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</si>
  <si>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</si>
  <si>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</si>
  <si>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</si>
  <si>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</si>
  <si>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</si>
  <si>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</si>
  <si>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</si>
  <si>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</si>
  <si>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</si>
  <si>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</si>
  <si>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</si>
  <si>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</si>
  <si>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</si>
  <si>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</si>
  <si>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</si>
  <si>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</si>
  <si>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</si>
  <si>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</si>
  <si>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</si>
  <si>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</si>
  <si>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</si>
  <si>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</si>
  <si>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</si>
  <si>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</si>
  <si>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</si>
  <si>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</si>
  <si>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</si>
  <si>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</si>
  <si>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</si>
  <si>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</si>
  <si>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</si>
  <si>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</si>
  <si>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</si>
  <si>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</si>
  <si>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</si>
  <si>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</si>
  <si>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</si>
  <si>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</si>
  <si>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</si>
  <si>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</si>
  <si>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</si>
  <si>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</si>
  <si>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</si>
  <si>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</si>
  <si>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</si>
  <si>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</si>
  <si>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</si>
  <si>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</si>
  <si>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</si>
  <si>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</si>
  <si>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</si>
  <si>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</si>
  <si>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</si>
  <si>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</si>
  <si>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</si>
  <si>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</si>
  <si>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</si>
  <si>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</si>
  <si>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</si>
  <si>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</si>
  <si>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</si>
  <si>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</si>
  <si>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</si>
  <si>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</si>
  <si>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</si>
  <si>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</si>
  <si>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</si>
  <si>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</si>
  <si>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</si>
  <si>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</si>
  <si>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</si>
  <si>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</si>
  <si>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</si>
  <si>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</si>
  <si>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</si>
  <si>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</si>
  <si>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</si>
  <si>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</si>
  <si>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</si>
  <si>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</si>
  <si>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</si>
  <si>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</si>
  <si>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</si>
  <si>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</si>
  <si>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</si>
  <si>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</si>
  <si>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</si>
  <si>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</si>
  <si>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</si>
  <si>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</si>
  <si>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</si>
  <si>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</si>
  <si>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</si>
  <si>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</si>
  <si>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</si>
  <si>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</si>
  <si>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</si>
  <si>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</si>
  <si>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</si>
  <si>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</si>
  <si>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</si>
  <si>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</si>
  <si>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</si>
  <si>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</si>
  <si>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</si>
  <si>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</si>
  <si>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</si>
  <si>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</si>
  <si>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</si>
  <si>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</si>
  <si>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</si>
  <si>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</si>
  <si>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</si>
  <si>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</si>
  <si>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</si>
  <si>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</si>
  <si>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</si>
  <si>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</si>
  <si>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</si>
  <si>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</si>
  <si>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</si>
  <si>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</si>
  <si>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</si>
  <si>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</si>
  <si>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</si>
  <si>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</si>
  <si>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</si>
  <si>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</si>
  <si>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</si>
  <si>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</si>
  <si>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</si>
  <si>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</si>
  <si>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</si>
  <si>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</si>
  <si>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</si>
  <si>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</si>
  <si>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</si>
  <si>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</si>
  <si>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</si>
  <si>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</si>
  <si>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</si>
  <si>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</si>
  <si>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</si>
  <si>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</si>
  <si>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</si>
  <si>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</si>
  <si>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</si>
  <si>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</si>
  <si>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</si>
  <si>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</si>
  <si>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</si>
  <si>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</si>
  <si>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</si>
  <si>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</si>
  <si>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</si>
  <si>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</si>
  <si>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</si>
  <si>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</si>
  <si>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</si>
  <si>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</si>
  <si>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</si>
  <si>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</si>
  <si>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</si>
  <si>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</si>
  <si>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</si>
  <si>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</si>
  <si>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</si>
  <si>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</si>
  <si>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</si>
  <si>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</si>
  <si>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</si>
  <si>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</si>
  <si>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</si>
  <si>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</si>
  <si>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</si>
  <si>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</si>
  <si>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</si>
  <si>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</si>
  <si>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</si>
  <si>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</si>
  <si>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</si>
  <si>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</si>
  <si>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</si>
  <si>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</si>
  <si>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</si>
  <si>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</si>
  <si>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</si>
  <si>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</si>
  <si>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</si>
  <si>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</si>
  <si>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</si>
  <si>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</si>
  <si>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</si>
  <si>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</si>
  <si>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</si>
  <si>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</si>
  <si>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</si>
  <si>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</si>
  <si>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</si>
  <si>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</si>
  <si>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</si>
  <si>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</si>
  <si>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</si>
  <si>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</si>
  <si>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</si>
  <si>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</si>
  <si>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</si>
  <si>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</si>
  <si>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</si>
  <si>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</si>
  <si>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</si>
  <si>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</si>
  <si>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</si>
  <si>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</si>
  <si>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</si>
  <si>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</si>
  <si>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</si>
  <si>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</si>
  <si>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</si>
  <si>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</si>
  <si>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</si>
  <si>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</si>
  <si>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</si>
  <si>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</si>
  <si>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</si>
  <si>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</si>
  <si>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</si>
  <si>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</si>
  <si>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</si>
  <si>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</si>
  <si>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</si>
  <si>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</si>
  <si>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</si>
  <si>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</si>
  <si>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</si>
  <si>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</si>
  <si>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</si>
  <si>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</si>
  <si>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</si>
  <si>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</si>
  <si>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</si>
  <si>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</si>
  <si>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</si>
  <si>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</si>
  <si>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</si>
  <si>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</si>
  <si>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</si>
  <si>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</si>
  <si>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</si>
  <si>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</si>
  <si>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</si>
  <si>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</si>
  <si>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</si>
  <si>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</si>
  <si>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</si>
  <si>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</si>
  <si>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</si>
  <si>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</si>
  <si>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</si>
  <si>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</si>
  <si>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</si>
  <si>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</si>
  <si>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</si>
  <si>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</si>
  <si>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</si>
  <si>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</si>
  <si>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</si>
  <si>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</si>
  <si>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</si>
  <si>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</si>
  <si>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</si>
  <si>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</si>
  <si>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</si>
  <si>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</si>
  <si>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</si>
  <si>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</si>
  <si>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</si>
  <si>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</si>
  <si>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</si>
  <si>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</si>
  <si>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</si>
  <si>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</si>
  <si>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</si>
  <si>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</si>
  <si>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</si>
  <si>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</si>
  <si>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</si>
  <si>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</si>
  <si>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</si>
  <si>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</si>
  <si>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</si>
  <si>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</si>
  <si>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</si>
  <si>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</si>
  <si>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</si>
  <si>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</si>
  <si>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</si>
  <si>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</si>
  <si>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</si>
  <si>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</si>
  <si>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</si>
  <si>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</si>
  <si>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</si>
  <si>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</si>
  <si>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</si>
  <si>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</si>
  <si>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</si>
  <si>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</si>
  <si>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</si>
  <si>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</si>
  <si>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</si>
  <si>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</si>
  <si>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</si>
  <si>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</si>
  <si>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</si>
  <si>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</si>
  <si>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</si>
  <si>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</si>
  <si>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</si>
  <si>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</si>
  <si>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</si>
  <si>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</si>
  <si>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</si>
  <si>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</si>
  <si>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</si>
  <si>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</si>
  <si>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</si>
  <si>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</si>
  <si>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</si>
  <si>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</si>
  <si>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</si>
  <si>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</si>
  <si>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</si>
  <si>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</si>
  <si>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</si>
  <si>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</si>
  <si>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</si>
  <si>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</si>
  <si>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</si>
  <si>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</si>
  <si>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</si>
  <si>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</si>
  <si>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</si>
  <si>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</si>
  <si>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</si>
  <si>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</si>
  <si>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</si>
  <si>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</si>
  <si>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</si>
  <si>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</si>
  <si>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</si>
  <si>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</si>
  <si>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</si>
  <si>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</si>
  <si>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</si>
  <si>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</si>
  <si>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</si>
  <si>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</si>
  <si>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</si>
  <si>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</si>
  <si>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</si>
  <si>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</si>
  <si>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</si>
  <si>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</si>
  <si>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</si>
  <si>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</si>
  <si>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</si>
  <si>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</si>
  <si>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</si>
  <si>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</si>
  <si>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</si>
  <si>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</si>
  <si>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</si>
  <si>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</si>
  <si>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</si>
  <si>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</si>
  <si>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</si>
  <si>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</si>
  <si>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</si>
  <si>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</si>
  <si>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</si>
  <si>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</si>
  <si>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</si>
  <si>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</si>
  <si>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</si>
  <si>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</si>
  <si>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</si>
  <si>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</si>
  <si>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</si>
  <si>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</si>
  <si>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</si>
  <si>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</si>
  <si>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</si>
  <si>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</si>
  <si>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</si>
  <si>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</si>
  <si>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</si>
  <si>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</si>
  <si>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</si>
  <si>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</si>
  <si>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</si>
  <si>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</si>
  <si>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</si>
  <si>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</si>
  <si>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</si>
  <si>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</si>
  <si>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</si>
  <si>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</si>
  <si>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</si>
  <si>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</si>
  <si>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</si>
  <si>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</si>
  <si>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</si>
  <si>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</si>
  <si>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</si>
  <si>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</si>
  <si>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</si>
  <si>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</si>
  <si>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</si>
  <si>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</si>
  <si>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</si>
  <si>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</si>
  <si>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</si>
  <si>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</si>
  <si>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</si>
  <si>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</si>
  <si>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</si>
  <si>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</si>
  <si>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</si>
  <si>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</si>
  <si>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</si>
  <si>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</si>
  <si>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</si>
  <si>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</si>
  <si>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</si>
  <si>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</si>
  <si>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</si>
  <si>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</si>
  <si>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</si>
  <si>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</si>
  <si>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</si>
  <si>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</si>
  <si>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</si>
  <si>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</si>
  <si>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</si>
  <si>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</si>
  <si>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</si>
  <si>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</si>
  <si>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</si>
  <si>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</si>
  <si>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</si>
  <si>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</si>
  <si>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</si>
  <si>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</si>
  <si>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</si>
  <si>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</si>
  <si>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</si>
  <si>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</si>
  <si>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</si>
  <si>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</si>
  <si>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</si>
  <si>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</si>
  <si>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</si>
  <si>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</si>
  <si>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</si>
  <si>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</si>
  <si>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</si>
  <si>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</si>
  <si>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</si>
  <si>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</si>
  <si>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</si>
  <si>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</si>
  <si>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</si>
  <si>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</si>
  <si>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</si>
  <si>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</si>
  <si>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</si>
  <si>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</si>
  <si>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</si>
  <si>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</si>
  <si>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</si>
  <si>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</si>
  <si>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</si>
  <si>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</si>
  <si>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</si>
  <si>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</si>
  <si>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</si>
  <si>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</si>
  <si>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</si>
  <si>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</si>
  <si>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</si>
  <si>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</si>
  <si>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</si>
  <si>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</si>
  <si>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</si>
  <si>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</si>
  <si>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</si>
  <si>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</si>
  <si>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</si>
  <si>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</si>
  <si>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</si>
  <si>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</si>
  <si>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</si>
  <si>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</si>
  <si>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</si>
  <si>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</si>
  <si>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</si>
  <si>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</si>
  <si>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</si>
  <si>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</si>
  <si>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</si>
  <si>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</si>
  <si>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</si>
  <si>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</si>
  <si>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</si>
  <si>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</si>
  <si>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</si>
  <si>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</si>
  <si>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</si>
  <si>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</si>
  <si>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</si>
  <si>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</si>
  <si>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</si>
  <si>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</si>
  <si>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</si>
  <si>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</si>
  <si>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</si>
  <si>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</si>
  <si>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</si>
  <si>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</si>
  <si>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</si>
  <si>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</si>
  <si>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</si>
  <si>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</si>
  <si>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</si>
  <si>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</si>
  <si>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</si>
  <si>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</si>
  <si>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</si>
  <si>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</si>
  <si>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</si>
  <si>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</si>
  <si>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</si>
  <si>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</si>
  <si>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</si>
  <si>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</si>
  <si>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</si>
  <si>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</si>
  <si>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</si>
  <si>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</si>
  <si>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</si>
  <si>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</si>
  <si>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</si>
  <si>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</si>
  <si>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</si>
  <si>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</si>
  <si>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</si>
  <si>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</si>
  <si>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</si>
  <si>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</si>
  <si>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</si>
  <si>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</si>
  <si>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</si>
  <si>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</si>
  <si>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</si>
  <si>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</si>
  <si>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</si>
  <si>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</si>
  <si>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</si>
  <si>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</si>
  <si>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</si>
  <si>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</si>
  <si>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</si>
  <si>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</si>
  <si>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</si>
  <si>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</si>
  <si>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</si>
  <si>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</si>
  <si>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</si>
  <si>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</si>
  <si>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</si>
  <si>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</si>
  <si>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</si>
  <si>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</si>
  <si>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</si>
  <si>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</si>
  <si>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</si>
  <si>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</si>
  <si>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</si>
  <si>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</si>
  <si>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</si>
  <si>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</si>
  <si>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</si>
  <si>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</si>
  <si>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</si>
  <si>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</si>
  <si>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</si>
  <si>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</si>
  <si>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</si>
  <si>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</si>
  <si>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</si>
  <si>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</si>
  <si>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</si>
  <si>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</si>
  <si>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</si>
  <si>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</si>
  <si>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</si>
  <si>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</si>
  <si>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</si>
  <si>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</si>
  <si>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</si>
  <si>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</si>
  <si>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</si>
  <si>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</si>
  <si>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</si>
  <si>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</si>
  <si>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</si>
  <si>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</si>
  <si>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</si>
  <si>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</si>
  <si>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</si>
  <si>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</si>
  <si>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</si>
  <si>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</si>
  <si>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</si>
  <si>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</si>
  <si>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</si>
  <si>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</si>
  <si>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</si>
  <si>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</si>
  <si>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</si>
  <si>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</si>
  <si>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</si>
  <si>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</si>
  <si>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</si>
  <si>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</si>
  <si>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</si>
  <si>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</si>
  <si>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</si>
  <si>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</si>
  <si>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</si>
  <si>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</si>
  <si>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</si>
  <si>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</si>
  <si>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</si>
  <si>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</si>
  <si>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</si>
  <si>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</si>
  <si>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</si>
  <si>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</si>
  <si>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</si>
  <si>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</si>
  <si>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</si>
  <si>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</si>
  <si>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</si>
  <si>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</si>
  <si>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</si>
  <si>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</si>
  <si>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</si>
  <si>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</si>
  <si>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</si>
  <si>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</si>
  <si>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</si>
  <si>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</si>
  <si>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</si>
  <si>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</si>
  <si>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</si>
  <si>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</si>
  <si>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</si>
  <si>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</si>
  <si>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</si>
  <si>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</si>
  <si>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</si>
  <si>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</si>
  <si>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</si>
  <si>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</si>
  <si>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</si>
  <si>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</si>
  <si>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</si>
  <si>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</si>
  <si>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</si>
  <si>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</si>
  <si>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</si>
  <si>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</si>
  <si>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</si>
  <si>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</si>
  <si>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</si>
  <si>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</si>
  <si>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</si>
  <si>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</si>
  <si>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</si>
  <si>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</si>
  <si>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</si>
  <si>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</si>
  <si>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</si>
  <si>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</si>
  <si>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</si>
  <si>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</si>
  <si>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</si>
  <si>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</si>
  <si>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</si>
  <si>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</si>
  <si>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</si>
  <si>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</si>
  <si>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</si>
  <si>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</si>
  <si>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</si>
  <si>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</si>
  <si>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</si>
  <si>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</si>
  <si>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</si>
  <si>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</si>
  <si>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</si>
  <si>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</si>
  <si>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</si>
  <si>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</si>
  <si>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</si>
  <si>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</si>
  <si>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</si>
  <si>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</si>
  <si>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</si>
  <si>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</si>
  <si>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</si>
  <si>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</si>
  <si>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</si>
  <si>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</si>
  <si>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</si>
  <si>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</si>
  <si>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</si>
  <si>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</si>
  <si>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</si>
  <si>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</si>
  <si>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</si>
  <si>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</si>
  <si>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</si>
  <si>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</si>
  <si>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</si>
  <si>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</si>
  <si>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</si>
  <si>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</si>
  <si>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</si>
  <si>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</si>
  <si>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</si>
  <si>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</si>
  <si>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</si>
  <si>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</si>
  <si>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</si>
  <si>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</si>
  <si>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</si>
  <si>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</si>
  <si>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</si>
  <si>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</si>
  <si>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</si>
  <si>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</si>
  <si>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</si>
  <si>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</si>
  <si>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</si>
  <si>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</si>
  <si>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</si>
  <si>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</si>
  <si>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</si>
  <si>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</si>
  <si>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</si>
  <si>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</si>
  <si>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</si>
  <si>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</si>
  <si>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</si>
  <si>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</si>
  <si>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</si>
  <si>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</si>
  <si>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</si>
  <si>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</si>
  <si>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</si>
  <si>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</si>
  <si>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</si>
  <si>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</si>
  <si>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</si>
  <si>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</si>
  <si>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</si>
  <si>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</si>
  <si>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</si>
  <si>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</si>
  <si>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</si>
  <si>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</si>
  <si>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</si>
  <si>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</si>
  <si>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</si>
  <si>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</si>
  <si>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</si>
  <si>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</si>
  <si>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</si>
  <si>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</si>
  <si>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</si>
  <si>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</si>
  <si>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</si>
  <si>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</si>
  <si>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</si>
  <si>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</si>
  <si>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</si>
  <si>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</si>
  <si>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</si>
  <si>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</si>
  <si>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</si>
  <si>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</si>
  <si>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</si>
  <si>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</si>
  <si>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</si>
  <si>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</si>
  <si>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</si>
  <si>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</si>
  <si>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</si>
  <si>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</si>
  <si>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</si>
  <si>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</si>
  <si>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</si>
  <si>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</si>
  <si>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</si>
  <si>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</si>
  <si>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</si>
  <si>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</si>
  <si>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</si>
  <si>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</si>
  <si>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</si>
  <si>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</si>
  <si>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</si>
  <si>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</si>
  <si>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</si>
  <si>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</si>
  <si>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</si>
  <si>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</si>
  <si>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</si>
  <si>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</si>
  <si>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</si>
  <si>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</si>
  <si>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</si>
  <si>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</si>
  <si>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</si>
  <si>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</si>
  <si>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</si>
  <si>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</si>
  <si>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</si>
  <si>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</si>
  <si>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</si>
  <si>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</si>
  <si>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</si>
  <si>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</si>
  <si>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</si>
  <si>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</si>
  <si>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</si>
  <si>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</si>
  <si>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</si>
  <si>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</si>
  <si>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</si>
  <si>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</si>
  <si>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</si>
  <si>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</si>
  <si>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</si>
  <si>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</si>
  <si>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</si>
  <si>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</si>
  <si>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</si>
  <si>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</si>
  <si>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</si>
  <si>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</si>
  <si>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</si>
  <si>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</si>
  <si>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</si>
  <si>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</si>
  <si>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</si>
  <si>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</si>
  <si>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</si>
  <si>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</si>
  <si>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</si>
  <si>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</si>
  <si>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</si>
  <si>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</si>
  <si>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</si>
  <si>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</si>
  <si>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</si>
  <si>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</si>
  <si>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</si>
  <si>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</si>
  <si>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</si>
  <si>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</si>
  <si>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</si>
  <si>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</si>
  <si>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</si>
  <si>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</si>
  <si>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</si>
  <si>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</si>
  <si>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</si>
  <si>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</si>
  <si>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</si>
  <si>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</si>
  <si>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</si>
  <si>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</si>
  <si>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</si>
  <si>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</si>
  <si>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</si>
  <si>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</si>
  <si>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</si>
  <si>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</si>
  <si>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</si>
  <si>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</si>
  <si>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</si>
  <si>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</si>
  <si>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</si>
  <si>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</si>
  <si>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</si>
  <si>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</si>
  <si>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</si>
  <si>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</si>
  <si>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</si>
  <si>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</si>
  <si>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</si>
  <si>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</si>
  <si>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</si>
  <si>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</si>
  <si>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</si>
  <si>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</si>
  <si>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</si>
  <si>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</si>
  <si>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</si>
  <si>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</si>
  <si>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</si>
  <si>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</si>
  <si>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</si>
  <si>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</si>
  <si>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</si>
  <si>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</si>
  <si>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</si>
  <si>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</si>
  <si>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</si>
  <si>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</si>
  <si>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</si>
  <si>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</si>
  <si>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</si>
  <si>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</si>
  <si>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</si>
  <si>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</si>
  <si>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</si>
  <si>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</si>
  <si>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</si>
  <si>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</si>
  <si>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</si>
  <si>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</si>
  <si>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</si>
  <si>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</si>
  <si>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</si>
  <si>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</si>
  <si>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</si>
  <si>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</si>
  <si>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</si>
  <si>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</si>
  <si>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</si>
  <si>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</si>
  <si>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</si>
  <si>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</si>
  <si>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</si>
  <si>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</si>
  <si>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</si>
  <si>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</si>
  <si>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</si>
  <si>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</si>
  <si>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</si>
  <si>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</si>
  <si>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</si>
  <si>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</si>
  <si>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</si>
  <si>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</si>
  <si>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</si>
  <si>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</si>
  <si>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</si>
  <si>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</si>
  <si>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</si>
  <si>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</si>
  <si>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</si>
  <si>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</si>
  <si>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</si>
  <si>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</si>
  <si>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</si>
  <si>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</si>
  <si>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</si>
  <si>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</si>
  <si>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</si>
  <si>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</si>
  <si>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</si>
  <si>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</si>
  <si>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</si>
  <si>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</si>
  <si>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</si>
  <si>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</si>
  <si>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</si>
  <si>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</si>
  <si>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</si>
  <si>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</si>
  <si>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</si>
  <si>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</si>
  <si>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</si>
  <si>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</si>
  <si>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</si>
  <si>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</si>
  <si>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</si>
  <si>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</si>
  <si>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</si>
  <si>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</si>
  <si>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</si>
  <si>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</si>
  <si>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</si>
  <si>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</si>
  <si>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</si>
  <si>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</si>
  <si>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</si>
  <si>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</si>
  <si>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</si>
  <si>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</si>
  <si>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</si>
  <si>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</si>
  <si>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</si>
  <si>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</si>
  <si>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</si>
  <si>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</si>
  <si>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</si>
  <si>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</si>
  <si>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</si>
  <si>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</si>
  <si>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</si>
  <si>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</si>
  <si>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</si>
  <si>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</si>
  <si>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</si>
  <si>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</si>
  <si>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</si>
  <si>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</si>
  <si>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</si>
  <si>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</si>
  <si>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</si>
  <si>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</si>
  <si>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</si>
  <si>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</si>
  <si>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</si>
  <si>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</si>
  <si>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</si>
  <si>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</si>
  <si>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</si>
  <si>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</si>
  <si>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</si>
  <si>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</si>
  <si>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</si>
  <si>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</si>
  <si>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</si>
  <si>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</si>
  <si>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</si>
  <si>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</si>
  <si>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</si>
  <si>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</si>
  <si>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</si>
  <si>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</si>
  <si>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</si>
  <si>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</si>
  <si>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</si>
  <si>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</si>
  <si>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</si>
  <si>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</si>
  <si>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</si>
  <si>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</si>
  <si>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</si>
  <si>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</si>
  <si>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</si>
  <si>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</si>
  <si>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</si>
  <si>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</si>
  <si>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</si>
  <si>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</si>
  <si>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</si>
  <si>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</si>
  <si>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</si>
  <si>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</si>
  <si>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</si>
  <si>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</si>
  <si>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</si>
  <si>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</si>
  <si>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</si>
  <si>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</si>
  <si>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</si>
  <si>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</si>
  <si>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</si>
  <si>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</si>
  <si>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</si>
  <si>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</si>
  <si>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</si>
  <si>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</si>
  <si>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</si>
  <si>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</si>
  <si>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</si>
  <si>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</si>
  <si>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</si>
  <si>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</si>
  <si>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</si>
  <si>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</si>
  <si>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</si>
  <si>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</si>
  <si>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</si>
  <si>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</si>
  <si>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</si>
  <si>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</si>
  <si>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</si>
  <si>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</si>
  <si>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</si>
  <si>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</si>
  <si>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</si>
  <si>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</si>
  <si>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</si>
  <si>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</si>
  <si>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</si>
  <si>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</si>
  <si>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</si>
  <si>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</si>
  <si>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</si>
  <si>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</si>
  <si>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</si>
  <si>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</si>
  <si>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</si>
  <si>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</si>
  <si>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</si>
  <si>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</si>
  <si>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</si>
  <si>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</si>
  <si>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</si>
  <si>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</si>
  <si>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</si>
  <si>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</si>
  <si>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</si>
  <si>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</si>
  <si>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</si>
  <si>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</si>
  <si>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</si>
  <si>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</si>
  <si>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</si>
  <si>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</si>
  <si>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</si>
  <si>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</si>
  <si>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</si>
  <si>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</si>
  <si>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</si>
  <si>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</si>
  <si>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</si>
  <si>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</si>
  <si>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</si>
  <si>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</si>
  <si>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</si>
  <si>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</si>
  <si>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</si>
  <si>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</si>
  <si>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</si>
  <si>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</si>
  <si>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</si>
  <si>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</si>
  <si>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</si>
  <si>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</si>
  <si>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</si>
  <si>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</si>
  <si>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</si>
  <si>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</si>
  <si>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</si>
  <si>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</si>
  <si>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</si>
  <si>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</si>
  <si>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</si>
  <si>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</si>
  <si>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</si>
  <si>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</si>
  <si>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</si>
  <si>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</si>
  <si>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</si>
  <si>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</si>
  <si>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</si>
  <si>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</si>
  <si>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</si>
  <si>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</si>
  <si>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</si>
  <si>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</si>
  <si>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</si>
  <si>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</si>
  <si>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</si>
  <si>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</si>
  <si>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</si>
  <si>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</si>
  <si>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</si>
  <si>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</si>
  <si>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</si>
  <si>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</si>
  <si>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</si>
  <si>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</si>
  <si>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</si>
  <si>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</si>
  <si>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</si>
  <si>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</si>
  <si>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</si>
  <si>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</si>
  <si>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</si>
  <si>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</si>
  <si>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</si>
  <si>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</si>
  <si>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</si>
  <si>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</si>
  <si>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</si>
  <si>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</si>
  <si>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</si>
  <si>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</si>
  <si>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</si>
  <si>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</si>
  <si>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</si>
  <si>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</si>
  <si>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</si>
  <si>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</si>
  <si>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</si>
  <si>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</si>
  <si>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</si>
  <si>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</si>
  <si>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</si>
  <si>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</si>
  <si>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</si>
  <si>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</si>
  <si>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</si>
  <si>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</si>
  <si>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</si>
  <si>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</si>
  <si>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</si>
  <si>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</si>
  <si>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</si>
  <si>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</si>
  <si>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</si>
  <si>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</si>
  <si>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</si>
  <si>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</si>
  <si>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</si>
  <si>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</si>
  <si>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</si>
  <si>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</si>
  <si>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</si>
  <si>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</si>
  <si>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</si>
  <si>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</si>
  <si>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</si>
  <si>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</si>
  <si>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</si>
  <si>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</si>
  <si>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</si>
  <si>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</si>
  <si>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</si>
  <si>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</si>
  <si>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</si>
  <si>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</si>
  <si>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</si>
  <si>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</si>
  <si>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</si>
  <si>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</si>
  <si>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</si>
  <si>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</si>
  <si>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</si>
  <si>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</si>
  <si>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</si>
  <si>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</si>
  <si>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</si>
  <si>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</si>
  <si>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</si>
  <si>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</si>
  <si>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</si>
  <si>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</si>
  <si>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</si>
  <si>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</si>
  <si>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</si>
  <si>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</si>
  <si>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</si>
  <si>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</si>
  <si>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</si>
  <si>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</si>
  <si>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</si>
  <si>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</si>
  <si>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</si>
  <si>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</si>
  <si>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</si>
  <si>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</si>
  <si>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</si>
  <si>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</si>
  <si>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</si>
  <si>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</si>
  <si>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</si>
  <si>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</si>
  <si>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</si>
  <si>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</si>
  <si>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</si>
  <si>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</si>
  <si>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</si>
  <si>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</si>
  <si>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</si>
  <si>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</si>
  <si>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</si>
  <si>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</si>
  <si>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</si>
  <si>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</si>
  <si>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</si>
  <si>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</si>
  <si>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</si>
  <si>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</si>
  <si>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</si>
  <si>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</si>
  <si>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</si>
  <si>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</si>
  <si>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</si>
  <si>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</si>
  <si>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</si>
  <si>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</si>
  <si>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</si>
  <si>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</si>
  <si>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</si>
  <si>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</si>
  <si>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</si>
  <si>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</si>
  <si>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</si>
  <si>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</si>
  <si>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</si>
  <si>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</si>
  <si>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</si>
  <si>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</si>
  <si>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</si>
  <si>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</si>
  <si>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</si>
  <si>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</si>
  <si>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</si>
  <si>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</si>
  <si>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</si>
  <si>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</si>
  <si>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</si>
  <si>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</si>
  <si>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</si>
  <si>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</si>
  <si>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</si>
  <si>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</si>
  <si>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</si>
  <si>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</si>
  <si>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</si>
  <si>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</si>
  <si>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</si>
  <si>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</si>
  <si>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</si>
  <si>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</si>
  <si>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</si>
  <si>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</si>
  <si>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</si>
  <si>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</si>
  <si>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</si>
  <si>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</si>
  <si>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</si>
  <si>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</si>
  <si>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</si>
  <si>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</si>
  <si>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</si>
  <si>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</si>
  <si>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</si>
  <si>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</si>
  <si>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</si>
  <si>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</si>
  <si>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</si>
  <si>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</si>
  <si>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</si>
  <si>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</si>
  <si>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</si>
  <si>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</si>
  <si>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</si>
  <si>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</si>
  <si>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</si>
  <si>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</si>
  <si>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</si>
  <si>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</si>
  <si>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</si>
  <si>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</si>
  <si>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</si>
  <si>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</si>
  <si>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</si>
  <si>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</si>
  <si>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</si>
  <si>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</si>
  <si>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</si>
  <si>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</si>
  <si>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</si>
  <si>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</si>
  <si>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</si>
  <si>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</si>
  <si>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</si>
  <si>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</si>
  <si>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</si>
  <si>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</si>
  <si>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</si>
  <si>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</si>
  <si>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</si>
  <si>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</si>
  <si>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</si>
  <si>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</si>
  <si>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</si>
  <si>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</si>
  <si>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</si>
  <si>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</si>
  <si>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</si>
  <si>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</si>
  <si>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</si>
  <si>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</si>
  <si>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</si>
  <si>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</si>
  <si>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</si>
  <si>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</si>
  <si>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</si>
  <si>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</si>
  <si>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</si>
  <si>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</si>
  <si>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</si>
  <si>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</si>
  <si>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</si>
  <si>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</si>
  <si>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</si>
  <si>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</si>
  <si>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</si>
  <si>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</si>
  <si>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</si>
  <si>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</si>
  <si>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</si>
  <si>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</si>
  <si>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</si>
  <si>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</si>
  <si>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</si>
  <si>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</si>
  <si>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</si>
  <si>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</si>
  <si>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</si>
  <si>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</si>
  <si>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</si>
  <si>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</si>
  <si>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</si>
  <si>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</si>
  <si>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</si>
  <si>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</si>
  <si>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</si>
  <si>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</si>
  <si>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</si>
  <si>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</si>
  <si>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</si>
  <si>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</si>
  <si>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</si>
  <si>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</si>
  <si>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</si>
  <si>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</si>
  <si>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</si>
  <si>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</si>
  <si>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</si>
  <si>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</si>
  <si>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</si>
  <si>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</si>
  <si>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</si>
  <si>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</si>
  <si>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</si>
  <si>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</si>
  <si>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</si>
  <si>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</si>
  <si>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</si>
  <si>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</si>
  <si>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</si>
  <si>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</si>
  <si>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</si>
  <si>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</si>
  <si>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</si>
  <si>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</si>
  <si>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</si>
  <si>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</si>
  <si>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</si>
  <si>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</si>
  <si>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</si>
  <si>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</si>
  <si>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</si>
  <si>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</si>
  <si>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</si>
  <si>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</si>
  <si>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</si>
  <si>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</si>
  <si>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</si>
  <si>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</si>
  <si>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</si>
  <si>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</si>
  <si>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</si>
  <si>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</si>
  <si>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</si>
  <si>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</si>
  <si>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</si>
  <si>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</si>
  <si>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</si>
  <si>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</si>
  <si>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</si>
  <si>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</si>
  <si>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</si>
  <si>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</si>
  <si>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</si>
  <si>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</si>
  <si>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</si>
  <si>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</si>
  <si>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</si>
  <si>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</si>
  <si>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</si>
  <si>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</si>
  <si>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</si>
  <si>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</si>
  <si>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</si>
  <si>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</si>
  <si>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</si>
  <si>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</si>
  <si>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</si>
  <si>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</si>
  <si>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</si>
  <si>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</si>
  <si>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</si>
  <si>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</si>
  <si>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</si>
  <si>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</si>
  <si>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</si>
  <si>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</si>
  <si>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</si>
  <si>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</si>
  <si>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</si>
  <si>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</si>
  <si>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</si>
  <si>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</si>
  <si>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</si>
  <si>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</si>
  <si>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</si>
  <si>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</si>
  <si>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</si>
  <si>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</si>
  <si>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</si>
  <si>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</si>
  <si>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</si>
  <si>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</si>
  <si>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</si>
  <si>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</si>
  <si>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</si>
  <si>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</si>
  <si>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</si>
  <si>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</si>
  <si>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</si>
  <si>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</si>
  <si>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</si>
  <si>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</si>
  <si>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</si>
  <si>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</si>
  <si>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</si>
  <si>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</si>
  <si>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</si>
  <si>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</si>
  <si>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</si>
  <si>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</si>
  <si>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</si>
  <si>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</si>
  <si>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</si>
  <si>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</si>
  <si>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</si>
  <si>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</si>
  <si>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</si>
  <si>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</si>
  <si>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</si>
  <si>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</si>
  <si>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</si>
  <si>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</si>
  <si>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</si>
  <si>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</si>
  <si>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</si>
  <si>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</si>
  <si>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</si>
  <si>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</si>
  <si>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</si>
  <si>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</si>
  <si>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</si>
  <si>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</si>
  <si>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</si>
  <si>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</si>
  <si>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</si>
  <si>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</si>
  <si>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</si>
  <si>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</si>
  <si>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</si>
  <si>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</si>
  <si>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</si>
  <si>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</si>
  <si>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</si>
  <si>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</si>
  <si>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</si>
  <si>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</si>
  <si>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</si>
  <si>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</si>
  <si>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</si>
  <si>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</si>
  <si>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</si>
  <si>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</si>
  <si>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</si>
  <si>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</si>
  <si>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</si>
  <si>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</si>
  <si>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</si>
  <si>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</si>
  <si>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</si>
  <si>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</si>
  <si>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</si>
  <si>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</si>
  <si>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</si>
  <si>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</si>
  <si>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</si>
  <si>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</si>
  <si>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</si>
  <si>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</si>
  <si>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</si>
  <si>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</si>
  <si>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</si>
  <si>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</si>
  <si>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</si>
  <si>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</si>
  <si>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</si>
  <si>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</si>
  <si>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</si>
  <si>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</si>
  <si>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</si>
  <si>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</si>
  <si>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</si>
  <si>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</si>
  <si>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</si>
  <si>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</si>
  <si>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</si>
  <si>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</si>
  <si>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</si>
  <si>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</si>
  <si>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</si>
  <si>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</si>
  <si>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</si>
  <si>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</si>
  <si>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</si>
  <si>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Yes</t>
  </si>
  <si>
    <t>Competitive Round</t>
  </si>
  <si>
    <t>2005 Swazey Drive</t>
  </si>
  <si>
    <t>S. Jackson Street and Brentwood Place</t>
  </si>
  <si>
    <t>No</t>
  </si>
  <si>
    <t>Brentwood Place Apartments</t>
  </si>
  <si>
    <t>City of Forsyth</t>
  </si>
  <si>
    <t>Mayor</t>
  </si>
  <si>
    <t>Tye Howard</t>
  </si>
  <si>
    <t>26 North Jackson Street</t>
  </si>
  <si>
    <t>Family</t>
  </si>
  <si>
    <t>Tapestry Development Group, Inc.</t>
  </si>
  <si>
    <t>In-Fill Housing, Inc.</t>
  </si>
  <si>
    <t>For the zip code for the Project Site, the City has not offered a numbered address for the site, therefore it is listed as located at the corner of the two cross streets where the entrance shall be.   As such, the zip code service does not give a 4 digit extension for non numbered addresses.</t>
  </si>
  <si>
    <t>Pucciano &amp; English, Inc.</t>
  </si>
  <si>
    <t>3084 Mercer University Drive, Suite 110</t>
  </si>
  <si>
    <t>denglish@pucciano-english.com</t>
  </si>
  <si>
    <t>David English</t>
  </si>
  <si>
    <t>Manager</t>
  </si>
  <si>
    <t>TBD - See notes at bottom of section</t>
  </si>
  <si>
    <t>3+ Story</t>
  </si>
  <si>
    <t>Floating</t>
  </si>
  <si>
    <t xml:space="preserve">Insurance calculation is based on a quote from W.S. Pharr.  Methodology and back-up are provided in the application in Tab 8. </t>
  </si>
  <si>
    <t>Agree</t>
  </si>
  <si>
    <t>Contract/Option</t>
  </si>
  <si>
    <t>n/a - the site will not have natural gas utilities</t>
  </si>
  <si>
    <t>Room</t>
  </si>
  <si>
    <t>On-site laundry</t>
  </si>
  <si>
    <t>Covered Porch</t>
  </si>
  <si>
    <t>Minority concentration</t>
  </si>
  <si>
    <t>This is new construction, on a vacant piece of land.  There will not be any displacement.</t>
  </si>
  <si>
    <t xml:space="preserve">We have provided the consent from DCA for the DCA HOME Loan; we have provided the documents that evidence the award of the AHP Grant.  We have included commitment letter for the Construction </t>
  </si>
  <si>
    <t>loan.  There are no pending or "Under Consideration" commitments.</t>
  </si>
  <si>
    <t>This is a project with a Family tenancy.</t>
  </si>
  <si>
    <t>United Consulting</t>
  </si>
  <si>
    <t xml:space="preserve">The Phase 1 did not identify any environmental concerns.  There is a state waters stream on the southern portion of the property.  All development will be at least 100 feet from the stream, in keeping with </t>
  </si>
  <si>
    <t>This is a new construction project; there will be no rehabilitation involved.</t>
  </si>
  <si>
    <t>The site plan included in Tab 18 contains all of the required features, as required under the 2011 QAP.</t>
  </si>
  <si>
    <t>This is not a CHDO project.</t>
  </si>
  <si>
    <t>Earth Craft House</t>
  </si>
  <si>
    <t>Stable Communities &lt; 20%</t>
  </si>
  <si>
    <t>The City of Forsyth has not had a 9%, 4% or HOME project awarded within the last 4 DCA funding cycles.</t>
  </si>
  <si>
    <t>The applicant will forego the cancellation option for at least 5 years after the close of the compliance period.</t>
  </si>
  <si>
    <t>NONE</t>
  </si>
  <si>
    <t>Pass</t>
  </si>
  <si>
    <t>Bruce Gerwig</t>
  </si>
  <si>
    <t>PO Box 4928</t>
  </si>
  <si>
    <t>bgerwig@maconhousing.com</t>
  </si>
  <si>
    <t>Brentwood Partners, LP</t>
  </si>
  <si>
    <t>President</t>
  </si>
  <si>
    <t>Brentwood In-Fill, Inc.</t>
  </si>
  <si>
    <t>Richelle Patton</t>
  </si>
  <si>
    <t>richellepatton@tapestrydevelopment.org</t>
  </si>
  <si>
    <t>James, Bates, Pope &amp; Spivey, LLP</t>
  </si>
  <si>
    <t>Scott Spivey</t>
  </si>
  <si>
    <t>231 Riverside Drive</t>
  </si>
  <si>
    <t>Electric Heat Pump</t>
  </si>
  <si>
    <t>Partner</t>
  </si>
  <si>
    <t>none</t>
  </si>
  <si>
    <t>For Profit</t>
  </si>
  <si>
    <t>Bank of America</t>
  </si>
  <si>
    <t>DCA HOME Loan</t>
  </si>
  <si>
    <t>Tower Management Company, Inc.</t>
  </si>
  <si>
    <t>Cheryl Murphy</t>
  </si>
  <si>
    <t>1341 Cassville Road, NW</t>
  </si>
  <si>
    <t>cheryl@towermgtco.com</t>
  </si>
  <si>
    <t>Habif Arogeti &amp; Wynne</t>
  </si>
  <si>
    <t>Frank Gudger</t>
  </si>
  <si>
    <t>Five Concourse Parkway, Suite 1000</t>
  </si>
  <si>
    <t>frank.gudger@hawcpa.com</t>
  </si>
  <si>
    <t>DCA HOME IPS</t>
  </si>
  <si>
    <t>Aerial Photo</t>
  </si>
  <si>
    <t>Cost Estimate</t>
  </si>
  <si>
    <t>Lender inspection</t>
  </si>
  <si>
    <t>DCA Middle Region</t>
  </si>
  <si>
    <t>None</t>
  </si>
  <si>
    <t xml:space="preserve">Supportive Services
Family-oriented services will be offered to the residents to comply with DCA standards, including the provision of regular resident gatherings, and various social events.  
ADA Compliance
We will meet the ADA Compliance Requirements by providing at least 5% of the units as equipped for the mobility impaired, and 2% of the units equipped for the hearing and visually impaired.  100% of the first floor units will be “visitable”.  
Significance of Project
Brentwood Place Apartments will provide this growing and vibrant Forsyth community with much needed new, high-quality and affordable rental housing.  As the Georgia Department of Corrections relocates to the area, Brentwood Place will be an invaluable asset to the area by offering quality affordable housing conveniently located near a new job center.  This project is sure to support the growing economic development in this DCA Signature Community.  
</t>
  </si>
  <si>
    <t>David English, Project Architect, is one of the current owners of the site.</t>
  </si>
  <si>
    <t xml:space="preserve">sspivey@jbpslaw.com </t>
  </si>
  <si>
    <t>In-Fill Housing, Inc. is the sole shareholder of Brentwood In-Fill, Inc., which is the Managing General Partner of Brentwood Partners, LP which is the owner of the Project.  In-Fill Housing, Inc. is also the Developer and Non-Profit Sponsor.  Therefore, there is an identity of interest between the Managing General Partner, the Developer and the Non-Profit Sponsor.  As an affiliate of the Macon Housing Authority, In-Fill Housing, Inc. competitively bids the construction work . We will use our competitive bidding process to select a qualified General Contractor.</t>
  </si>
  <si>
    <t>Real Property Research Group</t>
  </si>
  <si>
    <t>January 2013 through November 2013</t>
  </si>
  <si>
    <t>20.7% (chart on Page ix)</t>
  </si>
  <si>
    <t>10 months (chart on page ix)</t>
  </si>
  <si>
    <t>There are no 2008 to 2010 DCA tax credit projects within 10 miles of the subject location.</t>
  </si>
  <si>
    <t>Qualified without Conditions</t>
  </si>
  <si>
    <t>not applicable</t>
  </si>
  <si>
    <t>501, 503, 9701, 9702</t>
  </si>
  <si>
    <t>In-Fill Housing, Inc. is a qualified non-profit with a 501c4 designation . We have included a letter from counsel.</t>
  </si>
  <si>
    <t>The application is organized according to the 2011 QAP and checklist; no documents are missing and we do not anticipate any financial adjustments.</t>
  </si>
  <si>
    <t>We have restricted more than 20% of the units at 50% AMI, to comply with HOME standards.  This meets the minimum of 15% at 50% to receive points in this section.</t>
  </si>
  <si>
    <t>The GP is comprised of In-Fill Housing, a NP with ownership in over 5 successful LIHTC projects.  As per the 2011 QAP, an experienced NP can only give 3 points to one project.   In-Fill Housing will be allocating their 3 points to this project.</t>
  </si>
  <si>
    <t>In-Fill Housing, Inc. has closed on Bartlett Crossing (2009-041) on November 11, 2010, and on Felton Homes (2010-502) on September 21, 2010.  This constitutes 2 LIHTC projects, neither of which were 100% exchange funds, both awarded since 2008 and closed before the application due date.</t>
  </si>
  <si>
    <t xml:space="preserve">Introduction to the Sponsor
In-Fill Housing, Inc. (In-Fill) is a 501c4 non-profit developer created by the Macon Housing Authority (MHA) in 1999.  Since 2001, more than 930 affordable housing units in 12 developments have been, or are being, developed by In-Fill for a total development cost of $120,000,000.  During this period, In-Fill has also developed more than 60 new single family houses for sale to first time homeowners.  In-Fill’s affiliate relationship with MHA gives them ready access to interim financing, technical services, accounting, asset management and human resources as required.  In-Fill’s subsidiary, Brentwood In-Fill, Inc., will be the sole General Partner for the development and ownership of Brentwood Place Apartments.  In-Fill will be the sole developer of the property.
</t>
  </si>
  <si>
    <t xml:space="preserve">Property Description
The site is 10.135 acres.  This project will be a mix of 1, 2 and 3 bedroom units, and there will be ample community space and grounds.  The tenancy will be “family”, and the amenities will be geared to this population.  The property will be stick-built with 1- and 3-story buildings, built to Earthcraft standards.  A formal procurement process will be used to select the most qualified contractor with the best pricing.   
The amenities will include a large playground, a covered pavilion and a BBQ grilling and picnicking area, and a large community room with a covered porch for gathering.  The central mail center will be sheltered.  The site will be easily identified with an attractive, illuminated monument sign at the entrance on Brentwood Place, and there will be a decorative fence with seasonal plantings at this entrance as well.  On the south side of the property, which will remain undeveloped to maintain the required 100 foot setback from the drainage stream there, the trees will be preserved and the area will remain wooded.  The entire property will be fenced.  The final product will be very attractive, with 40% brick on all sides, hardi-plank siding, and attractive covered entries and stairs and landings for all units.  
</t>
  </si>
  <si>
    <t>Syndicator Construction Monitoring Fee</t>
  </si>
  <si>
    <t>Monroe County is confirmed to be in the "Middle Region" per the map included in Tab 7.</t>
  </si>
  <si>
    <t>Hunt Capital Partners</t>
  </si>
  <si>
    <t>Brentwood Place is also a "Superior Project" because of the economic impact it will provide for the more than 170 (!) retail establishments located within two miles of the site - an amazing number of businesses for a rural community!  Many of these businesses are locally owned and operated and Brentwood Place will help provide the critical mass they need to prosper.</t>
  </si>
  <si>
    <t>1-Story</t>
  </si>
  <si>
    <t>Note that 4 of the residential buildings are 3-story buildings, and 2 are 1-story buildings.</t>
  </si>
  <si>
    <t>We will provide regular social and recreational programs, overseen by the project manager.</t>
  </si>
  <si>
    <t xml:space="preserve">The project greatly exceeds DCA's minimum market threshold criteria:  Absorption period is much shorter than the maximum 24 months allowed; the overall capture rate is well below the maximum 35% for rural projects (and individual unit type/income type capture rates are also well below the maximums stated in the QAP), and the market study concludes that Brentwood Place will not have an adverse impact on existing multi-family product in the area.  </t>
  </si>
  <si>
    <t>Novogradac</t>
  </si>
  <si>
    <t>We have included an as-is land value appraisal in Tab 10, to be assured that our agreed-upon purchase price for the land is not more than the appraised value of the land.  The value equals the purchase price.</t>
  </si>
  <si>
    <t>DCA's 100' buffer requirement for state waters/streams.  There is a small wetland just north of the project site.  As such, we are abiding by the 100' wetland buffer as well by not developing Brentwood Place within 100' of the neighboring wetland.  The site plan reflects both of these areas, the buffers, and the proposed development.  Since there is no floodplain or wetland on the property, we have not proceeded with the 8 Step Process (only required for addressing floodplains and wetlands on property).</t>
  </si>
  <si>
    <t>Brentwood Partners, LP has executed a Purchase and Sale Agreement with the land sellers that maintains control of the property through December 31, 2011. Please Tab 12.</t>
  </si>
  <si>
    <t>While we could access the property from multiple fully paved roads, we have elected to access the site at the termination of Brentwood Place.  This affords the most private, but still visable, entrance to the property.  It also works best for the lay-out of the site.  There is a small portion of the Brentwood Place road that is not paved (approximately 80 feet), where the street terminates just before the site boundary.  We have included a letter from the City of Forsyth that verifies that they will pave the balance of the road needed to gain paved access to the site.  See also the site plan, where this small section is detailed.  Brentwood Partners, LP will not pay for this paving, which is beyond the site borders; the City will pay for the paving, as commited in their letter, which also outlines the timing of the paving.  Please see Tab 13.</t>
  </si>
  <si>
    <t>Note that the zoning letter also confirms that no prime or unique farmland is contained within this site.  Please see Tab 14.</t>
  </si>
  <si>
    <t>This will be an all electric site.  The City of Forsyth provides electrical service to this site.  Please see Tab 15.</t>
  </si>
  <si>
    <t>Public water and sewer are available to the site and will be connected to the mains via lines that run down S. Jackson Street and Sharp Street.  Please see Tab 15.</t>
  </si>
  <si>
    <t>The City of Forsyth elected body is in strong support of this project.  We have evidence, through meeting minutes and the Resolution of Support, in addition to support letters from the community.  Please see Tab 16.</t>
  </si>
  <si>
    <t>Covered gazebo with BBQ area</t>
  </si>
  <si>
    <t>The additional site amenities have been selected to serve our Family tenancy best.  They are clearly shown on the site plan in Tab 18.</t>
  </si>
  <si>
    <t>This is a 9% project, and item "C" does not apply to this project.  Please see Tab 29 for our Earthcraft score sheet.</t>
  </si>
  <si>
    <t>This site will be developed to conform to the required accessibility standards.  Please see Tab 18 for the Site Plan.</t>
  </si>
  <si>
    <t>Please see Tab 18 for the Site Plan.</t>
  </si>
  <si>
    <t>The team as presented in the Pre-application process, with In-Fill Housing, Inc., through a wholly owned subsidiary being the 100% GP and 100% Developer, has been approved by DCA as "Qualified without Conditions".  Please note that Tapestry Development Group, Inc., a Georgia non-profit, will be consulting to In-Fill Housing, Inc. on various stages of the development process.  The consulting agreement with Tapestry is located in Tab 19.  The total of the Developer Fee and all consulting fees does not exceed the maximum allowable Developer Fee.</t>
  </si>
  <si>
    <t>For 20 (B) and 20 (D), please note that none of the partners have out of state projects.</t>
  </si>
  <si>
    <t>In-Fill Housing, Inc. is a qualified 501c4 Georgia non-profit, with 100% of the General Partnership interest and 100% of the Developer interest, and will receive 100% of the Developer Fee.  This is not a Joint Venture deal, therefore the JVA requested in 21 (F) is "not applicable".</t>
  </si>
  <si>
    <t>Brentwood Place Apartments is located in census tract 502, which is 50.25 minority.  In addition to the required HUD document, we have includes a report from Novogradac that addresses the questions posed in the Site and Neighborhood standards form.</t>
  </si>
  <si>
    <t>Brentwood Place is a new construction project on a vacant, undeveloped piece of land.  We have arranged the site plan to disturb the least amount of land possible, thereby minimizing our site work costs; we do not believe that any member of the team is being "unduly enriched"; we are providing housing where there is currently a void of affordable housing, therefore we see no negative impact on the existing housing stock; the uses proximate to the site are appropriate; the market study well supports the need for this property and its ability to meet the market threshold conditions; and there are not excessive soft costs in this development.  Since this is not a rehabilitation project, the other factors listed in XXVIII of the Threshold section of the 2011 QAP do not apply to this project.  Overall we believe that this is an appropriate and needed use of DCA resources, and that the cost to develop Brentwood Place represents an 'optimal utilization' of resources.</t>
  </si>
  <si>
    <t>In the 2010 9% application, DCA deducted one point for "abandoned and dilapidated housing" nearby.  This is a "stable community" and the site is located within a small town, where the entire spectrum of housing and incomes live within a mile of each other.  As with communities across the country, there are a handful of properties in most neighborhoods (including this one) that have experienced foreclosure or a loss of tenants.  Since last Fall we have been working aggressively with the City of Forsyth to address any code issues with houses within and just outside of a 1/4 mile radius of the property.  Evidence of the progress that has been made since Fall 2010 is contained in Tab 24.  The City has implemented an aggressive strategy to address code compliance issues, including hiring a new code compliance officer, issuing code violation notices, submitted to DCA a CDBG application for $500,000 for the rehabilitation and/or removal of housing.  We have seen a large measure of improvement since Fall 2010 and believe that a point deduction under this category is no longer warranted.</t>
  </si>
  <si>
    <t>This is section is N/A.</t>
  </si>
  <si>
    <t>Brentwood Place is located in a stable community with less than 20% poverty, middle income designation (see Tab 30) and a market study that demonstrates the need for affordable housing (Tab 9).</t>
  </si>
  <si>
    <t>There are no comparable DCA properties in the PMA.  There are no DCA funded projects within the PMA with less than 90% occupancy.  The market study indicates stabilized occupancy will be met within 10 months, much quicker than the maximum 24 months.  There are no DCA projects within the PMA that have been unable to convert to permanent financing.  The area has received a boost in new jobs from the recently relocated Georgia Department of Corrections campus.  The market study does not indicate that foreclosures in the PMA detrimentally affect the proposed project.  The proposed rents are well below the comparable rents.  We do not believe that the proposed PMA is overestimated.</t>
  </si>
  <si>
    <t>The applicant has no other Rural projects being submitted in this round.  This site is confirmed to be Rural per the USDA website.  Please see Tab 1.</t>
  </si>
  <si>
    <t>Forsyth is a Signature Community, but DCA removed that as a valuable DCA Community Initiative this year.  We have not included the Signature Community points in this year's application.</t>
  </si>
  <si>
    <t>This project has received a DCA HOME Consent. Please see Tab 5.</t>
  </si>
  <si>
    <t>Please also see the Superior Concept narrative for our justification that Brentwood Place Apartments qualifies for these points.</t>
  </si>
  <si>
    <t>Please see Tab 38 for the Compliance History Summary for each project.  Please see Tab 19 where DCA has included Brentwood Place Apartments as a "qualified without conditions" project.</t>
  </si>
  <si>
    <t>And, of course, the developer, In-Fill Housing, lives up to its name and mission statement by going into town (not running away from existing older neighborhoods) for its development focus.  In-Fill's strategy is working, as all but one of its twelve developments are in-town or inner city, and all of its properties enjoy occupancey levels in the very high 90% range.</t>
  </si>
  <si>
    <t xml:space="preserve">Introduction to the Project
Brentwood Place Apartments (BWP) will be a new construction, 79 unit multi-family complex in the city of Forsyth, County of Monroe, Georgia.  The town of Forsyth sits just west of I-75, about 45 minutes south of Atlanta, and 15 minutes north of Macon.  The area is considered “rural” by USDA standards.  The site is just a few blocks south of the Forsyth city square, which contains a number of thriving businesses catering to the community.  The historic Tift College, located less than a mile from the site, was redeveloped in 2010 and became the new home to the headquarters of the Georgia Department of Corrections, which relocated from Atlanta.  This move is estimated to bring over 400 new permanent jobs to the area, as well as bringing annually an estimated 12,000 people into the nearby Department of Corrections Academy, which trains correctional officers and other DOC employees.  A new Wal-mart opened in 2010, bringing or retaining over 125 jobs in the area.
The market area where this project is located has no recent comparable properties – no new multi-family properties have been built (market rate or restricted) in over 15 years.  The rents proposed at BWP are competitive with and lower than most of the multi-family comparable product, all of which is over twenty years old.  The Market Study supports the strong demand for this product type.
</t>
  </si>
  <si>
    <t>Hunt Capital Partners, LLC</t>
  </si>
  <si>
    <t>Dana Mayo</t>
  </si>
  <si>
    <t>Senior VP, Director of Acq</t>
  </si>
  <si>
    <t>2029 Century Park East, Ste. 800</t>
  </si>
  <si>
    <t>Los Angeles</t>
  </si>
  <si>
    <t>dana.mayo@huntcompanies.com</t>
  </si>
  <si>
    <t xml:space="preserve">Real estate tax estimation is based on an interview of the Monroe County tax assessor's chief appraiser.   Back-up is located in Tab 8.                                               
Annual Operating Expenses of $4,039/unit is in line with In-Fill Housing's other nearby properties.
</t>
  </si>
  <si>
    <t>Item 5(B)(3) does not apply to new construction, and item 5(C) is not applicable.</t>
  </si>
  <si>
    <t>West Main Street, Norfolk Southern Railway, per Exhibit 9, table I.</t>
  </si>
  <si>
    <t>All of In-Fill Housing, Inc.'s properties are listed on Georgia Housing Search.</t>
  </si>
  <si>
    <t>We agree to all of these conditions.</t>
  </si>
  <si>
    <t>Brentwood Place Apartments is not a "Superior Project" because of:  1) sophisticated financing or funding sources that are difficult to obtain - our financing sources are pretty typical of most rural develpments, 2) unique construction methods - as always, we will do whatever it takes to deliver a beautiful housing development, but there won't be anything particularly unique about it, and the way it looks will not determine the ultimate success or the "superiority" of the project; or  3) a final product that is a "pioneering" affordable housing development that will make the cover of all of the trade publications.</t>
  </si>
  <si>
    <t>In-Fill Housing has complied with the requirement to have all of their properties compliant with the MITAS system requirements by February 1, 2011.   This was validated through examination of the email sent from Brandon Bruce of DCA on March 30, 2011, which listed all of the properties NOT in compliance for MITAS registration.  None of In-Fill's properties were on that list, therefore we are assured that In-Fill properly complied with MITAS. The applicant agrees to market to tenants with special needs.</t>
  </si>
  <si>
    <t xml:space="preserve">Construction Hard Costs estimated by The Paradigm Group.    The "Accounting" line item includes the cost of the Contractor's Cost Certification, per DCA clarification that this item is to be paid for from the Development funds.  Syndicator Fees are based on the LOI from Hunt Capital.    The Building Permit fees are based on information from the City of Forsyth, dated June 2011. </t>
  </si>
  <si>
    <t xml:space="preserve">DCA's allocation of credits for Brentwood Place Apartments is a very practical solution to a community's housing needs.  Those housing needs are, in addition, of utmost importance to another Georgia state agency.  With this allocation, DCA addresses important concerns of both the City of Forsyth, and the Georgia Department of Corrections.  </t>
  </si>
  <si>
    <t>Site lighting &amp; underground cable and electric, installed by City of Forsyth</t>
  </si>
  <si>
    <t>OTHER costs are for the cost to the owner for installation of site lighting by the City of Forsyth ($17,443), as well as for underground electric and cable, also installed by the City of Forsyth ($66,059).</t>
  </si>
  <si>
    <t>In-fill Housing - Loan of AHP Grant</t>
  </si>
  <si>
    <t>In-Fill Housing - Loan of AHP Grant</t>
  </si>
  <si>
    <t>balloon</t>
  </si>
  <si>
    <t>Please note that we received a Georgia DCA HOME Loan consent in the amount listed at the top of Page 1, $1,628,524.  At application for the HOME Loan, we notified DCA that we were in the process of attempting to tranfer the AHP from the prior sponsor for Brentwood Place, to In-Fill Housing, Inc., and upon successful approval of the transfer, we could lower the HOME Loan request.  We were informed on June 21, 2011 that the FHLBA has approved the transfer of the sponsor to In-Fill Housing, Inc.  Therefore we have decreased the amount of the HOME Loan to the amount shown above.</t>
  </si>
  <si>
    <t>All budget line items are supported by third party quotes, proposals and/or our historical experience from 12 previous developments.</t>
  </si>
  <si>
    <t>This is a 20 year term HOME Loan, therefore there are no debt service payments shown after Year 20.  During the HOME Loan term the Debt Coverage Ratio requirements are met per the 2011 QAP guidelines.</t>
  </si>
  <si>
    <t>Rather, Brentwood Place is a "Superior Project" because it gives one Georgia agency - the Georgia Housing Finance Authority - the unique opportunity to help another Georgia agency - the Georgia Department of Corrections--with the latter's critical employment needs for its new "State Offices South at Tift College" campus in Forsyth.  In 2010 the Georgia Department of Corrections moved its south Georgia operations to Forsyth, bringing with it more than 400 jobs to the area.  400 jobs to any area is a significant event in these difficult economic times, but 400 jobs to a rural community like Forsyth is an event that might not happen again for decades.  Furthermore, for better or worse for our society at large, these are for the most part recession-proof jobs!  The Georgia DOC will most assuredly not be going out of business anytime soon, it is forbidden by state law from relocating to another state or country, and with the recent $45 million investment in the former Tift College campus facility, will no doubt be headquartered there for the long term.  In helping to assure the success of four years of planning and a $45 million investment of state funds, it is sound policy for other state agencies to help support this investment of time and scarce resources whereever possible.</t>
  </si>
  <si>
    <t>This beautiful "State Offices South" facility is located less than one mile away from the Brentwood Place Apartments site.  Through providing workforce housing in a City that has had no new affordable housing for twenty years, Brentwood Place will fill a market need for new and beautiful, yet affordable, housing.  The support letter from Commissioner Brian Owens at the Georgia Department of Corrections (please see Tab 16), leaves absolutley no doubt that new, affordable housing is of the utmost importance to his Department for their Forsyth operations.  His letter says, in part:  "Our preliminary and on-going working relationships with local realtors and local government support the fact that sufficient affordable, quality rental housing is simply not available".</t>
  </si>
  <si>
    <t>In addition, Brentwood Place is also a "Superior Project" because it is the logical response for a new infill development that helps address the City of Forsyth's goals, objectives and housing needs.  Located just three blocks from Forsyth's town square, it was actually the catalyst for the City's new code enforcement plan that like never before is focused on substandard housing throughout the community.  But DCA should not be surprised that Forsyth is "stepping up to the plate", as DCA recognized Forsyth's capacity for change in 2006 with its recognition of Forsyth as a "DCA Signature Community".</t>
  </si>
  <si>
    <t>Brentwood Place Apartments will be developed and built to exceed the Earthcraft for Multi-family (new construction) standards.  Please see Tab 29.</t>
  </si>
  <si>
    <t>2011-044</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</si>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</sst>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2">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106" fillId="0" borderId="0" xfId="0" applyFont="1"/>
    <xf numFmtId="38" fontId="106" fillId="0" borderId="0" xfId="0" applyNumberFormat="1" applyFont="1"/>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vertical="top"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53" fillId="0" borderId="0" xfId="0" applyFont="1" applyFill="1" applyAlignment="1" applyProtection="1">
      <alignment horizontal="left" vertical="center" wrapText="1"/>
    </xf>
    <xf numFmtId="0" fontId="69" fillId="0" borderId="0" xfId="0" applyFont="1" applyFill="1" applyBorder="1" applyAlignment="1" applyProtection="1">
      <alignment horizontal="left" wrapText="1"/>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4" fillId="0" borderId="0" xfId="6"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7" xfId="0"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0" fontId="58" fillId="0" borderId="65" xfId="0" applyFont="1" applyBorder="1" applyProtection="1"/>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35"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0" fontId="26"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 fillId="0" borderId="0" xfId="0" applyFont="1" applyFill="1" applyAlignment="1" applyProtection="1">
      <alignment horizontal="center"/>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3" fillId="0" borderId="0" xfId="0" applyFont="1" applyFill="1" applyAlignment="1" applyProtection="1">
      <alignment horizontal="center" vertical="center" wrapText="1"/>
    </xf>
    <xf numFmtId="0" fontId="5" fillId="0" borderId="9"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5" fillId="4" borderId="34"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0" fillId="0" borderId="62" xfId="0" applyBorder="1" applyProtection="1"/>
    <xf numFmtId="0" fontId="0" fillId="0" borderId="86" xfId="0" applyBorder="1" applyProtection="1"/>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18"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43" fontId="54" fillId="5" borderId="31" xfId="0" applyNumberFormat="1"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164" fontId="54" fillId="5" borderId="31" xfId="0" applyNumberFormat="1" applyFont="1" applyFill="1" applyBorder="1" applyAlignment="1" applyProtection="1">
      <alignment horizontal="left" vertical="top" wrapText="1"/>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164" fontId="54" fillId="5" borderId="34" xfId="0" applyNumberFormat="1" applyFont="1" applyFill="1"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169"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8" xfId="0" applyFont="1" applyFill="1" applyBorder="1" applyAlignment="1" applyProtection="1">
      <alignment horizont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0" fontId="58" fillId="5" borderId="3" xfId="0" applyFont="1" applyFill="1" applyBorder="1" applyAlignment="1" applyProtection="1">
      <alignment horizontal="left"/>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1">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ISB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zoomScaleNormal="100" workbookViewId="0">
      <selection activeCell="E27" sqref="E27"/>
    </sheetView>
  </sheetViews>
  <sheetFormatPr defaultRowHeight="12.75"/>
  <cols>
    <col min="1" max="1" width="3.710937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4" t="str">
        <f>CONCATENATE("2011 Application Binder Tabs Checklist For: ",'Part I-Project Information'!$O$4,", ",'Part I-Project Information'!$F$22,", ",'Part I-Project Information'!$J$25," County")</f>
        <v>2011 Application Binder Tabs Checklist For: 2011-044, Brentwood Place Apartments, Monroe County</v>
      </c>
      <c r="B1" s="754"/>
      <c r="C1" s="754"/>
      <c r="D1" s="754"/>
      <c r="E1" s="754"/>
      <c r="F1" s="754"/>
      <c r="G1" s="754"/>
    </row>
    <row r="2" spans="1:9" s="42" customFormat="1" ht="11.45" customHeight="1">
      <c r="A2" s="755" t="s">
        <v>713</v>
      </c>
      <c r="B2" s="756"/>
      <c r="C2" s="756"/>
      <c r="D2" s="756"/>
      <c r="E2" s="756"/>
      <c r="F2" s="756"/>
      <c r="G2" s="756"/>
    </row>
    <row r="3" spans="1:9" s="42" customFormat="1" ht="25.15" customHeight="1">
      <c r="A3" s="768" t="s">
        <v>3827</v>
      </c>
      <c r="B3" s="768"/>
      <c r="C3" s="768"/>
      <c r="D3" s="768"/>
      <c r="E3" s="768"/>
      <c r="F3" s="768"/>
      <c r="G3" s="768"/>
    </row>
    <row r="4" spans="1:9" s="42" customFormat="1" ht="8.65" customHeight="1">
      <c r="A4" s="98"/>
      <c r="B4" s="757" t="s">
        <v>1339</v>
      </c>
      <c r="C4" s="758"/>
      <c r="D4" s="758"/>
      <c r="E4" s="758" t="s">
        <v>3893</v>
      </c>
      <c r="F4" s="763"/>
      <c r="G4" s="99" t="s">
        <v>782</v>
      </c>
    </row>
    <row r="5" spans="1:9" s="42" customFormat="1" ht="8.65" customHeight="1">
      <c r="A5" s="100" t="s">
        <v>784</v>
      </c>
      <c r="B5" s="759"/>
      <c r="C5" s="760"/>
      <c r="D5" s="760"/>
      <c r="E5" s="760"/>
      <c r="F5" s="764"/>
      <c r="G5" s="101" t="s">
        <v>785</v>
      </c>
    </row>
    <row r="6" spans="1:9" s="42" customFormat="1" ht="8.65" customHeight="1">
      <c r="A6" s="102" t="s">
        <v>786</v>
      </c>
      <c r="B6" s="761"/>
      <c r="C6" s="762"/>
      <c r="D6" s="762"/>
      <c r="E6" s="762"/>
      <c r="F6" s="765"/>
      <c r="G6" s="103" t="s">
        <v>787</v>
      </c>
    </row>
    <row r="7" spans="1:9" s="42" customFormat="1" ht="3.4" customHeight="1">
      <c r="A7" s="100"/>
      <c r="B7" s="394"/>
      <c r="C7" s="394"/>
      <c r="D7" s="394"/>
      <c r="E7" s="306"/>
      <c r="F7" s="714"/>
      <c r="G7" s="311"/>
    </row>
    <row r="8" spans="1:9" s="42" customFormat="1" ht="12.6" customHeight="1" thickBot="1">
      <c r="A8" s="104"/>
      <c r="B8" s="711"/>
      <c r="C8" s="391"/>
      <c r="D8" s="391"/>
      <c r="E8" s="711" t="s">
        <v>1076</v>
      </c>
      <c r="F8" s="391"/>
      <c r="G8" s="1084" t="s">
        <v>3919</v>
      </c>
      <c r="I8" s="1085"/>
    </row>
    <row r="9" spans="1:9" s="42" customFormat="1" ht="12.6" customHeight="1" thickBot="1">
      <c r="A9" s="100"/>
      <c r="B9" s="404" t="s">
        <v>1423</v>
      </c>
      <c r="C9" s="404"/>
      <c r="D9" s="405"/>
      <c r="E9" s="306"/>
      <c r="F9" s="714"/>
      <c r="G9" s="714"/>
    </row>
    <row r="10" spans="1:9" s="42" customFormat="1" ht="12.4" customHeight="1">
      <c r="A10" s="387">
        <v>1</v>
      </c>
      <c r="B10" s="406" t="s">
        <v>2138</v>
      </c>
      <c r="C10" s="241"/>
      <c r="D10" s="392"/>
      <c r="E10" s="392" t="s">
        <v>2309</v>
      </c>
      <c r="F10" s="392"/>
      <c r="G10" s="1084" t="s">
        <v>3919</v>
      </c>
    </row>
    <row r="11" spans="1:9" s="42" customFormat="1" ht="12.4" customHeight="1">
      <c r="A11" s="104"/>
      <c r="B11" s="392"/>
      <c r="C11" s="392"/>
      <c r="D11" s="392"/>
      <c r="E11" s="392" t="s">
        <v>2139</v>
      </c>
      <c r="F11" s="392"/>
      <c r="G11" s="1084" t="s">
        <v>3919</v>
      </c>
    </row>
    <row r="12" spans="1:9" s="42" customFormat="1" ht="12.4" customHeight="1">
      <c r="A12" s="104"/>
      <c r="B12" s="392"/>
      <c r="C12" s="418"/>
      <c r="D12" s="1086"/>
      <c r="E12" s="392" t="s">
        <v>805</v>
      </c>
      <c r="F12" s="391"/>
      <c r="G12" s="1084" t="s">
        <v>3919</v>
      </c>
    </row>
    <row r="13" spans="1:9" s="42" customFormat="1" ht="12.4" customHeight="1">
      <c r="A13" s="104"/>
      <c r="B13" s="392"/>
      <c r="C13" s="392"/>
      <c r="D13" s="392"/>
      <c r="E13" s="393" t="s">
        <v>639</v>
      </c>
      <c r="F13" s="392"/>
      <c r="G13" s="1084" t="s">
        <v>2254</v>
      </c>
    </row>
    <row r="14" spans="1:9" s="42" customFormat="1" ht="12.4" customHeight="1">
      <c r="A14" s="104"/>
      <c r="B14" s="392"/>
      <c r="C14" s="392"/>
      <c r="D14" s="392"/>
      <c r="E14" s="393" t="s">
        <v>2140</v>
      </c>
      <c r="F14" s="392"/>
      <c r="G14" s="1084" t="s">
        <v>2254</v>
      </c>
    </row>
    <row r="15" spans="1:9" s="42" customFormat="1" ht="12.4" customHeight="1">
      <c r="A15" s="104"/>
      <c r="B15" s="392"/>
      <c r="C15" s="392"/>
      <c r="D15" s="392"/>
      <c r="E15" s="393" t="s">
        <v>806</v>
      </c>
      <c r="F15" s="392"/>
      <c r="G15" s="1084" t="s">
        <v>3919</v>
      </c>
    </row>
    <row r="16" spans="1:9" s="42" customFormat="1" ht="6" customHeight="1">
      <c r="A16" s="104"/>
      <c r="B16" s="392"/>
      <c r="C16" s="241"/>
      <c r="D16" s="394"/>
      <c r="E16" s="394"/>
      <c r="F16" s="395"/>
      <c r="G16" s="229"/>
    </row>
    <row r="17" spans="1:7" s="42" customFormat="1" ht="12.4" customHeight="1">
      <c r="A17" s="388">
        <v>2</v>
      </c>
      <c r="B17" s="395" t="s">
        <v>2141</v>
      </c>
      <c r="C17" s="241"/>
      <c r="D17" s="392"/>
      <c r="E17" s="392" t="s">
        <v>3767</v>
      </c>
      <c r="F17" s="392"/>
      <c r="G17" s="1084" t="s">
        <v>2254</v>
      </c>
    </row>
    <row r="18" spans="1:7" s="42" customFormat="1" ht="3.4" customHeight="1">
      <c r="A18" s="104"/>
      <c r="B18" s="241"/>
      <c r="C18" s="392"/>
      <c r="D18" s="392"/>
      <c r="E18" s="1086"/>
      <c r="F18" s="392"/>
      <c r="G18" s="105"/>
    </row>
    <row r="19" spans="1:7" s="42" customFormat="1" ht="12.4" customHeight="1">
      <c r="A19" s="104"/>
      <c r="B19" s="241"/>
      <c r="C19" s="407" t="s">
        <v>145</v>
      </c>
      <c r="D19" s="392"/>
      <c r="E19" s="1086" t="s">
        <v>146</v>
      </c>
      <c r="F19" s="392"/>
      <c r="G19" s="1084" t="s">
        <v>2254</v>
      </c>
    </row>
    <row r="20" spans="1:7" s="42" customFormat="1" ht="3.4" customHeight="1">
      <c r="A20" s="104"/>
      <c r="B20" s="241"/>
      <c r="C20" s="392"/>
      <c r="D20" s="392"/>
      <c r="E20" s="1086"/>
      <c r="F20" s="392"/>
      <c r="G20" s="105"/>
    </row>
    <row r="21" spans="1:7" s="42" customFormat="1" ht="12.4" customHeight="1">
      <c r="A21" s="100"/>
      <c r="B21" s="394"/>
      <c r="C21" s="407" t="s">
        <v>147</v>
      </c>
      <c r="D21" s="394"/>
      <c r="E21" s="769" t="s">
        <v>149</v>
      </c>
      <c r="F21" s="770"/>
      <c r="G21" s="1084" t="s">
        <v>2254</v>
      </c>
    </row>
    <row r="22" spans="1:7" s="42" customFormat="1" ht="12.4" customHeight="1">
      <c r="A22" s="100"/>
      <c r="B22" s="394"/>
      <c r="C22" s="394"/>
      <c r="D22" s="394"/>
      <c r="E22" s="769" t="s">
        <v>150</v>
      </c>
      <c r="F22" s="770"/>
      <c r="G22" s="1084" t="s">
        <v>2254</v>
      </c>
    </row>
    <row r="23" spans="1:7" s="42" customFormat="1" ht="12.4" customHeight="1">
      <c r="A23" s="100"/>
      <c r="B23" s="394"/>
      <c r="C23" s="394"/>
      <c r="D23" s="394"/>
      <c r="E23" s="396" t="s">
        <v>510</v>
      </c>
      <c r="F23" s="395"/>
      <c r="G23" s="1084" t="s">
        <v>2254</v>
      </c>
    </row>
    <row r="24" spans="1:7" s="42" customFormat="1" ht="12.4" customHeight="1">
      <c r="A24" s="100"/>
      <c r="B24" s="394"/>
      <c r="C24" s="394"/>
      <c r="D24" s="394"/>
      <c r="E24" s="396" t="s">
        <v>511</v>
      </c>
      <c r="F24" s="395"/>
      <c r="G24" s="1084" t="s">
        <v>2254</v>
      </c>
    </row>
    <row r="25" spans="1:7" s="42" customFormat="1" ht="3.4" customHeight="1">
      <c r="A25" s="104"/>
      <c r="B25" s="241"/>
      <c r="C25" s="392"/>
      <c r="D25" s="392"/>
      <c r="E25" s="1086"/>
      <c r="F25" s="392"/>
      <c r="G25" s="105"/>
    </row>
    <row r="26" spans="1:7" s="42" customFormat="1" ht="12.4" customHeight="1">
      <c r="A26" s="104"/>
      <c r="B26" s="711"/>
      <c r="C26" s="407" t="s">
        <v>947</v>
      </c>
      <c r="D26" s="392"/>
      <c r="E26" s="392" t="s">
        <v>3768</v>
      </c>
      <c r="F26" s="392"/>
      <c r="G26" s="1084" t="s">
        <v>2254</v>
      </c>
    </row>
    <row r="27" spans="1:7" s="42" customFormat="1" ht="12.4" customHeight="1">
      <c r="A27" s="104"/>
      <c r="B27" s="392"/>
      <c r="C27" s="392"/>
      <c r="D27" s="392"/>
      <c r="E27" s="1086" t="s">
        <v>3503</v>
      </c>
      <c r="F27" s="392"/>
      <c r="G27" s="1084" t="s">
        <v>2254</v>
      </c>
    </row>
    <row r="28" spans="1:7" s="42" customFormat="1" ht="12.4" customHeight="1">
      <c r="A28" s="104"/>
      <c r="B28" s="392"/>
      <c r="C28" s="418"/>
      <c r="D28" s="392"/>
      <c r="E28" s="1086" t="s">
        <v>2142</v>
      </c>
      <c r="F28" s="392"/>
      <c r="G28" s="1084" t="s">
        <v>2254</v>
      </c>
    </row>
    <row r="29" spans="1:7" s="42" customFormat="1" ht="12.4" customHeight="1">
      <c r="A29" s="104"/>
      <c r="B29" s="392"/>
      <c r="C29" s="392"/>
      <c r="D29" s="392"/>
      <c r="E29" s="1086" t="s">
        <v>2143</v>
      </c>
      <c r="F29" s="392"/>
      <c r="G29" s="1084" t="s">
        <v>2254</v>
      </c>
    </row>
    <row r="30" spans="1:7" s="42" customFormat="1" ht="12.4" customHeight="1">
      <c r="A30" s="104"/>
      <c r="B30" s="392"/>
      <c r="C30" s="392"/>
      <c r="D30" s="392"/>
      <c r="E30" s="1086" t="s">
        <v>2856</v>
      </c>
      <c r="F30" s="392"/>
      <c r="G30" s="1084" t="s">
        <v>2254</v>
      </c>
    </row>
    <row r="31" spans="1:7" s="42" customFormat="1" ht="12.4" customHeight="1">
      <c r="A31" s="104"/>
      <c r="B31" s="392"/>
      <c r="C31" s="392"/>
      <c r="D31" s="392"/>
      <c r="E31" s="1086" t="s">
        <v>2857</v>
      </c>
      <c r="F31" s="392"/>
      <c r="G31" s="1084" t="s">
        <v>2254</v>
      </c>
    </row>
    <row r="32" spans="1:7" s="42" customFormat="1" ht="12.4" customHeight="1">
      <c r="A32" s="104"/>
      <c r="B32" s="392"/>
      <c r="C32" s="392"/>
      <c r="D32" s="392"/>
      <c r="E32" s="1086" t="s">
        <v>2858</v>
      </c>
      <c r="F32" s="392"/>
      <c r="G32" s="1084" t="s">
        <v>2254</v>
      </c>
    </row>
    <row r="33" spans="1:7" s="42" customFormat="1" ht="3.4" customHeight="1">
      <c r="A33" s="104"/>
      <c r="B33" s="392"/>
      <c r="C33" s="392"/>
      <c r="D33" s="392"/>
      <c r="E33" s="1086"/>
      <c r="F33" s="392"/>
      <c r="G33" s="105"/>
    </row>
    <row r="34" spans="1:7" s="42" customFormat="1" ht="12.4" customHeight="1">
      <c r="A34" s="100"/>
      <c r="B34" s="394"/>
      <c r="C34" s="394" t="s">
        <v>1025</v>
      </c>
      <c r="D34" s="394"/>
      <c r="E34" s="396" t="s">
        <v>3575</v>
      </c>
      <c r="F34" s="395"/>
      <c r="G34" s="1084" t="s">
        <v>2254</v>
      </c>
    </row>
    <row r="35" spans="1:7" s="42" customFormat="1" ht="12.4" customHeight="1">
      <c r="A35" s="100"/>
      <c r="B35" s="394"/>
      <c r="C35" s="394"/>
      <c r="D35" s="394"/>
      <c r="E35" s="396" t="s">
        <v>3576</v>
      </c>
      <c r="F35" s="395"/>
      <c r="G35" s="1084" t="s">
        <v>3919</v>
      </c>
    </row>
    <row r="36" spans="1:7" s="42" customFormat="1" ht="12.4" customHeight="1">
      <c r="A36" s="100"/>
      <c r="B36" s="394"/>
      <c r="C36" s="394"/>
      <c r="D36" s="394"/>
      <c r="E36" s="396" t="s">
        <v>184</v>
      </c>
      <c r="F36" s="395"/>
      <c r="G36" s="1084" t="s">
        <v>2254</v>
      </c>
    </row>
    <row r="37" spans="1:7" s="42" customFormat="1" ht="12.4" customHeight="1">
      <c r="A37" s="100"/>
      <c r="B37" s="394"/>
      <c r="C37" s="394"/>
      <c r="D37" s="394"/>
      <c r="E37" s="396" t="s">
        <v>3577</v>
      </c>
      <c r="F37" s="395"/>
      <c r="G37" s="1084" t="s">
        <v>3919</v>
      </c>
    </row>
    <row r="38" spans="1:7" s="42" customFormat="1" ht="12.4" customHeight="1">
      <c r="A38" s="104"/>
      <c r="B38" s="241"/>
      <c r="C38" s="392"/>
      <c r="D38" s="392"/>
      <c r="E38" s="396" t="s">
        <v>3500</v>
      </c>
      <c r="F38" s="392"/>
      <c r="G38" s="1084" t="s">
        <v>3919</v>
      </c>
    </row>
    <row r="39" spans="1:7" s="42" customFormat="1" ht="12.4" customHeight="1">
      <c r="A39" s="104"/>
      <c r="B39" s="241"/>
      <c r="C39" s="392"/>
      <c r="D39" s="392"/>
      <c r="E39" s="396" t="s">
        <v>3909</v>
      </c>
      <c r="F39" s="392"/>
      <c r="G39" s="1084" t="s">
        <v>3919</v>
      </c>
    </row>
    <row r="40" spans="1:7" s="42" customFormat="1" ht="12.4" customHeight="1">
      <c r="A40" s="100"/>
      <c r="B40" s="394"/>
      <c r="C40" s="394"/>
      <c r="D40" s="394"/>
      <c r="E40" s="396" t="s">
        <v>1906</v>
      </c>
      <c r="F40" s="395"/>
      <c r="G40" s="1084" t="s">
        <v>3919</v>
      </c>
    </row>
    <row r="41" spans="1:7" s="42" customFormat="1" ht="12.4" customHeight="1">
      <c r="A41" s="100"/>
      <c r="B41" s="394"/>
      <c r="C41" s="394"/>
      <c r="D41" s="394"/>
      <c r="E41" s="396" t="s">
        <v>1905</v>
      </c>
      <c r="F41" s="395"/>
      <c r="G41" s="1084" t="s">
        <v>3919</v>
      </c>
    </row>
    <row r="42" spans="1:7" s="42" customFormat="1" ht="6" customHeight="1">
      <c r="A42" s="100"/>
      <c r="B42" s="394"/>
      <c r="C42" s="394"/>
      <c r="D42" s="394"/>
      <c r="E42" s="396"/>
      <c r="F42" s="395"/>
      <c r="G42" s="312"/>
    </row>
    <row r="43" spans="1:7" s="42" customFormat="1" ht="12.4" customHeight="1">
      <c r="A43" s="387">
        <v>3</v>
      </c>
      <c r="B43" s="408" t="s">
        <v>3420</v>
      </c>
      <c r="C43" s="392"/>
      <c r="D43" s="392"/>
      <c r="E43" s="396" t="s">
        <v>52</v>
      </c>
      <c r="F43" s="392"/>
      <c r="G43" s="1084" t="s">
        <v>3919</v>
      </c>
    </row>
    <row r="44" spans="1:7" s="42" customFormat="1" ht="12.4" customHeight="1">
      <c r="A44" s="104"/>
      <c r="B44" s="241"/>
      <c r="C44" s="711"/>
      <c r="D44" s="392"/>
      <c r="E44" s="396" t="s">
        <v>3421</v>
      </c>
      <c r="F44" s="392"/>
      <c r="G44" s="1084" t="s">
        <v>3919</v>
      </c>
    </row>
    <row r="45" spans="1:7" s="42" customFormat="1" ht="12.4" customHeight="1">
      <c r="A45" s="104"/>
      <c r="B45" s="241"/>
      <c r="C45" s="711"/>
      <c r="D45" s="392"/>
      <c r="E45" s="392" t="s">
        <v>3422</v>
      </c>
      <c r="F45" s="392"/>
      <c r="G45" s="1084" t="s">
        <v>2254</v>
      </c>
    </row>
    <row r="46" spans="1:7" s="42" customFormat="1" ht="12.4" customHeight="1">
      <c r="A46" s="104"/>
      <c r="B46" s="241"/>
      <c r="C46" s="392"/>
      <c r="D46" s="392"/>
      <c r="E46" s="392" t="s">
        <v>3423</v>
      </c>
      <c r="F46" s="392"/>
      <c r="G46" s="1084" t="s">
        <v>2254</v>
      </c>
    </row>
    <row r="47" spans="1:7" s="42" customFormat="1" ht="24.6" customHeight="1">
      <c r="A47" s="104"/>
      <c r="B47" s="241"/>
      <c r="C47" s="392"/>
      <c r="D47" s="392"/>
      <c r="E47" s="771" t="s">
        <v>3858</v>
      </c>
      <c r="F47" s="772"/>
      <c r="G47" s="1084" t="s">
        <v>2254</v>
      </c>
    </row>
    <row r="48" spans="1:7" s="42" customFormat="1" ht="12.4" customHeight="1">
      <c r="A48" s="104"/>
      <c r="B48" s="241"/>
      <c r="C48" s="392"/>
      <c r="D48" s="392"/>
      <c r="E48" s="392" t="s">
        <v>3484</v>
      </c>
      <c r="F48" s="396"/>
      <c r="G48" s="1084" t="s">
        <v>3919</v>
      </c>
    </row>
    <row r="49" spans="1:7" s="42" customFormat="1" ht="12.4" customHeight="1">
      <c r="A49" s="104"/>
      <c r="B49" s="241"/>
      <c r="C49" s="392"/>
      <c r="D49" s="392"/>
      <c r="E49" s="396" t="s">
        <v>3424</v>
      </c>
      <c r="F49" s="396"/>
      <c r="G49" s="1084" t="s">
        <v>3919</v>
      </c>
    </row>
    <row r="50" spans="1:7" s="42" customFormat="1" ht="12.4" customHeight="1">
      <c r="A50" s="107"/>
      <c r="B50" s="241"/>
      <c r="C50" s="392"/>
      <c r="D50" s="392"/>
      <c r="E50" s="752" t="s">
        <v>467</v>
      </c>
      <c r="F50" s="753"/>
      <c r="G50" s="1084" t="s">
        <v>2254</v>
      </c>
    </row>
    <row r="51" spans="1:7" s="42" customFormat="1" ht="12.4" customHeight="1">
      <c r="A51" s="387">
        <v>4</v>
      </c>
      <c r="B51" s="1087" t="s">
        <v>1023</v>
      </c>
      <c r="C51" s="392"/>
      <c r="D51" s="392"/>
      <c r="E51" s="1086" t="s">
        <v>1412</v>
      </c>
      <c r="F51" s="392"/>
      <c r="G51" s="1084" t="s">
        <v>3919</v>
      </c>
    </row>
    <row r="52" spans="1:7" s="42" customFormat="1" ht="12.4" customHeight="1">
      <c r="A52" s="387"/>
      <c r="B52" s="1087"/>
      <c r="C52" s="392"/>
      <c r="D52" s="392"/>
      <c r="E52" s="1086" t="s">
        <v>3583</v>
      </c>
      <c r="F52" s="392"/>
      <c r="G52" s="1084" t="s">
        <v>2254</v>
      </c>
    </row>
    <row r="53" spans="1:7" s="42" customFormat="1" ht="12.6" customHeight="1">
      <c r="A53" s="104"/>
      <c r="B53" s="392"/>
      <c r="C53" s="392"/>
      <c r="D53" s="1086"/>
      <c r="E53" s="397" t="s">
        <v>3546</v>
      </c>
      <c r="F53" s="396"/>
      <c r="G53" s="1084" t="s">
        <v>2254</v>
      </c>
    </row>
    <row r="54" spans="1:7" s="42" customFormat="1" ht="12.6" customHeight="1">
      <c r="A54" s="104"/>
      <c r="B54" s="392"/>
      <c r="C54" s="392"/>
      <c r="D54" s="1086"/>
      <c r="E54" s="397" t="s">
        <v>3765</v>
      </c>
      <c r="F54" s="392"/>
      <c r="G54" s="1084" t="s">
        <v>2254</v>
      </c>
    </row>
    <row r="55" spans="1:7" s="42" customFormat="1" ht="12.4" customHeight="1">
      <c r="A55" s="387"/>
      <c r="B55" s="1087"/>
      <c r="C55" s="392"/>
      <c r="D55" s="392"/>
      <c r="E55" s="1086" t="s">
        <v>2656</v>
      </c>
      <c r="F55" s="392"/>
      <c r="G55" s="1084" t="s">
        <v>2254</v>
      </c>
    </row>
    <row r="56" spans="1:7" s="42" customFormat="1" ht="12.4" customHeight="1">
      <c r="A56" s="387"/>
      <c r="B56" s="1087"/>
      <c r="C56" s="392"/>
      <c r="D56" s="392"/>
      <c r="E56" s="1086" t="s">
        <v>3504</v>
      </c>
      <c r="F56" s="392"/>
      <c r="G56" s="1084" t="s">
        <v>2254</v>
      </c>
    </row>
    <row r="57" spans="1:7" s="42" customFormat="1" ht="12.4" customHeight="1">
      <c r="A57" s="387"/>
      <c r="B57" s="1087"/>
      <c r="C57" s="392"/>
      <c r="D57" s="392"/>
      <c r="E57" s="1086" t="s">
        <v>2657</v>
      </c>
      <c r="F57" s="392"/>
      <c r="G57" s="1084" t="s">
        <v>2254</v>
      </c>
    </row>
    <row r="58" spans="1:7" s="42" customFormat="1" ht="14.25" customHeight="1">
      <c r="A58" s="104"/>
      <c r="B58" s="409" t="s">
        <v>3584</v>
      </c>
      <c r="C58" s="410"/>
      <c r="D58" s="411"/>
      <c r="E58" s="397"/>
      <c r="F58" s="392"/>
      <c r="G58" s="313"/>
    </row>
    <row r="59" spans="1:7" s="42" customFormat="1" ht="12.4" customHeight="1">
      <c r="A59" s="387">
        <v>5</v>
      </c>
      <c r="B59" s="406" t="s">
        <v>3425</v>
      </c>
      <c r="C59" s="392"/>
      <c r="D59" s="392"/>
      <c r="E59" s="398" t="s">
        <v>2690</v>
      </c>
      <c r="F59" s="398"/>
      <c r="G59" s="1084" t="s">
        <v>3919</v>
      </c>
    </row>
    <row r="60" spans="1:7" s="42" customFormat="1" ht="12.4" customHeight="1">
      <c r="A60" s="387"/>
      <c r="B60" s="406"/>
      <c r="C60" s="392"/>
      <c r="D60" s="392"/>
      <c r="E60" s="398" t="s">
        <v>1842</v>
      </c>
      <c r="F60" s="398"/>
      <c r="G60" s="1084" t="s">
        <v>2254</v>
      </c>
    </row>
    <row r="61" spans="1:7" s="42" customFormat="1" ht="12.4" customHeight="1">
      <c r="A61" s="387"/>
      <c r="B61" s="406"/>
      <c r="C61" s="392"/>
      <c r="D61" s="392"/>
      <c r="E61" s="398" t="s">
        <v>1843</v>
      </c>
      <c r="F61" s="398"/>
      <c r="G61" s="1084" t="s">
        <v>2254</v>
      </c>
    </row>
    <row r="62" spans="1:7" s="42" customFormat="1" ht="12.4" customHeight="1">
      <c r="A62" s="387"/>
      <c r="B62" s="406"/>
      <c r="C62" s="392"/>
      <c r="D62" s="392"/>
      <c r="E62" s="398" t="s">
        <v>1844</v>
      </c>
      <c r="F62" s="398"/>
      <c r="G62" s="1084" t="s">
        <v>3919</v>
      </c>
    </row>
    <row r="63" spans="1:7" s="42" customFormat="1" ht="12.4" customHeight="1">
      <c r="A63" s="387"/>
      <c r="B63" s="406"/>
      <c r="C63" s="392"/>
      <c r="D63" s="392"/>
      <c r="E63" s="398" t="s">
        <v>2737</v>
      </c>
      <c r="F63" s="398"/>
      <c r="G63" s="1084" t="s">
        <v>2254</v>
      </c>
    </row>
    <row r="64" spans="1:7" s="42" customFormat="1" ht="12.4" customHeight="1">
      <c r="A64" s="104"/>
      <c r="B64" s="392"/>
      <c r="C64" s="392"/>
      <c r="D64" s="392"/>
      <c r="E64" s="1086" t="s">
        <v>1845</v>
      </c>
      <c r="F64" s="398"/>
      <c r="G64" s="1084" t="s">
        <v>3919</v>
      </c>
    </row>
    <row r="65" spans="1:7" s="42" customFormat="1" ht="12.4" customHeight="1">
      <c r="A65" s="104"/>
      <c r="B65" s="392"/>
      <c r="C65" s="392"/>
      <c r="D65" s="392"/>
      <c r="E65" s="1086" t="s">
        <v>1846</v>
      </c>
      <c r="F65" s="392"/>
      <c r="G65" s="1084" t="s">
        <v>3919</v>
      </c>
    </row>
    <row r="66" spans="1:7" s="42" customFormat="1" ht="12.4" customHeight="1">
      <c r="A66" s="104"/>
      <c r="B66" s="392"/>
      <c r="C66" s="418"/>
      <c r="D66" s="392"/>
      <c r="E66" s="766" t="s">
        <v>1847</v>
      </c>
      <c r="F66" s="767"/>
      <c r="G66" s="1084" t="s">
        <v>2254</v>
      </c>
    </row>
    <row r="67" spans="1:7" s="42" customFormat="1" ht="12.4" customHeight="1">
      <c r="A67" s="104"/>
      <c r="B67" s="392"/>
      <c r="C67" s="418"/>
      <c r="D67" s="392"/>
      <c r="E67" s="441" t="s">
        <v>1848</v>
      </c>
      <c r="F67" s="399"/>
      <c r="G67" s="1084" t="s">
        <v>2254</v>
      </c>
    </row>
    <row r="68" spans="1:7" s="42" customFormat="1" ht="12.4" customHeight="1">
      <c r="A68" s="104"/>
      <c r="B68" s="392"/>
      <c r="C68" s="392"/>
      <c r="D68" s="392"/>
      <c r="E68" s="1086" t="s">
        <v>1902</v>
      </c>
      <c r="F68" s="398"/>
      <c r="G68" s="1084" t="s">
        <v>2254</v>
      </c>
    </row>
    <row r="69" spans="1:7" s="42" customFormat="1" ht="12.4" customHeight="1">
      <c r="A69" s="104"/>
      <c r="B69" s="392"/>
      <c r="C69" s="392"/>
      <c r="D69" s="392"/>
      <c r="E69" s="1086" t="s">
        <v>1849</v>
      </c>
      <c r="F69" s="398"/>
      <c r="G69" s="1084" t="s">
        <v>2254</v>
      </c>
    </row>
    <row r="70" spans="1:7" s="42" customFormat="1" ht="12.4" customHeight="1">
      <c r="A70" s="104"/>
      <c r="B70" s="392"/>
      <c r="C70" s="392"/>
      <c r="D70" s="392"/>
      <c r="E70" s="398" t="s">
        <v>1850</v>
      </c>
      <c r="F70" s="398"/>
      <c r="G70" s="1084" t="s">
        <v>2254</v>
      </c>
    </row>
    <row r="71" spans="1:7" s="42" customFormat="1" ht="12.4" customHeight="1">
      <c r="A71" s="104"/>
      <c r="B71" s="392"/>
      <c r="C71" s="392"/>
      <c r="D71" s="392"/>
      <c r="E71" s="398" t="s">
        <v>320</v>
      </c>
      <c r="F71" s="398"/>
      <c r="G71" s="1084" t="s">
        <v>2254</v>
      </c>
    </row>
    <row r="72" spans="1:7" s="42" customFormat="1" ht="12.4" customHeight="1">
      <c r="A72" s="104"/>
      <c r="B72" s="392"/>
      <c r="C72" s="392"/>
      <c r="D72" s="392"/>
      <c r="E72" s="398" t="s">
        <v>641</v>
      </c>
      <c r="F72" s="398"/>
      <c r="G72" s="1084" t="s">
        <v>2254</v>
      </c>
    </row>
    <row r="73" spans="1:7" s="42" customFormat="1" ht="12.4" customHeight="1">
      <c r="A73" s="104"/>
      <c r="B73" s="392"/>
      <c r="C73" s="413"/>
      <c r="D73" s="413"/>
      <c r="E73" s="396" t="s">
        <v>1904</v>
      </c>
      <c r="F73" s="400"/>
      <c r="G73" s="1084" t="s">
        <v>2254</v>
      </c>
    </row>
    <row r="74" spans="1:7" s="42" customFormat="1" ht="12.4" customHeight="1">
      <c r="A74" s="104"/>
      <c r="B74" s="392"/>
      <c r="C74" s="392"/>
      <c r="D74" s="392"/>
      <c r="E74" s="398" t="s">
        <v>3513</v>
      </c>
      <c r="F74" s="398"/>
      <c r="G74" s="1084" t="s">
        <v>2254</v>
      </c>
    </row>
    <row r="75" spans="1:7" s="42" customFormat="1" ht="6" customHeight="1">
      <c r="A75" s="104"/>
      <c r="B75" s="392"/>
      <c r="C75" s="392"/>
      <c r="D75" s="392"/>
      <c r="E75" s="1086"/>
      <c r="F75" s="398"/>
      <c r="G75" s="147"/>
    </row>
    <row r="76" spans="1:7" s="42" customFormat="1" ht="12.4" customHeight="1">
      <c r="A76" s="387">
        <v>6</v>
      </c>
      <c r="B76" s="412" t="s">
        <v>1024</v>
      </c>
      <c r="C76" s="241"/>
      <c r="D76" s="392"/>
      <c r="E76" s="392" t="s">
        <v>3505</v>
      </c>
      <c r="F76" s="392"/>
      <c r="G76" s="1084" t="s">
        <v>2254</v>
      </c>
    </row>
    <row r="77" spans="1:7" s="42" customFormat="1" ht="12.4" customHeight="1">
      <c r="A77" s="104"/>
      <c r="B77" s="392"/>
      <c r="C77" s="413"/>
      <c r="D77" s="413"/>
      <c r="E77" s="396" t="s">
        <v>3859</v>
      </c>
      <c r="F77" s="400"/>
      <c r="G77" s="1084" t="s">
        <v>2254</v>
      </c>
    </row>
    <row r="78" spans="1:7" s="42" customFormat="1" ht="12.4" customHeight="1">
      <c r="A78" s="104"/>
      <c r="B78" s="392"/>
      <c r="C78" s="413"/>
      <c r="D78" s="413"/>
      <c r="E78" s="396" t="s">
        <v>3860</v>
      </c>
      <c r="F78" s="400"/>
      <c r="G78" s="1084" t="s">
        <v>2254</v>
      </c>
    </row>
    <row r="79" spans="1:7" s="42" customFormat="1" ht="12.4" customHeight="1">
      <c r="A79" s="104"/>
      <c r="B79" s="392"/>
      <c r="C79" s="392"/>
      <c r="D79" s="392"/>
      <c r="E79" s="392" t="s">
        <v>3861</v>
      </c>
      <c r="F79" s="392"/>
      <c r="G79" s="1084" t="s">
        <v>2254</v>
      </c>
    </row>
    <row r="80" spans="1:7" s="42" customFormat="1" ht="6" customHeight="1">
      <c r="A80" s="100"/>
      <c r="B80" s="394"/>
      <c r="C80" s="394"/>
      <c r="D80" s="394"/>
      <c r="E80" s="394"/>
      <c r="F80" s="395"/>
      <c r="G80" s="312"/>
    </row>
    <row r="81" spans="1:7" s="42" customFormat="1" ht="12.4" customHeight="1">
      <c r="A81" s="387">
        <v>7</v>
      </c>
      <c r="B81" s="408" t="s">
        <v>2691</v>
      </c>
      <c r="C81" s="241"/>
      <c r="D81" s="392"/>
      <c r="E81" s="398" t="s">
        <v>1424</v>
      </c>
      <c r="F81" s="398"/>
      <c r="G81" s="1084" t="s">
        <v>3919</v>
      </c>
    </row>
    <row r="82" spans="1:7" s="42" customFormat="1" ht="6" customHeight="1">
      <c r="A82" s="104"/>
      <c r="B82" s="241"/>
      <c r="C82" s="711"/>
      <c r="D82" s="392"/>
      <c r="E82" s="398"/>
      <c r="F82" s="398"/>
      <c r="G82" s="147"/>
    </row>
    <row r="83" spans="1:7" s="42" customFormat="1" ht="12.4" customHeight="1">
      <c r="A83" s="387">
        <v>8</v>
      </c>
      <c r="B83" s="408" t="s">
        <v>3426</v>
      </c>
      <c r="C83" s="241"/>
      <c r="D83" s="392"/>
      <c r="E83" s="398" t="s">
        <v>1903</v>
      </c>
      <c r="F83" s="398"/>
      <c r="G83" s="1084" t="s">
        <v>3919</v>
      </c>
    </row>
    <row r="84" spans="1:7" s="42" customFormat="1" ht="12.4" customHeight="1">
      <c r="A84" s="104"/>
      <c r="B84" s="241"/>
      <c r="C84" s="711"/>
      <c r="D84" s="392"/>
      <c r="E84" s="398" t="s">
        <v>3795</v>
      </c>
      <c r="F84" s="398"/>
      <c r="G84" s="1084" t="s">
        <v>2254</v>
      </c>
    </row>
    <row r="85" spans="1:7" s="42" customFormat="1" ht="6" customHeight="1">
      <c r="A85" s="104"/>
      <c r="B85" s="711"/>
      <c r="C85" s="392"/>
      <c r="D85" s="392"/>
      <c r="E85" s="1086"/>
      <c r="F85" s="398"/>
      <c r="G85" s="314"/>
    </row>
    <row r="86" spans="1:7" s="42" customFormat="1" ht="12.4" customHeight="1">
      <c r="A86" s="387">
        <v>9</v>
      </c>
      <c r="B86" s="406" t="s">
        <v>3702</v>
      </c>
      <c r="C86" s="241"/>
      <c r="D86" s="392"/>
      <c r="E86" s="1086" t="s">
        <v>3880</v>
      </c>
      <c r="F86" s="398"/>
      <c r="G86" s="1084" t="s">
        <v>3919</v>
      </c>
    </row>
    <row r="87" spans="1:7" s="42" customFormat="1" ht="6" customHeight="1">
      <c r="A87" s="100"/>
      <c r="B87" s="394"/>
      <c r="C87" s="241"/>
      <c r="D87" s="394"/>
      <c r="E87" s="394"/>
      <c r="F87" s="395"/>
      <c r="G87" s="312"/>
    </row>
    <row r="88" spans="1:7" s="42" customFormat="1" ht="13.9" customHeight="1">
      <c r="A88" s="387">
        <v>10</v>
      </c>
      <c r="B88" s="406" t="s">
        <v>733</v>
      </c>
      <c r="C88" s="241"/>
      <c r="D88" s="392"/>
      <c r="E88" s="392" t="s">
        <v>312</v>
      </c>
      <c r="F88" s="392"/>
      <c r="G88" s="1084" t="s">
        <v>3919</v>
      </c>
    </row>
    <row r="89" spans="1:7" s="42" customFormat="1" ht="6" customHeight="1">
      <c r="A89" s="100"/>
      <c r="B89" s="394"/>
      <c r="C89" s="241"/>
      <c r="D89" s="394"/>
      <c r="E89" s="394"/>
      <c r="F89" s="395"/>
      <c r="G89" s="312"/>
    </row>
    <row r="90" spans="1:7" s="42" customFormat="1" ht="12.4" customHeight="1">
      <c r="A90" s="387">
        <v>11</v>
      </c>
      <c r="B90" s="406" t="s">
        <v>331</v>
      </c>
      <c r="C90" s="241"/>
      <c r="D90" s="392"/>
      <c r="E90" s="773" t="s">
        <v>3885</v>
      </c>
      <c r="F90" s="1088"/>
      <c r="G90" s="1084" t="s">
        <v>3919</v>
      </c>
    </row>
    <row r="91" spans="1:7" s="42" customFormat="1" ht="12.4" customHeight="1">
      <c r="A91" s="107"/>
      <c r="B91" s="392"/>
      <c r="C91" s="391"/>
      <c r="D91" s="1086"/>
      <c r="E91" s="392" t="s">
        <v>305</v>
      </c>
      <c r="F91" s="392"/>
      <c r="G91" s="1084" t="s">
        <v>2254</v>
      </c>
    </row>
    <row r="92" spans="1:7" s="42" customFormat="1" ht="12.4" customHeight="1">
      <c r="A92" s="387">
        <v>12</v>
      </c>
      <c r="B92" s="406" t="s">
        <v>1601</v>
      </c>
      <c r="C92" s="241"/>
      <c r="D92" s="392"/>
      <c r="E92" s="396" t="s">
        <v>3464</v>
      </c>
      <c r="F92" s="398"/>
      <c r="G92" s="1084" t="s">
        <v>3919</v>
      </c>
    </row>
    <row r="93" spans="1:7" s="42" customFormat="1" ht="12.4" customHeight="1">
      <c r="A93" s="104"/>
      <c r="B93" s="396"/>
      <c r="C93" s="241"/>
      <c r="D93" s="396"/>
      <c r="E93" s="396" t="s">
        <v>725</v>
      </c>
      <c r="F93" s="402"/>
      <c r="G93" s="1084" t="s">
        <v>3919</v>
      </c>
    </row>
    <row r="94" spans="1:7" s="42" customFormat="1" ht="12.4" customHeight="1">
      <c r="A94" s="104"/>
      <c r="B94" s="392"/>
      <c r="C94" s="241"/>
      <c r="D94" s="392"/>
      <c r="E94" s="396" t="s">
        <v>3881</v>
      </c>
      <c r="F94" s="398"/>
      <c r="G94" s="1084" t="s">
        <v>3919</v>
      </c>
    </row>
    <row r="95" spans="1:7" s="42" customFormat="1" ht="6" customHeight="1">
      <c r="A95" s="100"/>
      <c r="B95" s="394"/>
      <c r="C95" s="394"/>
      <c r="D95" s="394"/>
      <c r="E95" s="394"/>
      <c r="F95" s="395"/>
      <c r="G95" s="229"/>
    </row>
    <row r="96" spans="1:7" s="42" customFormat="1" ht="12.4" customHeight="1">
      <c r="A96" s="387">
        <v>13</v>
      </c>
      <c r="B96" s="406" t="s">
        <v>683</v>
      </c>
      <c r="C96" s="241"/>
      <c r="D96" s="396"/>
      <c r="E96" s="392" t="s">
        <v>839</v>
      </c>
      <c r="F96" s="392"/>
      <c r="G96" s="1084" t="s">
        <v>3919</v>
      </c>
    </row>
    <row r="97" spans="1:7" s="42" customFormat="1" ht="12.4" customHeight="1">
      <c r="A97" s="104"/>
      <c r="B97" s="241"/>
      <c r="C97" s="241"/>
      <c r="D97" s="392"/>
      <c r="E97" s="392" t="s">
        <v>3331</v>
      </c>
      <c r="F97" s="392"/>
      <c r="G97" s="1084" t="s">
        <v>3919</v>
      </c>
    </row>
    <row r="98" spans="1:7" s="42" customFormat="1" ht="12.4" customHeight="1">
      <c r="A98" s="104"/>
      <c r="B98" s="392"/>
      <c r="C98" s="241"/>
      <c r="D98" s="392"/>
      <c r="E98" s="392" t="s">
        <v>3271</v>
      </c>
      <c r="F98" s="392"/>
      <c r="G98" s="1084" t="s">
        <v>2254</v>
      </c>
    </row>
    <row r="99" spans="1:7" s="42" customFormat="1" ht="12.4" customHeight="1">
      <c r="A99" s="104"/>
      <c r="B99" s="391"/>
      <c r="C99" s="241"/>
      <c r="D99" s="392"/>
      <c r="E99" s="396" t="s">
        <v>3272</v>
      </c>
      <c r="F99" s="402"/>
      <c r="G99" s="1084" t="s">
        <v>2254</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2" t="s">
        <v>71</v>
      </c>
      <c r="F101" s="752"/>
      <c r="G101" s="1084" t="s">
        <v>3919</v>
      </c>
    </row>
    <row r="102" spans="1:7" s="42" customFormat="1" ht="12.4" customHeight="1">
      <c r="A102" s="104"/>
      <c r="B102" s="391"/>
      <c r="C102" s="241"/>
      <c r="D102" s="396"/>
      <c r="E102" s="752" t="s">
        <v>909</v>
      </c>
      <c r="F102" s="753"/>
      <c r="G102" s="1084" t="s">
        <v>3919</v>
      </c>
    </row>
    <row r="103" spans="1:7" s="42" customFormat="1" ht="6" customHeight="1">
      <c r="A103" s="100"/>
      <c r="B103" s="394"/>
      <c r="C103" s="241"/>
      <c r="D103" s="394"/>
      <c r="E103" s="394"/>
      <c r="F103" s="395"/>
      <c r="G103" s="312"/>
    </row>
    <row r="104" spans="1:7" s="42" customFormat="1" ht="12.4" customHeight="1">
      <c r="A104" s="387">
        <v>15</v>
      </c>
      <c r="B104" s="406" t="s">
        <v>2658</v>
      </c>
      <c r="C104" s="241"/>
      <c r="D104" s="392"/>
      <c r="E104" s="396" t="s">
        <v>3506</v>
      </c>
      <c r="F104" s="402"/>
      <c r="G104" s="1084" t="s">
        <v>2254</v>
      </c>
    </row>
    <row r="105" spans="1:7" s="42" customFormat="1" ht="12.4" customHeight="1">
      <c r="A105" s="104"/>
      <c r="B105" s="396"/>
      <c r="C105" s="241"/>
      <c r="D105" s="396"/>
      <c r="E105" s="397" t="s">
        <v>3766</v>
      </c>
      <c r="F105" s="392"/>
      <c r="G105" s="1084" t="s">
        <v>2254</v>
      </c>
    </row>
    <row r="106" spans="1:7" s="42" customFormat="1" ht="12.4" customHeight="1">
      <c r="A106" s="104"/>
      <c r="B106" s="392"/>
      <c r="C106" s="241"/>
      <c r="D106" s="1086"/>
      <c r="E106" s="392" t="s">
        <v>3507</v>
      </c>
      <c r="F106" s="392"/>
      <c r="G106" s="1084" t="s">
        <v>3919</v>
      </c>
    </row>
    <row r="107" spans="1:7" s="42" customFormat="1" ht="12.4" customHeight="1">
      <c r="A107" s="104"/>
      <c r="B107" s="391"/>
      <c r="C107" s="241"/>
      <c r="D107" s="392"/>
      <c r="E107" s="392" t="s">
        <v>1652</v>
      </c>
      <c r="F107" s="392"/>
      <c r="G107" s="1084" t="s">
        <v>3919</v>
      </c>
    </row>
    <row r="108" spans="1:7" s="42" customFormat="1" ht="12.4" customHeight="1">
      <c r="A108" s="104"/>
      <c r="B108" s="392"/>
      <c r="C108" s="241"/>
      <c r="D108" s="392"/>
      <c r="E108" s="396" t="s">
        <v>1653</v>
      </c>
      <c r="F108" s="402"/>
      <c r="G108" s="1084" t="s">
        <v>3919</v>
      </c>
    </row>
    <row r="109" spans="1:7" s="42" customFormat="1" ht="12.4" customHeight="1">
      <c r="A109" s="104"/>
      <c r="B109" s="396"/>
      <c r="C109" s="241"/>
      <c r="D109" s="396"/>
      <c r="E109" s="396" t="s">
        <v>732</v>
      </c>
      <c r="F109" s="402"/>
      <c r="G109" s="1084" t="s">
        <v>2254</v>
      </c>
    </row>
    <row r="110" spans="1:7" s="42" customFormat="1" ht="12.4" customHeight="1">
      <c r="A110" s="104"/>
      <c r="B110" s="396"/>
      <c r="C110" s="241"/>
      <c r="D110" s="396"/>
      <c r="E110" s="396" t="s">
        <v>3465</v>
      </c>
      <c r="F110" s="402"/>
      <c r="G110" s="1084" t="s">
        <v>2254</v>
      </c>
    </row>
    <row r="111" spans="1:7" s="42" customFormat="1" ht="6" customHeight="1">
      <c r="A111" s="100"/>
      <c r="B111" s="394"/>
      <c r="C111" s="394"/>
      <c r="D111" s="394"/>
      <c r="E111" s="394"/>
      <c r="F111" s="395"/>
      <c r="G111" s="312"/>
    </row>
    <row r="112" spans="1:7" ht="12.4" customHeight="1">
      <c r="A112" s="387">
        <v>16</v>
      </c>
      <c r="B112" s="750" t="s">
        <v>192</v>
      </c>
      <c r="C112" s="751"/>
      <c r="D112" s="751"/>
      <c r="E112" s="396" t="s">
        <v>1910</v>
      </c>
      <c r="F112" s="396"/>
      <c r="G112" s="1084" t="s">
        <v>3919</v>
      </c>
    </row>
    <row r="113" spans="1:7" s="42" customFormat="1" ht="12.4" customHeight="1">
      <c r="A113" s="104"/>
      <c r="B113" s="750"/>
      <c r="C113" s="751"/>
      <c r="D113" s="751"/>
      <c r="E113" s="396" t="s">
        <v>1911</v>
      </c>
      <c r="F113" s="396"/>
      <c r="G113" s="1084" t="s">
        <v>3919</v>
      </c>
    </row>
    <row r="114" spans="1:7" s="42" customFormat="1" ht="12.4" customHeight="1">
      <c r="A114" s="104"/>
      <c r="B114" s="750"/>
      <c r="C114" s="751"/>
      <c r="D114" s="751"/>
      <c r="E114" s="396" t="s">
        <v>1914</v>
      </c>
      <c r="F114" s="396"/>
      <c r="G114" s="1084" t="s">
        <v>2254</v>
      </c>
    </row>
    <row r="115" spans="1:7" s="42" customFormat="1" ht="6" customHeight="1">
      <c r="A115" s="100"/>
      <c r="B115" s="394"/>
      <c r="C115" s="394"/>
      <c r="D115" s="394"/>
      <c r="E115" s="394"/>
      <c r="F115" s="395"/>
      <c r="G115" s="312"/>
    </row>
    <row r="116" spans="1:7" s="42" customFormat="1" ht="12.4" customHeight="1">
      <c r="A116" s="387">
        <v>17</v>
      </c>
      <c r="B116" s="406" t="s">
        <v>1912</v>
      </c>
      <c r="C116" s="241"/>
      <c r="D116" s="392"/>
      <c r="E116" s="392" t="s">
        <v>3547</v>
      </c>
      <c r="F116" s="398"/>
      <c r="G116" s="1084" t="s">
        <v>2254</v>
      </c>
    </row>
    <row r="117" spans="1:7" s="42" customFormat="1" ht="12.4" customHeight="1">
      <c r="A117" s="104"/>
      <c r="B117" s="602" t="s">
        <v>3081</v>
      </c>
      <c r="C117" s="241"/>
      <c r="D117" s="1089"/>
      <c r="E117" s="403" t="s">
        <v>3548</v>
      </c>
      <c r="F117" s="398"/>
      <c r="G117" s="1084" t="s">
        <v>2254</v>
      </c>
    </row>
    <row r="118" spans="1:7" s="42" customFormat="1" ht="6" customHeight="1">
      <c r="A118" s="100"/>
      <c r="B118" s="394"/>
      <c r="C118" s="394"/>
      <c r="D118" s="394"/>
      <c r="E118" s="394"/>
      <c r="F118" s="395"/>
      <c r="G118" s="311"/>
    </row>
    <row r="119" spans="1:7" s="42" customFormat="1" ht="12.4" customHeight="1">
      <c r="A119" s="387">
        <v>18</v>
      </c>
      <c r="B119" s="406" t="s">
        <v>3143</v>
      </c>
      <c r="C119" s="414"/>
      <c r="D119" s="396"/>
      <c r="E119" s="393" t="s">
        <v>3144</v>
      </c>
      <c r="F119" s="392"/>
      <c r="G119" s="1084" t="s">
        <v>3919</v>
      </c>
    </row>
    <row r="120" spans="1:7" s="42" customFormat="1" ht="12.4" customHeight="1">
      <c r="A120" s="387"/>
      <c r="B120" s="602" t="s">
        <v>3396</v>
      </c>
      <c r="C120" s="406"/>
      <c r="D120" s="392"/>
      <c r="E120" s="393" t="s">
        <v>2528</v>
      </c>
      <c r="F120" s="392"/>
      <c r="G120" s="1084" t="s">
        <v>3919</v>
      </c>
    </row>
    <row r="121" spans="1:7" s="42" customFormat="1" ht="12.4" customHeight="1">
      <c r="A121" s="104"/>
      <c r="B121" s="241"/>
      <c r="C121" s="392"/>
      <c r="D121" s="392"/>
      <c r="E121" s="392" t="s">
        <v>3305</v>
      </c>
      <c r="F121" s="392"/>
      <c r="G121" s="1084" t="s">
        <v>3919</v>
      </c>
    </row>
    <row r="122" spans="1:7" s="42" customFormat="1" ht="12.4" customHeight="1">
      <c r="A122" s="104"/>
      <c r="B122" s="392"/>
      <c r="C122" s="392"/>
      <c r="D122" s="392"/>
      <c r="E122" s="392" t="s">
        <v>3882</v>
      </c>
      <c r="F122" s="392"/>
      <c r="G122" s="1084" t="s">
        <v>3919</v>
      </c>
    </row>
    <row r="123" spans="1:7" s="42" customFormat="1" ht="6" customHeight="1">
      <c r="A123" s="100"/>
      <c r="B123" s="394"/>
      <c r="C123" s="394"/>
      <c r="D123" s="394"/>
      <c r="E123" s="394"/>
      <c r="F123" s="395"/>
      <c r="G123" s="311"/>
    </row>
    <row r="124" spans="1:7" s="42" customFormat="1" ht="12.6" customHeight="1">
      <c r="A124" s="387">
        <v>19</v>
      </c>
      <c r="B124" s="414" t="s">
        <v>2867</v>
      </c>
      <c r="C124" s="1086"/>
      <c r="D124" s="1086"/>
      <c r="E124" s="396" t="s">
        <v>3520</v>
      </c>
      <c r="F124" s="396"/>
      <c r="G124" s="1084" t="s">
        <v>3919</v>
      </c>
    </row>
    <row r="125" spans="1:7" s="42" customFormat="1" ht="12.4" customHeight="1">
      <c r="A125" s="104"/>
      <c r="B125" s="396"/>
      <c r="C125" s="391"/>
      <c r="D125" s="396"/>
      <c r="E125" s="396" t="s">
        <v>891</v>
      </c>
      <c r="F125" s="396"/>
      <c r="G125" s="1084" t="s">
        <v>3919</v>
      </c>
    </row>
    <row r="126" spans="1:7" s="42" customFormat="1" ht="12.4" customHeight="1">
      <c r="A126" s="104"/>
      <c r="B126" s="396"/>
      <c r="C126" s="391"/>
      <c r="D126" s="396"/>
      <c r="E126" s="396" t="s">
        <v>3521</v>
      </c>
      <c r="F126" s="396"/>
      <c r="G126" s="1084" t="s">
        <v>2254</v>
      </c>
    </row>
    <row r="127" spans="1:7" s="42" customFormat="1" ht="12.4" customHeight="1">
      <c r="A127" s="104"/>
      <c r="B127" s="396"/>
      <c r="C127" s="415"/>
      <c r="D127" s="396"/>
      <c r="E127" s="396" t="s">
        <v>3522</v>
      </c>
      <c r="F127" s="396"/>
      <c r="G127" s="1084" t="s">
        <v>2254</v>
      </c>
    </row>
    <row r="128" spans="1:7" s="42" customFormat="1" ht="12.4" customHeight="1">
      <c r="A128" s="104"/>
      <c r="B128" s="396"/>
      <c r="C128" s="396"/>
      <c r="D128" s="416"/>
      <c r="E128" s="396" t="s">
        <v>3523</v>
      </c>
      <c r="F128" s="396"/>
      <c r="G128" s="1084" t="s">
        <v>2254</v>
      </c>
    </row>
    <row r="129" spans="1:7" s="42" customFormat="1" ht="12.4" customHeight="1">
      <c r="A129" s="104"/>
      <c r="B129" s="396"/>
      <c r="C129" s="396"/>
      <c r="D129" s="416"/>
      <c r="E129" s="396" t="s">
        <v>3524</v>
      </c>
      <c r="F129" s="396"/>
      <c r="G129" s="1084" t="s">
        <v>3919</v>
      </c>
    </row>
    <row r="130" spans="1:7" s="1090" customFormat="1" ht="12.4" customHeight="1">
      <c r="A130" s="104"/>
      <c r="B130" s="396"/>
      <c r="C130" s="396"/>
      <c r="D130" s="416"/>
      <c r="E130" s="396" t="s">
        <v>3544</v>
      </c>
      <c r="F130" s="396"/>
      <c r="G130" s="1084" t="s">
        <v>2254</v>
      </c>
    </row>
    <row r="131" spans="1:7" s="42" customFormat="1" ht="24.6" customHeight="1">
      <c r="A131" s="107"/>
      <c r="B131" s="396"/>
      <c r="C131" s="396"/>
      <c r="D131" s="396"/>
      <c r="E131" s="752" t="s">
        <v>3545</v>
      </c>
      <c r="F131" s="753"/>
      <c r="G131" s="1084" t="s">
        <v>3919</v>
      </c>
    </row>
    <row r="132" spans="1:7" s="42" customFormat="1" ht="12.6" customHeight="1">
      <c r="A132" s="387">
        <v>20</v>
      </c>
      <c r="B132" s="414" t="s">
        <v>824</v>
      </c>
      <c r="C132" s="1086"/>
      <c r="D132" s="1086"/>
      <c r="E132" s="396" t="s">
        <v>468</v>
      </c>
      <c r="F132" s="396"/>
      <c r="G132" s="1084" t="s">
        <v>3919</v>
      </c>
    </row>
    <row r="133" spans="1:7" s="42" customFormat="1" ht="12.4" customHeight="1">
      <c r="A133" s="104"/>
      <c r="B133" s="396"/>
      <c r="C133" s="391"/>
      <c r="D133" s="396"/>
      <c r="E133" s="396" t="s">
        <v>3663</v>
      </c>
      <c r="F133" s="396"/>
      <c r="G133" s="1084" t="s">
        <v>3919</v>
      </c>
    </row>
    <row r="134" spans="1:7" s="42" customFormat="1" ht="12.4" customHeight="1">
      <c r="A134" s="104"/>
      <c r="B134" s="396"/>
      <c r="C134" s="415"/>
      <c r="D134" s="396"/>
      <c r="E134" s="396" t="s">
        <v>723</v>
      </c>
      <c r="F134" s="396"/>
      <c r="G134" s="1084" t="s">
        <v>3919</v>
      </c>
    </row>
    <row r="135" spans="1:7" s="42" customFormat="1" ht="12.4" customHeight="1">
      <c r="A135" s="104"/>
      <c r="B135" s="396"/>
      <c r="C135" s="396"/>
      <c r="D135" s="416"/>
      <c r="E135" s="396" t="s">
        <v>724</v>
      </c>
      <c r="F135" s="396"/>
      <c r="G135" s="1084" t="s">
        <v>3919</v>
      </c>
    </row>
    <row r="136" spans="1:7" s="42" customFormat="1" ht="12.4" customHeight="1">
      <c r="A136" s="104"/>
      <c r="B136" s="396"/>
      <c r="C136" s="396"/>
      <c r="D136" s="416"/>
      <c r="E136" s="396" t="s">
        <v>990</v>
      </c>
      <c r="F136" s="396"/>
      <c r="G136" s="1084" t="s">
        <v>3919</v>
      </c>
    </row>
    <row r="137" spans="1:7" s="1090" customFormat="1" ht="12.4" customHeight="1">
      <c r="A137" s="104"/>
      <c r="B137" s="396"/>
      <c r="C137" s="396"/>
      <c r="D137" s="416"/>
      <c r="E137" s="396" t="s">
        <v>2293</v>
      </c>
      <c r="F137" s="396"/>
      <c r="G137" s="1084" t="s">
        <v>3919</v>
      </c>
    </row>
    <row r="138" spans="1:7" s="42" customFormat="1" ht="12.4" customHeight="1">
      <c r="A138" s="104"/>
      <c r="B138" s="396"/>
      <c r="C138" s="396"/>
      <c r="D138" s="396"/>
      <c r="E138" s="711" t="s">
        <v>3574</v>
      </c>
      <c r="F138" s="402"/>
      <c r="G138" s="1084" t="s">
        <v>3919</v>
      </c>
    </row>
    <row r="139" spans="1:7" s="42" customFormat="1" ht="6" customHeight="1">
      <c r="A139" s="100"/>
      <c r="B139" s="394"/>
      <c r="C139" s="394"/>
      <c r="D139" s="394"/>
      <c r="E139" s="394"/>
      <c r="F139" s="395"/>
      <c r="G139" s="312"/>
    </row>
    <row r="140" spans="1:7" ht="11.45" customHeight="1">
      <c r="A140" s="387">
        <v>21</v>
      </c>
      <c r="B140" s="414" t="s">
        <v>2530</v>
      </c>
      <c r="C140" s="1086"/>
      <c r="D140" s="1086"/>
      <c r="E140" s="396" t="s">
        <v>3202</v>
      </c>
      <c r="F140" s="396"/>
      <c r="G140" s="1084" t="s">
        <v>2254</v>
      </c>
    </row>
    <row r="141" spans="1:7" s="42" customFormat="1" ht="11.45" customHeight="1">
      <c r="A141" s="104"/>
      <c r="B141" s="241"/>
      <c r="C141" s="241"/>
      <c r="D141" s="396"/>
      <c r="E141" s="396" t="s">
        <v>2838</v>
      </c>
      <c r="F141" s="396"/>
      <c r="G141" s="1084" t="s">
        <v>2254</v>
      </c>
    </row>
    <row r="142" spans="1:7" s="42" customFormat="1" ht="11.45" customHeight="1">
      <c r="A142" s="104"/>
      <c r="B142" s="396"/>
      <c r="C142" s="396"/>
      <c r="D142" s="396"/>
      <c r="E142" s="396" t="s">
        <v>3078</v>
      </c>
      <c r="F142" s="396"/>
      <c r="G142" s="1084" t="s">
        <v>2254</v>
      </c>
    </row>
    <row r="143" spans="1:7" s="42" customFormat="1" ht="11.45" customHeight="1">
      <c r="A143" s="104"/>
      <c r="B143" s="396"/>
      <c r="C143" s="396"/>
      <c r="D143" s="396"/>
      <c r="E143" s="396" t="s">
        <v>1915</v>
      </c>
      <c r="F143" s="396"/>
      <c r="G143" s="1084" t="s">
        <v>2254</v>
      </c>
    </row>
    <row r="144" spans="1:7" s="42" customFormat="1" ht="11.45" customHeight="1">
      <c r="A144" s="104"/>
      <c r="B144" s="396"/>
      <c r="C144" s="396"/>
      <c r="D144" s="396"/>
      <c r="E144" s="396" t="s">
        <v>1913</v>
      </c>
      <c r="F144" s="396"/>
      <c r="G144" s="1084" t="s">
        <v>2254</v>
      </c>
    </row>
    <row r="145" spans="1:7" s="42" customFormat="1" ht="5.45" customHeight="1">
      <c r="A145" s="100"/>
      <c r="B145" s="394"/>
      <c r="C145" s="394"/>
      <c r="D145" s="394"/>
      <c r="E145" s="394"/>
      <c r="F145" s="395"/>
      <c r="G145" s="312"/>
    </row>
    <row r="146" spans="1:7" s="42" customFormat="1" ht="12.4" customHeight="1">
      <c r="A146" s="387">
        <v>22</v>
      </c>
      <c r="B146" s="414" t="s">
        <v>520</v>
      </c>
      <c r="C146" s="1086"/>
      <c r="D146" s="1086"/>
      <c r="E146" s="396" t="s">
        <v>2197</v>
      </c>
      <c r="F146" s="392"/>
      <c r="G146" s="1084" t="s">
        <v>2254</v>
      </c>
    </row>
    <row r="147" spans="1:7" s="42" customFormat="1" ht="12.4" customHeight="1">
      <c r="A147" s="104"/>
      <c r="B147" s="241"/>
      <c r="C147" s="241"/>
      <c r="D147" s="241"/>
      <c r="E147" s="396" t="s">
        <v>3310</v>
      </c>
      <c r="F147" s="392"/>
      <c r="G147" s="1084" t="s">
        <v>2254</v>
      </c>
    </row>
    <row r="148" spans="1:7" s="42" customFormat="1" ht="12.4" customHeight="1">
      <c r="A148" s="104"/>
      <c r="B148" s="241"/>
      <c r="C148" s="241"/>
      <c r="D148" s="241"/>
      <c r="E148" s="396" t="s">
        <v>3343</v>
      </c>
      <c r="F148" s="392"/>
      <c r="G148" s="1084" t="s">
        <v>2254</v>
      </c>
    </row>
    <row r="149" spans="1:7" s="42" customFormat="1" ht="12.4" customHeight="1">
      <c r="A149" s="104"/>
      <c r="B149" s="241"/>
      <c r="C149" s="396"/>
      <c r="D149" s="396"/>
      <c r="E149" s="396" t="s">
        <v>2198</v>
      </c>
      <c r="F149" s="392"/>
      <c r="G149" s="1084" t="s">
        <v>2254</v>
      </c>
    </row>
    <row r="150" spans="1:7" s="42" customFormat="1" ht="12.4" customHeight="1">
      <c r="A150" s="104"/>
      <c r="B150" s="396"/>
      <c r="C150" s="396"/>
      <c r="D150" s="396"/>
      <c r="E150" s="396" t="s">
        <v>2199</v>
      </c>
      <c r="F150" s="392"/>
      <c r="G150" s="1084" t="s">
        <v>2254</v>
      </c>
    </row>
    <row r="151" spans="1:7" s="42" customFormat="1" ht="12.4" customHeight="1">
      <c r="A151" s="104"/>
      <c r="B151" s="396"/>
      <c r="C151" s="396"/>
      <c r="D151" s="396"/>
      <c r="E151" s="396" t="s">
        <v>3338</v>
      </c>
      <c r="F151" s="392"/>
      <c r="G151" s="1084" t="s">
        <v>2254</v>
      </c>
    </row>
    <row r="152" spans="1:7" s="42" customFormat="1" ht="12.4" customHeight="1">
      <c r="A152" s="104"/>
      <c r="B152" s="396"/>
      <c r="C152" s="396"/>
      <c r="D152" s="396"/>
      <c r="E152" s="396" t="s">
        <v>3339</v>
      </c>
      <c r="F152" s="392"/>
      <c r="G152" s="1084" t="s">
        <v>2254</v>
      </c>
    </row>
    <row r="153" spans="1:7" s="42" customFormat="1" ht="12.4" customHeight="1">
      <c r="A153" s="104"/>
      <c r="B153" s="396"/>
      <c r="C153" s="396"/>
      <c r="D153" s="396"/>
      <c r="E153" s="396" t="s">
        <v>2196</v>
      </c>
      <c r="F153" s="392"/>
      <c r="G153" s="1084" t="s">
        <v>2254</v>
      </c>
    </row>
    <row r="154" spans="1:7" s="42" customFormat="1" ht="12.4" customHeight="1">
      <c r="A154" s="104"/>
      <c r="B154" s="711"/>
      <c r="C154" s="415"/>
      <c r="D154" s="396"/>
      <c r="E154" s="397" t="s">
        <v>2859</v>
      </c>
      <c r="F154" s="392"/>
      <c r="G154" s="1084" t="s">
        <v>3919</v>
      </c>
    </row>
    <row r="155" spans="1:7" s="42" customFormat="1" ht="5.45" customHeight="1">
      <c r="A155" s="100"/>
      <c r="B155" s="394"/>
      <c r="C155" s="394"/>
      <c r="D155" s="394"/>
      <c r="E155" s="394"/>
      <c r="F155" s="395"/>
      <c r="G155" s="312"/>
    </row>
    <row r="156" spans="1:7" s="42" customFormat="1" ht="12.4" customHeight="1">
      <c r="A156" s="387">
        <v>23</v>
      </c>
      <c r="B156" s="1091" t="s">
        <v>1916</v>
      </c>
      <c r="C156" s="1092"/>
      <c r="D156" s="1092"/>
      <c r="E156" s="1086" t="s">
        <v>1409</v>
      </c>
      <c r="F156" s="392"/>
      <c r="G156" s="1084" t="s">
        <v>2254</v>
      </c>
    </row>
    <row r="157" spans="1:7" s="42" customFormat="1" ht="12.4" customHeight="1">
      <c r="A157" s="104"/>
      <c r="B157" s="1093"/>
      <c r="C157" s="1092"/>
      <c r="D157" s="1092"/>
      <c r="E157" s="1086" t="s">
        <v>1410</v>
      </c>
      <c r="F157" s="392"/>
      <c r="G157" s="1084" t="s">
        <v>2254</v>
      </c>
    </row>
    <row r="158" spans="1:7" s="42" customFormat="1" ht="12.4" customHeight="1">
      <c r="A158" s="104"/>
      <c r="B158" s="1093"/>
      <c r="C158" s="1092"/>
      <c r="D158" s="1092"/>
      <c r="E158" s="1086" t="s">
        <v>1411</v>
      </c>
      <c r="F158" s="392"/>
      <c r="G158" s="1084" t="s">
        <v>2254</v>
      </c>
    </row>
    <row r="159" spans="1:7" s="42" customFormat="1" ht="24.6" customHeight="1">
      <c r="A159" s="104"/>
      <c r="B159" s="1094"/>
      <c r="C159" s="141"/>
      <c r="D159" s="141"/>
      <c r="E159" s="1095" t="s">
        <v>3508</v>
      </c>
      <c r="F159" s="1096"/>
      <c r="G159" s="1084" t="s">
        <v>2254</v>
      </c>
    </row>
    <row r="160" spans="1:7" s="42" customFormat="1" ht="5.45" customHeight="1">
      <c r="A160" s="100"/>
      <c r="B160" s="394"/>
      <c r="C160" s="394"/>
      <c r="D160" s="394"/>
      <c r="E160" s="394"/>
      <c r="F160" s="395"/>
      <c r="G160" s="312"/>
    </row>
    <row r="161" spans="1:7" s="42" customFormat="1" ht="12.6" customHeight="1">
      <c r="A161" s="104"/>
      <c r="B161" s="409" t="s">
        <v>3501</v>
      </c>
      <c r="C161" s="1097"/>
      <c r="D161" s="1098"/>
      <c r="E161" s="1086"/>
      <c r="F161" s="392"/>
      <c r="G161" s="106"/>
    </row>
    <row r="162" spans="1:7" s="42" customFormat="1" ht="12.4" customHeight="1">
      <c r="A162" s="387">
        <v>24</v>
      </c>
      <c r="B162" s="1087" t="s">
        <v>1026</v>
      </c>
      <c r="C162" s="241"/>
      <c r="D162" s="1086"/>
      <c r="E162" s="398" t="s">
        <v>3502</v>
      </c>
      <c r="F162" s="392"/>
      <c r="G162" s="1084" t="s">
        <v>3919</v>
      </c>
    </row>
    <row r="163" spans="1:7" s="42" customFormat="1" ht="12.4" customHeight="1">
      <c r="A163" s="104"/>
      <c r="B163" s="241"/>
      <c r="C163" s="711"/>
      <c r="D163" s="1086"/>
      <c r="E163" s="773" t="s">
        <v>867</v>
      </c>
      <c r="F163" s="753"/>
      <c r="G163" s="1084" t="s">
        <v>3919</v>
      </c>
    </row>
    <row r="164" spans="1:7" s="42" customFormat="1" ht="12.4" customHeight="1">
      <c r="A164" s="104"/>
      <c r="B164" s="401"/>
      <c r="C164" s="1086"/>
      <c r="D164" s="1086"/>
      <c r="E164" s="398" t="s">
        <v>37</v>
      </c>
      <c r="F164" s="392"/>
      <c r="G164" s="1084" t="s">
        <v>3919</v>
      </c>
    </row>
    <row r="165" spans="1:7" s="42" customFormat="1" ht="24.6" customHeight="1">
      <c r="A165" s="104"/>
      <c r="B165" s="401"/>
      <c r="C165" s="1086"/>
      <c r="D165" s="1086"/>
      <c r="E165" s="773" t="s">
        <v>688</v>
      </c>
      <c r="F165" s="753"/>
      <c r="G165" s="1084" t="s">
        <v>3919</v>
      </c>
    </row>
    <row r="166" spans="1:7" s="42" customFormat="1" ht="12.4" customHeight="1">
      <c r="A166" s="104"/>
      <c r="B166" s="401"/>
      <c r="C166" s="1086"/>
      <c r="D166" s="1086"/>
      <c r="E166" s="773" t="s">
        <v>689</v>
      </c>
      <c r="F166" s="753"/>
      <c r="G166" s="1084" t="s">
        <v>2254</v>
      </c>
    </row>
    <row r="167" spans="1:7" s="42" customFormat="1" ht="5.45" customHeight="1">
      <c r="A167" s="104"/>
      <c r="B167" s="401"/>
      <c r="C167" s="1086"/>
      <c r="D167" s="1086"/>
      <c r="E167" s="712"/>
      <c r="F167" s="712"/>
      <c r="G167" s="1099"/>
    </row>
    <row r="168" spans="1:7" s="42" customFormat="1" ht="13.9" customHeight="1">
      <c r="A168" s="387">
        <v>25</v>
      </c>
      <c r="B168" s="1100" t="s">
        <v>628</v>
      </c>
      <c r="C168" s="241"/>
      <c r="D168" s="1087"/>
      <c r="E168" s="773" t="s">
        <v>2655</v>
      </c>
      <c r="F168" s="753"/>
      <c r="G168" s="1084" t="s">
        <v>2254</v>
      </c>
    </row>
    <row r="169" spans="1:7" s="42" customFormat="1" ht="13.9" customHeight="1">
      <c r="A169" s="389"/>
      <c r="B169" s="1100"/>
      <c r="C169" s="241"/>
      <c r="D169" s="1087"/>
      <c r="E169" s="773" t="s">
        <v>629</v>
      </c>
      <c r="F169" s="753"/>
      <c r="G169" s="1084" t="s">
        <v>2254</v>
      </c>
    </row>
    <row r="170" spans="1:7" s="42" customFormat="1" ht="12.4" customHeight="1">
      <c r="A170" s="387">
        <v>26</v>
      </c>
      <c r="B170" s="1087" t="s">
        <v>690</v>
      </c>
      <c r="C170" s="241"/>
      <c r="D170" s="1087"/>
      <c r="E170" s="712" t="s">
        <v>691</v>
      </c>
      <c r="F170" s="710"/>
      <c r="G170" s="1084" t="s">
        <v>2254</v>
      </c>
    </row>
    <row r="171" spans="1:7" s="42" customFormat="1" ht="12.4" customHeight="1">
      <c r="A171" s="104"/>
      <c r="B171" s="1087"/>
      <c r="C171" s="241"/>
      <c r="E171" s="712" t="s">
        <v>630</v>
      </c>
      <c r="F171" s="710"/>
      <c r="G171" s="1084" t="s">
        <v>2254</v>
      </c>
    </row>
    <row r="172" spans="1:7" s="42" customFormat="1" ht="12.4" customHeight="1">
      <c r="A172" s="104"/>
      <c r="B172" s="408"/>
      <c r="C172" s="241"/>
      <c r="D172" s="1087"/>
      <c r="E172" s="773" t="s">
        <v>631</v>
      </c>
      <c r="F172" s="753"/>
      <c r="G172" s="1084" t="s">
        <v>2254</v>
      </c>
    </row>
    <row r="173" spans="1:7" s="42" customFormat="1" ht="12.4" customHeight="1">
      <c r="A173" s="104"/>
      <c r="B173" s="408"/>
      <c r="C173" s="241"/>
      <c r="D173" s="1087"/>
      <c r="E173" s="773" t="s">
        <v>632</v>
      </c>
      <c r="F173" s="753"/>
      <c r="G173" s="1084" t="s">
        <v>2254</v>
      </c>
    </row>
    <row r="174" spans="1:7" s="42" customFormat="1" ht="6" customHeight="1">
      <c r="A174" s="104"/>
      <c r="B174" s="401"/>
      <c r="C174" s="1086"/>
      <c r="D174" s="1086"/>
      <c r="E174" s="712"/>
      <c r="F174" s="712"/>
      <c r="G174" s="1099"/>
    </row>
    <row r="175" spans="1:7" s="42" customFormat="1" ht="12.4" customHeight="1">
      <c r="A175" s="387">
        <v>27</v>
      </c>
      <c r="B175" s="1101" t="s">
        <v>276</v>
      </c>
      <c r="C175" s="241"/>
      <c r="D175" s="1087"/>
      <c r="E175" s="712" t="s">
        <v>692</v>
      </c>
      <c r="F175" s="710"/>
      <c r="G175" s="1084" t="s">
        <v>2254</v>
      </c>
    </row>
    <row r="176" spans="1:7" s="42" customFormat="1" ht="12.4" customHeight="1">
      <c r="A176" s="104"/>
      <c r="B176" s="1087"/>
      <c r="C176" s="241"/>
      <c r="D176" s="1087"/>
      <c r="E176" s="773" t="s">
        <v>177</v>
      </c>
      <c r="F176" s="753"/>
      <c r="G176" s="1084" t="s">
        <v>2254</v>
      </c>
    </row>
    <row r="177" spans="1:7" s="42" customFormat="1" ht="12.4" customHeight="1">
      <c r="A177" s="104"/>
      <c r="B177" s="1087"/>
      <c r="C177" s="241"/>
      <c r="D177" s="1087"/>
      <c r="E177" s="398" t="s">
        <v>693</v>
      </c>
      <c r="F177" s="396"/>
      <c r="G177" s="1084" t="s">
        <v>2254</v>
      </c>
    </row>
    <row r="178" spans="1:7" s="42" customFormat="1" ht="12.4" customHeight="1">
      <c r="A178" s="104"/>
      <c r="B178" s="1087"/>
      <c r="C178" s="241"/>
      <c r="D178" s="1087"/>
      <c r="E178" s="398" t="s">
        <v>694</v>
      </c>
      <c r="F178" s="396"/>
      <c r="G178" s="1084" t="s">
        <v>2254</v>
      </c>
    </row>
    <row r="179" spans="1:7" s="42" customFormat="1" ht="12.4" customHeight="1">
      <c r="A179" s="387"/>
      <c r="B179" s="1087"/>
      <c r="C179" s="241"/>
      <c r="D179" s="1087"/>
      <c r="E179" s="1102" t="s">
        <v>695</v>
      </c>
      <c r="F179" s="396"/>
      <c r="G179" s="1084" t="s">
        <v>2254</v>
      </c>
    </row>
    <row r="180" spans="1:7" s="42" customFormat="1" ht="6" customHeight="1">
      <c r="A180" s="104"/>
      <c r="B180" s="1087"/>
      <c r="C180" s="241"/>
      <c r="D180" s="1087"/>
      <c r="E180" s="398"/>
      <c r="F180" s="398"/>
      <c r="G180" s="147"/>
    </row>
    <row r="181" spans="1:7" s="42" customFormat="1" ht="12.4" customHeight="1">
      <c r="A181" s="387">
        <v>28</v>
      </c>
      <c r="B181" s="1101" t="s">
        <v>3473</v>
      </c>
      <c r="C181" s="1087"/>
      <c r="D181" s="1087"/>
      <c r="E181" s="773" t="s">
        <v>178</v>
      </c>
      <c r="F181" s="1005"/>
      <c r="G181" s="1084" t="s">
        <v>2254</v>
      </c>
    </row>
    <row r="182" spans="1:7" s="42" customFormat="1" ht="12.4" customHeight="1">
      <c r="A182" s="387"/>
      <c r="B182" s="1101"/>
      <c r="C182" s="1087"/>
      <c r="D182" s="1087"/>
      <c r="E182" s="773" t="s">
        <v>179</v>
      </c>
      <c r="F182" s="1005"/>
      <c r="G182" s="1084" t="s">
        <v>2254</v>
      </c>
    </row>
    <row r="183" spans="1:7" s="42" customFormat="1" ht="25.15" customHeight="1">
      <c r="A183" s="104"/>
      <c r="B183" s="1087"/>
      <c r="C183" s="241"/>
      <c r="D183" s="1087"/>
      <c r="E183" s="773" t="s">
        <v>1620</v>
      </c>
      <c r="F183" s="753"/>
      <c r="G183" s="1084" t="s">
        <v>2254</v>
      </c>
    </row>
    <row r="184" spans="1:7" s="42" customFormat="1" ht="6" customHeight="1">
      <c r="A184" s="104"/>
      <c r="B184" s="1087"/>
      <c r="C184" s="241"/>
      <c r="D184" s="1087"/>
      <c r="E184" s="398"/>
      <c r="F184" s="396"/>
      <c r="G184" s="106"/>
    </row>
    <row r="185" spans="1:7" s="42" customFormat="1" ht="12.4" customHeight="1">
      <c r="A185" s="387">
        <v>29</v>
      </c>
      <c r="B185" s="1101" t="s">
        <v>406</v>
      </c>
      <c r="C185" s="241"/>
      <c r="D185" s="1087"/>
      <c r="E185" s="773" t="s">
        <v>633</v>
      </c>
      <c r="F185" s="753"/>
      <c r="G185" s="1084" t="s">
        <v>3919</v>
      </c>
    </row>
    <row r="186" spans="1:7" s="42" customFormat="1" ht="12.4" customHeight="1">
      <c r="A186" s="387"/>
      <c r="B186" s="1101"/>
      <c r="C186" s="241"/>
      <c r="D186" s="1087"/>
      <c r="E186" s="393" t="s">
        <v>1637</v>
      </c>
      <c r="F186" s="710"/>
      <c r="G186" s="1084" t="s">
        <v>3919</v>
      </c>
    </row>
    <row r="187" spans="1:7" s="42" customFormat="1" ht="6" customHeight="1">
      <c r="A187" s="100"/>
      <c r="B187" s="394"/>
      <c r="C187" s="1087"/>
      <c r="D187" s="1087"/>
      <c r="E187" s="1086"/>
      <c r="F187" s="396"/>
      <c r="G187" s="396"/>
    </row>
    <row r="188" spans="1:7" s="42" customFormat="1" ht="12.4" customHeight="1">
      <c r="A188" s="387">
        <v>30</v>
      </c>
      <c r="B188" s="1087" t="s">
        <v>3884</v>
      </c>
      <c r="C188" s="241"/>
      <c r="D188" s="1087"/>
      <c r="E188" s="1086" t="s">
        <v>1638</v>
      </c>
      <c r="F188" s="396"/>
      <c r="G188" s="1084" t="s">
        <v>3919</v>
      </c>
    </row>
    <row r="189" spans="1:7" s="42" customFormat="1" ht="6" customHeight="1">
      <c r="A189" s="100"/>
      <c r="B189" s="394"/>
      <c r="C189" s="1087"/>
      <c r="D189" s="1087"/>
      <c r="E189" s="1086"/>
      <c r="F189" s="396"/>
      <c r="G189" s="396"/>
    </row>
    <row r="190" spans="1:7" s="42" customFormat="1" ht="12.4" customHeight="1">
      <c r="A190" s="387">
        <v>31</v>
      </c>
      <c r="B190" s="1103" t="s">
        <v>169</v>
      </c>
      <c r="C190" s="241"/>
      <c r="D190" s="395"/>
      <c r="E190" s="394"/>
      <c r="F190" s="395"/>
      <c r="G190" s="395"/>
    </row>
    <row r="191" spans="1:7" s="42" customFormat="1" ht="12.4" customHeight="1">
      <c r="A191" s="387"/>
      <c r="C191" s="1104" t="s">
        <v>656</v>
      </c>
      <c r="D191" s="1087"/>
      <c r="E191" s="1105" t="s">
        <v>3549</v>
      </c>
      <c r="F191" s="1106"/>
      <c r="G191" s="1084" t="s">
        <v>2254</v>
      </c>
    </row>
    <row r="192" spans="1:7" s="42" customFormat="1" ht="12.4" customHeight="1">
      <c r="A192" s="387"/>
      <c r="C192" s="1104"/>
      <c r="D192" s="1087"/>
      <c r="E192" s="1107" t="s">
        <v>1639</v>
      </c>
      <c r="F192" s="1108"/>
      <c r="G192" s="1084" t="s">
        <v>2254</v>
      </c>
    </row>
    <row r="193" spans="1:7" s="42" customFormat="1" ht="12.4" customHeight="1">
      <c r="A193" s="104"/>
      <c r="C193" s="241"/>
      <c r="D193" s="1087"/>
      <c r="E193" s="1109" t="s">
        <v>3550</v>
      </c>
      <c r="F193" s="1110"/>
      <c r="G193" s="1084" t="s">
        <v>2254</v>
      </c>
    </row>
    <row r="194" spans="1:7" s="42" customFormat="1" ht="12.4" customHeight="1">
      <c r="A194" s="104"/>
      <c r="C194" s="241"/>
      <c r="D194" s="1087"/>
      <c r="E194" s="1086" t="s">
        <v>3551</v>
      </c>
      <c r="F194" s="396"/>
      <c r="G194" s="1084" t="s">
        <v>2254</v>
      </c>
    </row>
    <row r="195" spans="1:7" s="42" customFormat="1" ht="5.45" customHeight="1">
      <c r="A195" s="100"/>
      <c r="B195" s="394"/>
      <c r="C195" s="395"/>
      <c r="D195" s="395"/>
      <c r="E195" s="394"/>
      <c r="F195" s="395"/>
      <c r="G195" s="312"/>
    </row>
    <row r="196" spans="1:7" s="42" customFormat="1" ht="12.4" customHeight="1">
      <c r="A196" s="104"/>
      <c r="C196" s="241" t="s">
        <v>540</v>
      </c>
      <c r="D196" s="1087"/>
      <c r="E196" s="1086" t="s">
        <v>3796</v>
      </c>
      <c r="F196" s="396"/>
      <c r="G196" s="1084" t="s">
        <v>2254</v>
      </c>
    </row>
    <row r="197" spans="1:7" s="42" customFormat="1" ht="12.4" customHeight="1">
      <c r="A197" s="104"/>
      <c r="B197" s="241"/>
      <c r="C197" s="241"/>
      <c r="D197" s="1087"/>
      <c r="E197" s="1086" t="s">
        <v>3383</v>
      </c>
      <c r="F197" s="396"/>
      <c r="G197" s="1084" t="s">
        <v>2254</v>
      </c>
    </row>
    <row r="198" spans="1:7" s="42" customFormat="1" ht="12.4" customHeight="1">
      <c r="A198" s="104"/>
      <c r="B198" s="1086"/>
      <c r="C198" s="408"/>
      <c r="D198" s="1087"/>
      <c r="E198" s="1086" t="s">
        <v>167</v>
      </c>
      <c r="F198" s="396"/>
      <c r="G198" s="1084" t="s">
        <v>2254</v>
      </c>
    </row>
    <row r="199" spans="1:7" s="42" customFormat="1" ht="12.4" customHeight="1">
      <c r="A199" s="104"/>
      <c r="B199" s="1086"/>
      <c r="C199" s="1087"/>
      <c r="D199" s="1087"/>
      <c r="E199" s="1086" t="s">
        <v>3883</v>
      </c>
      <c r="F199" s="396"/>
      <c r="G199" s="1084" t="s">
        <v>2254</v>
      </c>
    </row>
    <row r="200" spans="1:7" s="42" customFormat="1" ht="12.4" customHeight="1">
      <c r="A200" s="104"/>
      <c r="B200" s="711"/>
      <c r="C200" s="1087"/>
      <c r="D200" s="1087"/>
      <c r="E200" s="1086" t="s">
        <v>168</v>
      </c>
      <c r="F200" s="396"/>
      <c r="G200" s="1084" t="s">
        <v>2254</v>
      </c>
    </row>
    <row r="201" spans="1:7" s="42" customFormat="1" ht="5.45" customHeight="1">
      <c r="A201" s="100"/>
      <c r="B201" s="394"/>
      <c r="C201" s="395"/>
      <c r="D201" s="395"/>
      <c r="E201" s="394"/>
      <c r="F201" s="395"/>
      <c r="G201" s="312"/>
    </row>
    <row r="202" spans="1:7" s="42" customFormat="1" ht="12.4" customHeight="1">
      <c r="A202" s="104"/>
      <c r="B202" s="1087"/>
      <c r="C202" s="241" t="s">
        <v>541</v>
      </c>
      <c r="D202" s="1087"/>
      <c r="E202" s="1086" t="s">
        <v>2733</v>
      </c>
      <c r="F202" s="396"/>
      <c r="G202" s="1084" t="s">
        <v>2254</v>
      </c>
    </row>
    <row r="203" spans="1:7" s="42" customFormat="1" ht="12.4" customHeight="1">
      <c r="A203" s="104"/>
      <c r="B203" s="711"/>
      <c r="C203" s="1087"/>
      <c r="D203" s="1087"/>
      <c r="E203" s="1086" t="s">
        <v>2734</v>
      </c>
      <c r="F203" s="396"/>
      <c r="G203" s="1084" t="s">
        <v>2254</v>
      </c>
    </row>
    <row r="204" spans="1:7" s="42" customFormat="1" ht="5.45" customHeight="1">
      <c r="A204" s="100"/>
      <c r="B204" s="394"/>
      <c r="C204" s="395"/>
      <c r="D204" s="395"/>
      <c r="E204" s="394"/>
      <c r="F204" s="395"/>
      <c r="G204" s="312"/>
    </row>
    <row r="205" spans="1:7" s="42" customFormat="1" ht="12.4" customHeight="1">
      <c r="A205" s="104"/>
      <c r="C205" s="241" t="s">
        <v>170</v>
      </c>
      <c r="D205" s="1087"/>
      <c r="E205" s="1086" t="s">
        <v>171</v>
      </c>
      <c r="F205" s="396"/>
      <c r="G205" s="1084" t="s">
        <v>2254</v>
      </c>
    </row>
    <row r="206" spans="1:7" s="42" customFormat="1" ht="12.4" customHeight="1">
      <c r="A206" s="104"/>
      <c r="B206" s="241"/>
      <c r="C206" s="241"/>
      <c r="D206" s="1087"/>
      <c r="E206" s="1086" t="s">
        <v>172</v>
      </c>
      <c r="F206" s="396"/>
      <c r="G206" s="1084" t="s">
        <v>2254</v>
      </c>
    </row>
    <row r="207" spans="1:7" s="42" customFormat="1" ht="12.4" customHeight="1">
      <c r="A207" s="104"/>
      <c r="B207" s="1086"/>
      <c r="C207" s="408"/>
      <c r="D207" s="1087"/>
      <c r="E207" s="1086" t="s">
        <v>3509</v>
      </c>
      <c r="F207" s="396"/>
      <c r="G207" s="1084" t="s">
        <v>2254</v>
      </c>
    </row>
    <row r="208" spans="1:7" s="42" customFormat="1" ht="12.4" customHeight="1">
      <c r="A208" s="104"/>
      <c r="B208" s="1086"/>
      <c r="C208" s="1087"/>
      <c r="D208" s="1087"/>
      <c r="E208" s="1086" t="s">
        <v>173</v>
      </c>
      <c r="F208" s="396"/>
      <c r="G208" s="1084" t="s">
        <v>2254</v>
      </c>
    </row>
    <row r="209" spans="1:7" s="42" customFormat="1" ht="12.4" customHeight="1">
      <c r="A209" s="387"/>
      <c r="B209" s="711"/>
      <c r="C209" s="1087"/>
      <c r="D209" s="1087"/>
      <c r="E209" s="1086" t="s">
        <v>174</v>
      </c>
      <c r="F209" s="396"/>
      <c r="G209" s="1084" t="s">
        <v>2254</v>
      </c>
    </row>
    <row r="210" spans="1:7" s="42" customFormat="1" ht="12.4" customHeight="1">
      <c r="A210" s="107"/>
      <c r="B210" s="711"/>
      <c r="C210" s="1087"/>
      <c r="D210" s="1087"/>
      <c r="E210" s="1086" t="s">
        <v>175</v>
      </c>
      <c r="F210" s="396"/>
      <c r="G210" s="1084" t="s">
        <v>2254</v>
      </c>
    </row>
    <row r="211" spans="1:7" s="42" customFormat="1" ht="12.4" customHeight="1">
      <c r="A211" s="387">
        <v>32</v>
      </c>
      <c r="B211" s="1087" t="s">
        <v>3362</v>
      </c>
      <c r="C211" s="241"/>
      <c r="D211" s="1087"/>
      <c r="E211" s="1086" t="s">
        <v>176</v>
      </c>
      <c r="F211" s="396"/>
      <c r="G211" s="1084" t="s">
        <v>2254</v>
      </c>
    </row>
    <row r="212" spans="1:7" s="42" customFormat="1" ht="6" customHeight="1">
      <c r="A212" s="104"/>
      <c r="B212" s="711"/>
      <c r="C212" s="1087"/>
      <c r="D212" s="1087"/>
      <c r="E212" s="1086"/>
      <c r="F212" s="396"/>
      <c r="G212" s="313"/>
    </row>
    <row r="213" spans="1:7" s="42" customFormat="1" ht="12.4" customHeight="1">
      <c r="A213" s="387">
        <v>33</v>
      </c>
      <c r="B213" s="1087" t="s">
        <v>2842</v>
      </c>
      <c r="C213" s="241"/>
      <c r="D213" s="1087"/>
      <c r="E213" s="773" t="s">
        <v>180</v>
      </c>
      <c r="F213" s="753"/>
      <c r="G213" s="1084" t="s">
        <v>2254</v>
      </c>
    </row>
    <row r="214" spans="1:7" s="42" customFormat="1" ht="12.4" customHeight="1">
      <c r="A214" s="387"/>
      <c r="B214" s="241"/>
      <c r="C214" s="241"/>
      <c r="D214" s="1087"/>
      <c r="E214" s="773" t="s">
        <v>181</v>
      </c>
      <c r="F214" s="753"/>
      <c r="G214" s="1084" t="s">
        <v>2254</v>
      </c>
    </row>
    <row r="215" spans="1:7" s="42" customFormat="1" ht="12.4" customHeight="1">
      <c r="A215" s="387"/>
      <c r="B215" s="241"/>
      <c r="C215" s="241"/>
      <c r="D215" s="1087"/>
      <c r="E215" s="393" t="s">
        <v>3510</v>
      </c>
      <c r="F215" s="710"/>
      <c r="G215" s="1084" t="s">
        <v>2254</v>
      </c>
    </row>
    <row r="216" spans="1:7" s="42" customFormat="1" ht="6" customHeight="1">
      <c r="A216" s="104"/>
      <c r="B216" s="711"/>
      <c r="C216" s="1087"/>
      <c r="D216" s="1087"/>
      <c r="E216" s="1086"/>
      <c r="F216" s="396"/>
      <c r="G216" s="654"/>
    </row>
    <row r="217" spans="1:7" s="42" customFormat="1" ht="12.6" customHeight="1">
      <c r="A217" s="387">
        <v>34</v>
      </c>
      <c r="B217" s="1087" t="s">
        <v>2670</v>
      </c>
      <c r="C217" s="1087"/>
      <c r="D217" s="1087"/>
      <c r="E217" s="1086"/>
      <c r="F217" s="396"/>
      <c r="G217" s="601"/>
    </row>
    <row r="218" spans="1:7" s="42" customFormat="1" ht="12.4" customHeight="1">
      <c r="A218" s="104"/>
      <c r="B218" s="241"/>
      <c r="C218" s="1086" t="s">
        <v>2672</v>
      </c>
      <c r="D218" s="1087"/>
      <c r="E218" s="1086" t="s">
        <v>182</v>
      </c>
      <c r="F218" s="396"/>
      <c r="G218" s="1084" t="s">
        <v>2254</v>
      </c>
    </row>
    <row r="219" spans="1:7" s="42" customFormat="1" ht="12.4" customHeight="1">
      <c r="A219" s="104"/>
      <c r="B219" s="1086"/>
      <c r="C219" s="1086" t="s">
        <v>2673</v>
      </c>
      <c r="D219" s="1087"/>
      <c r="E219" s="396" t="s">
        <v>148</v>
      </c>
      <c r="F219" s="396"/>
      <c r="G219" s="1084" t="s">
        <v>2254</v>
      </c>
    </row>
    <row r="220" spans="1:7" s="42" customFormat="1" ht="12.4" customHeight="1">
      <c r="A220" s="104"/>
      <c r="B220" s="1086"/>
      <c r="C220" s="711" t="s">
        <v>2671</v>
      </c>
      <c r="D220" s="1087"/>
      <c r="E220" s="1086" t="s">
        <v>183</v>
      </c>
      <c r="F220" s="396"/>
      <c r="G220" s="1084" t="s">
        <v>2254</v>
      </c>
    </row>
    <row r="221" spans="1:7" s="42" customFormat="1" ht="6" customHeight="1">
      <c r="A221" s="104"/>
      <c r="B221" s="711"/>
      <c r="C221" s="1087"/>
      <c r="D221" s="1087"/>
      <c r="E221" s="1086"/>
      <c r="F221" s="396"/>
      <c r="G221" s="313"/>
    </row>
    <row r="222" spans="1:7" s="42" customFormat="1" ht="12.4" customHeight="1">
      <c r="A222" s="387">
        <v>35</v>
      </c>
      <c r="B222" s="1087" t="s">
        <v>1907</v>
      </c>
      <c r="C222" s="241"/>
      <c r="D222" s="1087"/>
      <c r="E222" s="1086" t="s">
        <v>1908</v>
      </c>
      <c r="F222" s="396"/>
      <c r="G222" s="1084" t="s">
        <v>3919</v>
      </c>
    </row>
    <row r="223" spans="1:7" s="42" customFormat="1" ht="6" customHeight="1">
      <c r="A223" s="104"/>
      <c r="B223" s="711"/>
      <c r="C223" s="1087"/>
      <c r="D223" s="1087"/>
      <c r="E223" s="1086"/>
      <c r="F223" s="396"/>
      <c r="G223" s="313"/>
    </row>
    <row r="224" spans="1:7" s="42" customFormat="1" ht="12.4" customHeight="1">
      <c r="A224" s="387">
        <v>36</v>
      </c>
      <c r="B224" s="1087" t="s">
        <v>275</v>
      </c>
      <c r="C224" s="241"/>
      <c r="D224" s="1087"/>
      <c r="E224" s="1086" t="s">
        <v>1909</v>
      </c>
      <c r="F224" s="396"/>
      <c r="G224" s="1084" t="s">
        <v>3919</v>
      </c>
    </row>
    <row r="225" spans="1:7" s="42" customFormat="1" ht="6" customHeight="1">
      <c r="A225" s="104"/>
      <c r="B225" s="711"/>
      <c r="C225" s="1087"/>
      <c r="D225" s="1087"/>
      <c r="E225" s="1086"/>
      <c r="F225" s="396"/>
      <c r="G225" s="106"/>
    </row>
    <row r="226" spans="1:7" s="42" customFormat="1" ht="12.4" customHeight="1">
      <c r="A226" s="387">
        <v>37</v>
      </c>
      <c r="B226" s="1087" t="s">
        <v>2736</v>
      </c>
      <c r="C226" s="241"/>
      <c r="D226" s="1087"/>
      <c r="E226" s="1086" t="s">
        <v>527</v>
      </c>
      <c r="F226" s="396"/>
      <c r="G226" s="1084" t="s">
        <v>2254</v>
      </c>
    </row>
    <row r="227" spans="1:7" s="42" customFormat="1" ht="12.4" customHeight="1">
      <c r="A227" s="104"/>
      <c r="B227" s="1086"/>
      <c r="C227" s="1087"/>
      <c r="D227" s="1087"/>
      <c r="E227" s="396" t="s">
        <v>528</v>
      </c>
      <c r="F227" s="396"/>
      <c r="G227" s="1084" t="s">
        <v>2254</v>
      </c>
    </row>
    <row r="228" spans="1:7" s="42" customFormat="1" ht="12.4" customHeight="1">
      <c r="A228" s="104"/>
      <c r="B228" s="1086"/>
      <c r="C228" s="408"/>
      <c r="D228" s="1087"/>
      <c r="E228" s="1086" t="s">
        <v>529</v>
      </c>
      <c r="F228" s="396"/>
      <c r="G228" s="1084" t="s">
        <v>2254</v>
      </c>
    </row>
    <row r="229" spans="1:7" s="42" customFormat="1" ht="12.4" customHeight="1">
      <c r="A229" s="104"/>
      <c r="B229" s="711"/>
      <c r="C229" s="1087"/>
      <c r="D229" s="1087"/>
      <c r="E229" s="1111" t="s">
        <v>530</v>
      </c>
      <c r="F229" s="396"/>
      <c r="G229" s="1084" t="s">
        <v>2254</v>
      </c>
    </row>
    <row r="230" spans="1:7" s="42" customFormat="1" ht="12.4" customHeight="1">
      <c r="A230" s="104"/>
      <c r="B230" s="1086"/>
      <c r="E230" s="1086" t="s">
        <v>35</v>
      </c>
      <c r="F230" s="396"/>
      <c r="G230" s="1084" t="s">
        <v>2254</v>
      </c>
    </row>
    <row r="231" spans="1:7" s="42" customFormat="1" ht="12.4" customHeight="1">
      <c r="A231" s="104"/>
      <c r="B231" s="711"/>
      <c r="E231" s="1111" t="s">
        <v>36</v>
      </c>
      <c r="F231" s="396"/>
      <c r="G231" s="1084" t="s">
        <v>2254</v>
      </c>
    </row>
    <row r="232" spans="1:7" s="42" customFormat="1" ht="6" customHeight="1">
      <c r="A232" s="104"/>
      <c r="B232" s="711"/>
      <c r="C232" s="1087"/>
      <c r="D232" s="1087"/>
      <c r="E232" s="1086"/>
      <c r="F232" s="396"/>
      <c r="G232" s="106"/>
    </row>
    <row r="233" spans="1:7" s="42" customFormat="1" ht="12.4" customHeight="1">
      <c r="A233" s="387">
        <v>38</v>
      </c>
      <c r="B233" s="1087" t="s">
        <v>3552</v>
      </c>
      <c r="C233" s="241"/>
      <c r="D233" s="1087"/>
      <c r="E233" s="1086" t="s">
        <v>3511</v>
      </c>
      <c r="F233" s="396"/>
      <c r="G233" s="1084" t="s">
        <v>3919</v>
      </c>
    </row>
    <row r="234" spans="1:7" s="42" customFormat="1" ht="12.4" customHeight="1">
      <c r="A234" s="104"/>
      <c r="B234" s="1086"/>
      <c r="C234" s="1087"/>
      <c r="D234" s="1087"/>
      <c r="E234" s="396" t="s">
        <v>3512</v>
      </c>
      <c r="F234" s="396"/>
      <c r="G234" s="1084" t="s">
        <v>2254</v>
      </c>
    </row>
    <row r="235" spans="1:7" s="42" customFormat="1" ht="6" customHeight="1">
      <c r="A235" s="104"/>
      <c r="B235" s="417"/>
      <c r="C235" s="1112"/>
      <c r="D235" s="1112"/>
      <c r="E235" s="1113"/>
      <c r="F235" s="106"/>
      <c r="G235" s="106"/>
    </row>
    <row r="236" spans="1:7" s="42" customFormat="1" ht="13.15" customHeight="1">
      <c r="A236" s="387">
        <v>39</v>
      </c>
      <c r="B236" s="1087" t="s">
        <v>2364</v>
      </c>
      <c r="E236" s="1114" t="s">
        <v>3994</v>
      </c>
      <c r="F236" s="1114"/>
      <c r="G236" s="1084"/>
    </row>
    <row r="237" spans="1:7" s="42" customFormat="1" ht="12.6" customHeight="1">
      <c r="A237" s="104"/>
      <c r="C237" s="1115" t="s">
        <v>1027</v>
      </c>
      <c r="D237" s="1116"/>
      <c r="E237" s="1117"/>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65" customHeight="1">
      <c r="A240" s="1121" t="s">
        <v>3127</v>
      </c>
      <c r="B240" s="1122"/>
      <c r="C240" s="1122"/>
      <c r="D240" s="1122"/>
      <c r="E240" s="1122"/>
      <c r="F240" s="1122"/>
      <c r="G240" s="1123"/>
    </row>
  </sheetData>
  <sheetProtection password="DDE0" sheet="1" objects="1" scenarios="1"/>
  <mergeCells count="35">
    <mergeCell ref="A240:G240"/>
    <mergeCell ref="E214:F214"/>
    <mergeCell ref="C237:D239"/>
    <mergeCell ref="E213:F213"/>
    <mergeCell ref="E193:F193"/>
    <mergeCell ref="E183:F183"/>
    <mergeCell ref="E185:F185"/>
    <mergeCell ref="E191:F191"/>
    <mergeCell ref="E163:F163"/>
    <mergeCell ref="E182:F182"/>
    <mergeCell ref="E169:F169"/>
    <mergeCell ref="E181:F181"/>
    <mergeCell ref="E173:F173"/>
    <mergeCell ref="E102:F102"/>
    <mergeCell ref="E50:F50"/>
    <mergeCell ref="A3:G3"/>
    <mergeCell ref="E21:F21"/>
    <mergeCell ref="E22:F22"/>
    <mergeCell ref="E47:F47"/>
    <mergeCell ref="E90:F90"/>
    <mergeCell ref="E101:F101"/>
    <mergeCell ref="A1:G1"/>
    <mergeCell ref="A2:G2"/>
    <mergeCell ref="B4:D6"/>
    <mergeCell ref="E4:F6"/>
    <mergeCell ref="E66:F66"/>
    <mergeCell ref="B112:D114"/>
    <mergeCell ref="E159:F159"/>
    <mergeCell ref="B156:D158"/>
    <mergeCell ref="E172:F172"/>
    <mergeCell ref="E176:F176"/>
    <mergeCell ref="E168:F168"/>
    <mergeCell ref="E131:F131"/>
    <mergeCell ref="E166:F166"/>
    <mergeCell ref="E165:F165"/>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 bottom="0.35" header="0.17"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90" zoomScaleNormal="90" workbookViewId="0">
      <selection activeCell="E27" sqref="E27"/>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28515625" style="9" customWidth="1"/>
    <col min="10" max="10" width="10.7109375" style="9" customWidth="1"/>
    <col min="11" max="11" width="10.285156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28515625" style="113" customWidth="1"/>
    <col min="19" max="19" width="18.7109375" style="113" customWidth="1"/>
    <col min="20" max="73" width="9.140625" style="113" customWidth="1"/>
    <col min="74" max="79" width="12.710937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87" t="str">
        <f>CONCATENATE("PART SIX - PROJECTED REVENUES &amp; EXPENSES","  -  ",'Part I-Project Information'!$O$4," ",'Part I-Project Information'!$F$22,", ",'Part I-Project Information'!F24,", ",'Part I-Project Information'!J25," County")</f>
        <v>PART SIX - PROJECTED REVENUES &amp; EXPENSES  -  2011-044 Brentwood Place Apartments, Forsyth, Monroe County</v>
      </c>
      <c r="B1" s="888"/>
      <c r="C1" s="888"/>
      <c r="D1" s="888"/>
      <c r="E1" s="888"/>
      <c r="F1" s="888"/>
      <c r="G1" s="888"/>
      <c r="H1" s="888"/>
      <c r="I1" s="888"/>
      <c r="J1" s="888"/>
      <c r="K1" s="888"/>
      <c r="L1" s="888"/>
      <c r="M1" s="888"/>
      <c r="N1" s="888"/>
      <c r="O1" s="888"/>
      <c r="P1" s="889"/>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4"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951</v>
      </c>
      <c r="B3" s="5" t="s">
        <v>3572</v>
      </c>
      <c r="C3" s="2"/>
      <c r="D3" s="167" t="s">
        <v>328</v>
      </c>
      <c r="E3" s="2"/>
      <c r="F3" s="2"/>
      <c r="G3" s="167"/>
      <c r="H3" s="167"/>
      <c r="I3" s="167"/>
      <c r="J3" s="167"/>
      <c r="K3" s="167"/>
      <c r="L3" s="167"/>
      <c r="N3" s="707" t="s">
        <v>887</v>
      </c>
      <c r="O3" s="968" t="str">
        <f>'Part I-Project Information'!$J$26</f>
        <v>Monroe Co.</v>
      </c>
      <c r="P3" s="968"/>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717</v>
      </c>
      <c r="EZ3" s="655" t="s">
        <v>3686</v>
      </c>
      <c r="FA3" s="655" t="s">
        <v>3687</v>
      </c>
      <c r="FB3" s="655" t="s">
        <v>3688</v>
      </c>
      <c r="FC3" s="655" t="s">
        <v>3689</v>
      </c>
      <c r="FD3" s="656"/>
      <c r="FE3" s="656"/>
      <c r="FF3" s="656"/>
      <c r="FG3" s="656"/>
      <c r="FH3" s="656"/>
      <c r="FI3" s="655" t="s">
        <v>717</v>
      </c>
      <c r="FJ3" s="655" t="s">
        <v>3686</v>
      </c>
      <c r="FK3" s="655" t="s">
        <v>3687</v>
      </c>
      <c r="FL3" s="655" t="s">
        <v>3688</v>
      </c>
      <c r="FM3" s="655" t="s">
        <v>3689</v>
      </c>
      <c r="FN3" s="655" t="s">
        <v>717</v>
      </c>
      <c r="FO3" s="655" t="s">
        <v>3686</v>
      </c>
      <c r="FP3" s="655" t="s">
        <v>3687</v>
      </c>
      <c r="FQ3" s="655" t="s">
        <v>3688</v>
      </c>
      <c r="FR3" s="655" t="s">
        <v>3689</v>
      </c>
      <c r="FS3" s="655" t="s">
        <v>717</v>
      </c>
      <c r="FT3" s="655" t="s">
        <v>3686</v>
      </c>
      <c r="FU3" s="655" t="s">
        <v>3687</v>
      </c>
      <c r="FV3" s="655" t="s">
        <v>3688</v>
      </c>
      <c r="FW3" s="655" t="s">
        <v>3689</v>
      </c>
      <c r="FX3" s="655" t="s">
        <v>717</v>
      </c>
      <c r="FY3" s="655" t="s">
        <v>3686</v>
      </c>
      <c r="FZ3" s="655" t="s">
        <v>3687</v>
      </c>
      <c r="GA3" s="655" t="s">
        <v>3688</v>
      </c>
      <c r="GB3" s="655" t="s">
        <v>3689</v>
      </c>
      <c r="GC3" s="655" t="s">
        <v>717</v>
      </c>
      <c r="GD3" s="655" t="s">
        <v>3686</v>
      </c>
      <c r="GE3" s="655" t="s">
        <v>3687</v>
      </c>
      <c r="GF3" s="655" t="s">
        <v>3688</v>
      </c>
      <c r="GG3" s="655" t="s">
        <v>3689</v>
      </c>
      <c r="GH3" s="655" t="s">
        <v>717</v>
      </c>
      <c r="GI3" s="655" t="s">
        <v>3686</v>
      </c>
      <c r="GJ3" s="655" t="s">
        <v>3687</v>
      </c>
      <c r="GK3" s="655" t="s">
        <v>3688</v>
      </c>
      <c r="GL3" s="655" t="s">
        <v>3689</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1514</v>
      </c>
      <c r="U4" s="965" t="s">
        <v>1248</v>
      </c>
      <c r="V4" s="965" t="s">
        <v>1249</v>
      </c>
      <c r="W4" s="965" t="s">
        <v>1250</v>
      </c>
      <c r="X4" s="965" t="s">
        <v>1251</v>
      </c>
      <c r="Y4" s="965" t="s">
        <v>1515</v>
      </c>
      <c r="Z4" s="965" t="s">
        <v>3453</v>
      </c>
      <c r="AA4" s="965" t="s">
        <v>3454</v>
      </c>
      <c r="AB4" s="965" t="s">
        <v>3455</v>
      </c>
      <c r="AC4" s="965" t="s">
        <v>3456</v>
      </c>
      <c r="AD4" s="965" t="s">
        <v>1516</v>
      </c>
      <c r="AE4" s="965" t="s">
        <v>3457</v>
      </c>
      <c r="AF4" s="965" t="s">
        <v>3458</v>
      </c>
      <c r="AG4" s="965" t="s">
        <v>3459</v>
      </c>
      <c r="AH4" s="965" t="s">
        <v>3460</v>
      </c>
      <c r="AI4" s="965" t="s">
        <v>152</v>
      </c>
      <c r="AJ4" s="965" t="s">
        <v>3461</v>
      </c>
      <c r="AK4" s="965" t="s">
        <v>3462</v>
      </c>
      <c r="AL4" s="965" t="s">
        <v>3463</v>
      </c>
      <c r="AM4" s="965" t="s">
        <v>1791</v>
      </c>
      <c r="AN4" s="965" t="s">
        <v>854</v>
      </c>
      <c r="AO4" s="965" t="s">
        <v>855</v>
      </c>
      <c r="AP4" s="965" t="s">
        <v>892</v>
      </c>
      <c r="AQ4" s="965" t="s">
        <v>893</v>
      </c>
      <c r="AR4" s="965" t="s">
        <v>894</v>
      </c>
      <c r="AS4" s="965" t="s">
        <v>895</v>
      </c>
      <c r="AT4" s="965" t="s">
        <v>896</v>
      </c>
      <c r="AU4" s="965" t="s">
        <v>897</v>
      </c>
      <c r="AV4" s="965" t="s">
        <v>898</v>
      </c>
      <c r="AW4" s="965" t="s">
        <v>899</v>
      </c>
      <c r="AX4" s="965" t="s">
        <v>900</v>
      </c>
      <c r="AY4" s="965" t="s">
        <v>901</v>
      </c>
      <c r="AZ4" s="965" t="s">
        <v>1527</v>
      </c>
      <c r="BA4" s="965" t="s">
        <v>1528</v>
      </c>
      <c r="BB4" s="965" t="s">
        <v>1529</v>
      </c>
      <c r="BC4" s="965" t="s">
        <v>737</v>
      </c>
      <c r="BD4" s="965" t="s">
        <v>738</v>
      </c>
      <c r="BE4" s="965" t="s">
        <v>739</v>
      </c>
      <c r="BF4" s="965" t="s">
        <v>740</v>
      </c>
      <c r="BG4" s="965" t="s">
        <v>741</v>
      </c>
      <c r="BH4" s="965" t="s">
        <v>1473</v>
      </c>
      <c r="BI4" s="965" t="s">
        <v>1474</v>
      </c>
      <c r="BJ4" s="965" t="s">
        <v>1475</v>
      </c>
      <c r="BK4" s="965" t="s">
        <v>1476</v>
      </c>
      <c r="BL4" s="965" t="s">
        <v>1477</v>
      </c>
      <c r="BM4" s="965" t="s">
        <v>1478</v>
      </c>
      <c r="BN4" s="965" t="s">
        <v>1479</v>
      </c>
      <c r="BO4" s="965" t="s">
        <v>1480</v>
      </c>
      <c r="BP4" s="965" t="s">
        <v>1481</v>
      </c>
      <c r="BQ4" s="965" t="s">
        <v>1482</v>
      </c>
      <c r="BR4" s="965" t="s">
        <v>3676</v>
      </c>
      <c r="BS4" s="965" t="s">
        <v>3677</v>
      </c>
      <c r="BT4" s="965" t="s">
        <v>3678</v>
      </c>
      <c r="BU4" s="965" t="s">
        <v>3679</v>
      </c>
      <c r="BV4" s="965" t="s">
        <v>3680</v>
      </c>
      <c r="BW4" s="965" t="s">
        <v>132</v>
      </c>
      <c r="BX4" s="965" t="s">
        <v>1794</v>
      </c>
      <c r="BY4" s="965" t="s">
        <v>1795</v>
      </c>
      <c r="BZ4" s="965" t="s">
        <v>1875</v>
      </c>
      <c r="CA4" s="965" t="s">
        <v>1876</v>
      </c>
      <c r="CB4" s="964" t="s">
        <v>155</v>
      </c>
      <c r="CC4" s="964" t="s">
        <v>1877</v>
      </c>
      <c r="CD4" s="964" t="s">
        <v>1878</v>
      </c>
      <c r="CE4" s="964" t="s">
        <v>1879</v>
      </c>
      <c r="CF4" s="964" t="s">
        <v>1880</v>
      </c>
      <c r="CG4" s="964" t="s">
        <v>154</v>
      </c>
      <c r="CH4" s="964" t="s">
        <v>1506</v>
      </c>
      <c r="CI4" s="964" t="s">
        <v>1507</v>
      </c>
      <c r="CJ4" s="964" t="s">
        <v>1508</v>
      </c>
      <c r="CK4" s="964" t="s">
        <v>1509</v>
      </c>
      <c r="CL4" s="964" t="s">
        <v>153</v>
      </c>
      <c r="CM4" s="964" t="s">
        <v>1510</v>
      </c>
      <c r="CN4" s="964" t="s">
        <v>1511</v>
      </c>
      <c r="CO4" s="964" t="s">
        <v>1512</v>
      </c>
      <c r="CP4" s="964" t="s">
        <v>1513</v>
      </c>
      <c r="CQ4" s="964" t="s">
        <v>1392</v>
      </c>
      <c r="CR4" s="964" t="s">
        <v>1393</v>
      </c>
      <c r="CS4" s="964" t="s">
        <v>1394</v>
      </c>
      <c r="CT4" s="964" t="s">
        <v>1395</v>
      </c>
      <c r="CU4" s="964" t="s">
        <v>1396</v>
      </c>
      <c r="CV4" s="964" t="s">
        <v>1557</v>
      </c>
      <c r="CW4" s="964" t="s">
        <v>1558</v>
      </c>
      <c r="CX4" s="964" t="s">
        <v>1559</v>
      </c>
      <c r="CY4" s="964" t="s">
        <v>1560</v>
      </c>
      <c r="CZ4" s="964" t="s">
        <v>3675</v>
      </c>
      <c r="DA4" s="964" t="s">
        <v>2156</v>
      </c>
      <c r="DB4" s="964" t="s">
        <v>2157</v>
      </c>
      <c r="DC4" s="964" t="s">
        <v>2158</v>
      </c>
      <c r="DD4" s="964" t="s">
        <v>2159</v>
      </c>
      <c r="DE4" s="964" t="s">
        <v>2160</v>
      </c>
      <c r="DF4" s="964" t="s">
        <v>646</v>
      </c>
      <c r="DG4" s="964" t="s">
        <v>647</v>
      </c>
      <c r="DH4" s="964" t="s">
        <v>648</v>
      </c>
      <c r="DI4" s="964" t="s">
        <v>649</v>
      </c>
      <c r="DJ4" s="964" t="s">
        <v>650</v>
      </c>
      <c r="DK4" s="964" t="s">
        <v>19</v>
      </c>
      <c r="DL4" s="964" t="s">
        <v>20</v>
      </c>
      <c r="DM4" s="964" t="s">
        <v>21</v>
      </c>
      <c r="DN4" s="964" t="s">
        <v>22</v>
      </c>
      <c r="DO4" s="964" t="s">
        <v>23</v>
      </c>
      <c r="DP4" s="964" t="s">
        <v>285</v>
      </c>
      <c r="DQ4" s="964" t="s">
        <v>286</v>
      </c>
      <c r="DR4" s="964" t="s">
        <v>287</v>
      </c>
      <c r="DS4" s="964" t="s">
        <v>2849</v>
      </c>
      <c r="DT4" s="964" t="s">
        <v>2850</v>
      </c>
      <c r="DU4" s="964" t="s">
        <v>2851</v>
      </c>
      <c r="DV4" s="964" t="s">
        <v>910</v>
      </c>
      <c r="DW4" s="964" t="s">
        <v>911</v>
      </c>
      <c r="DX4" s="964" t="s">
        <v>912</v>
      </c>
      <c r="DY4" s="964" t="s">
        <v>913</v>
      </c>
      <c r="DZ4" s="964" t="s">
        <v>24</v>
      </c>
      <c r="EA4" s="964" t="s">
        <v>25</v>
      </c>
      <c r="EB4" s="964" t="s">
        <v>26</v>
      </c>
      <c r="EC4" s="964" t="s">
        <v>27</v>
      </c>
      <c r="ED4" s="964" t="s">
        <v>28</v>
      </c>
      <c r="EE4" s="964" t="s">
        <v>734</v>
      </c>
      <c r="EF4" s="964" t="s">
        <v>642</v>
      </c>
      <c r="EG4" s="964" t="s">
        <v>643</v>
      </c>
      <c r="EH4" s="964" t="s">
        <v>644</v>
      </c>
      <c r="EI4" s="964" t="s">
        <v>645</v>
      </c>
      <c r="EJ4" s="964" t="s">
        <v>3322</v>
      </c>
      <c r="EK4" s="964" t="s">
        <v>3323</v>
      </c>
      <c r="EL4" s="964" t="s">
        <v>3324</v>
      </c>
      <c r="EM4" s="964" t="s">
        <v>2214</v>
      </c>
      <c r="EN4" s="964" t="s">
        <v>2215</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2529</v>
      </c>
      <c r="GN4" s="964" t="s">
        <v>3811</v>
      </c>
      <c r="GO4" s="964" t="s">
        <v>3812</v>
      </c>
      <c r="GP4" s="964" t="s">
        <v>491</v>
      </c>
      <c r="GQ4" s="964" t="s">
        <v>492</v>
      </c>
      <c r="GR4" s="964" t="s">
        <v>493</v>
      </c>
      <c r="GS4" s="964" t="s">
        <v>494</v>
      </c>
      <c r="GT4" s="964" t="s">
        <v>495</v>
      </c>
      <c r="GU4" s="964" t="s">
        <v>496</v>
      </c>
      <c r="GV4" s="964" t="s">
        <v>497</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15" customHeight="1">
      <c r="B5" s="5" t="s">
        <v>2899</v>
      </c>
      <c r="D5" s="2"/>
      <c r="E5" s="5"/>
      <c r="F5" s="2"/>
      <c r="G5" s="1302" t="s">
        <v>3940</v>
      </c>
      <c r="O5" s="2"/>
      <c r="P5" s="657" t="s">
        <v>1659</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2840</v>
      </c>
      <c r="D6" s="2"/>
      <c r="E6" s="5"/>
      <c r="G6" s="1303" t="s">
        <v>3923</v>
      </c>
      <c r="J6" s="740" t="s">
        <v>3646</v>
      </c>
      <c r="O6" s="2"/>
      <c r="P6" s="658">
        <f>VLOOKUP('Part I-Project Information'!$J$26,'DCA Underwriting Assumptions'!$C$77:$D$187,2)</f>
        <v>38900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67" t="str">
        <f>IF(A48&gt;0,"Finish!","")</f>
        <v/>
      </c>
      <c r="B7" s="5"/>
      <c r="C7" s="2"/>
      <c r="D7" s="5"/>
      <c r="E7" s="2"/>
      <c r="F7" s="2"/>
      <c r="G7" s="2"/>
      <c r="H7" s="2"/>
      <c r="I7" s="2"/>
      <c r="J7" s="3" t="s">
        <v>3647</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67"/>
      <c r="B8" s="220" t="s">
        <v>2213</v>
      </c>
      <c r="C8" s="740" t="s">
        <v>228</v>
      </c>
      <c r="D8" s="740" t="s">
        <v>840</v>
      </c>
      <c r="E8" s="740" t="s">
        <v>2211</v>
      </c>
      <c r="F8" s="740" t="s">
        <v>2211</v>
      </c>
      <c r="G8" s="740" t="s">
        <v>3618</v>
      </c>
      <c r="H8" s="740" t="s">
        <v>3616</v>
      </c>
      <c r="I8" s="740" t="s">
        <v>1381</v>
      </c>
      <c r="J8" s="740" t="s">
        <v>3648</v>
      </c>
      <c r="K8" s="966" t="s">
        <v>186</v>
      </c>
      <c r="L8" s="966"/>
      <c r="M8" s="740" t="s">
        <v>3573</v>
      </c>
      <c r="N8" s="740" t="s">
        <v>826</v>
      </c>
      <c r="O8" s="740" t="s">
        <v>488</v>
      </c>
      <c r="P8" s="969" t="s">
        <v>1666</v>
      </c>
      <c r="Q8" s="969"/>
      <c r="R8" s="741"/>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2188</v>
      </c>
      <c r="EU8" s="445" t="s">
        <v>3686</v>
      </c>
      <c r="EV8" s="445" t="s">
        <v>3687</v>
      </c>
      <c r="EW8" s="445" t="s">
        <v>3688</v>
      </c>
      <c r="EX8" s="445" t="s">
        <v>3689</v>
      </c>
      <c r="EY8" s="964" t="s">
        <v>3776</v>
      </c>
      <c r="EZ8" s="964" t="s">
        <v>3776</v>
      </c>
      <c r="FA8" s="964" t="s">
        <v>3776</v>
      </c>
      <c r="FB8" s="964" t="s">
        <v>3776</v>
      </c>
      <c r="FC8" s="964" t="s">
        <v>3776</v>
      </c>
      <c r="FD8" s="445" t="s">
        <v>717</v>
      </c>
      <c r="FE8" s="445" t="s">
        <v>3686</v>
      </c>
      <c r="FF8" s="445" t="s">
        <v>3687</v>
      </c>
      <c r="FG8" s="445" t="s">
        <v>3688</v>
      </c>
      <c r="FH8" s="445" t="s">
        <v>3689</v>
      </c>
      <c r="FI8" s="964" t="s">
        <v>3778</v>
      </c>
      <c r="FJ8" s="964" t="s">
        <v>3778</v>
      </c>
      <c r="FK8" s="964" t="s">
        <v>3778</v>
      </c>
      <c r="FL8" s="964" t="s">
        <v>3778</v>
      </c>
      <c r="FM8" s="964" t="s">
        <v>3778</v>
      </c>
      <c r="FN8" s="964" t="s">
        <v>460</v>
      </c>
      <c r="FO8" s="964" t="s">
        <v>460</v>
      </c>
      <c r="FP8" s="964" t="s">
        <v>460</v>
      </c>
      <c r="FQ8" s="964" t="s">
        <v>460</v>
      </c>
      <c r="FR8" s="964" t="s">
        <v>460</v>
      </c>
      <c r="FS8" s="964" t="s">
        <v>461</v>
      </c>
      <c r="FT8" s="964" t="s">
        <v>461</v>
      </c>
      <c r="FU8" s="964" t="s">
        <v>461</v>
      </c>
      <c r="FV8" s="964" t="s">
        <v>461</v>
      </c>
      <c r="FW8" s="964" t="s">
        <v>461</v>
      </c>
      <c r="FX8" s="964" t="s">
        <v>462</v>
      </c>
      <c r="FY8" s="964" t="s">
        <v>462</v>
      </c>
      <c r="FZ8" s="964" t="s">
        <v>462</v>
      </c>
      <c r="GA8" s="964" t="s">
        <v>462</v>
      </c>
      <c r="GB8" s="964" t="s">
        <v>462</v>
      </c>
      <c r="GC8" s="964" t="s">
        <v>463</v>
      </c>
      <c r="GD8" s="964" t="s">
        <v>463</v>
      </c>
      <c r="GE8" s="964" t="s">
        <v>463</v>
      </c>
      <c r="GF8" s="964" t="s">
        <v>463</v>
      </c>
      <c r="GG8" s="964" t="s">
        <v>463</v>
      </c>
      <c r="GH8" s="964" t="s">
        <v>2187</v>
      </c>
      <c r="GI8" s="964" t="s">
        <v>2187</v>
      </c>
      <c r="GJ8" s="964" t="s">
        <v>2187</v>
      </c>
      <c r="GK8" s="964" t="s">
        <v>2187</v>
      </c>
      <c r="GL8" s="964" t="s">
        <v>2187</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67"/>
      <c r="B9" s="220" t="s">
        <v>1997</v>
      </c>
      <c r="C9" s="740" t="s">
        <v>227</v>
      </c>
      <c r="D9" s="740" t="s">
        <v>229</v>
      </c>
      <c r="E9" s="740" t="s">
        <v>2212</v>
      </c>
      <c r="F9" s="740" t="s">
        <v>1964</v>
      </c>
      <c r="G9" s="740" t="s">
        <v>1965</v>
      </c>
      <c r="H9" s="740" t="s">
        <v>3617</v>
      </c>
      <c r="I9" s="740" t="s">
        <v>1382</v>
      </c>
      <c r="J9" s="684" t="s">
        <v>451</v>
      </c>
      <c r="K9" s="740" t="s">
        <v>2282</v>
      </c>
      <c r="L9" s="740" t="s">
        <v>833</v>
      </c>
      <c r="M9" s="740" t="s">
        <v>2211</v>
      </c>
      <c r="N9" s="740" t="s">
        <v>1997</v>
      </c>
      <c r="O9" s="740" t="s">
        <v>489</v>
      </c>
      <c r="P9" s="741" t="s">
        <v>1664</v>
      </c>
      <c r="Q9" s="741" t="s">
        <v>1665</v>
      </c>
      <c r="R9" s="741"/>
      <c r="S9" s="741" t="s">
        <v>657</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3775</v>
      </c>
      <c r="EV9" s="445" t="s">
        <v>3775</v>
      </c>
      <c r="EW9" s="445" t="s">
        <v>3775</v>
      </c>
      <c r="EX9" s="445" t="s">
        <v>3775</v>
      </c>
      <c r="EY9" s="964"/>
      <c r="EZ9" s="964"/>
      <c r="FA9" s="964"/>
      <c r="FB9" s="964"/>
      <c r="FC9" s="964"/>
      <c r="FD9" s="445" t="s">
        <v>3777</v>
      </c>
      <c r="FE9" s="445" t="s">
        <v>3777</v>
      </c>
      <c r="FF9" s="445" t="s">
        <v>3777</v>
      </c>
      <c r="FG9" s="445" t="s">
        <v>3777</v>
      </c>
      <c r="FH9" s="445" t="s">
        <v>3777</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4" t="s">
        <v>133</v>
      </c>
      <c r="C10" s="1305">
        <v>1</v>
      </c>
      <c r="D10" s="1306">
        <v>1</v>
      </c>
      <c r="E10" s="1307">
        <v>1</v>
      </c>
      <c r="F10" s="1307">
        <v>750</v>
      </c>
      <c r="G10" s="1307">
        <v>596</v>
      </c>
      <c r="H10" s="1307">
        <v>542</v>
      </c>
      <c r="I10" s="1307">
        <v>102</v>
      </c>
      <c r="J10" s="1308"/>
      <c r="K10" s="226">
        <f>MAX(0,H10-I10)</f>
        <v>440</v>
      </c>
      <c r="L10" s="226">
        <f t="shared" ref="L10:L47" si="0">MAX(0,E10*K10)</f>
        <v>440</v>
      </c>
      <c r="M10" s="1309" t="s">
        <v>3923</v>
      </c>
      <c r="N10" s="1309" t="s">
        <v>4018</v>
      </c>
      <c r="O10" s="1309" t="s">
        <v>3436</v>
      </c>
      <c r="P10" s="581">
        <f>IF(H10="","",H10*12/0.3)</f>
        <v>21680</v>
      </c>
      <c r="Q10" s="582">
        <f>IF(H10="","",P10/($P$6*VLOOKUP(C10,'DCA Underwriting Assumptions'!$J$77:$K$82,2,FALSE)))</f>
        <v>0.74310197086546703</v>
      </c>
      <c r="R10" s="741"/>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1</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750</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1</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1</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f t="shared" ref="FT10:FT47" si="127">IF(AND($C10=1, $N10="1-Story"),$E10,"")</f>
        <v>1</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0" t="s">
        <v>133</v>
      </c>
      <c r="C11" s="1311">
        <v>1</v>
      </c>
      <c r="D11" s="1312">
        <v>1</v>
      </c>
      <c r="E11" s="1313">
        <v>1</v>
      </c>
      <c r="F11" s="1313">
        <v>750</v>
      </c>
      <c r="G11" s="1313">
        <v>596</v>
      </c>
      <c r="H11" s="1313">
        <v>542</v>
      </c>
      <c r="I11" s="1313">
        <v>102</v>
      </c>
      <c r="J11" s="1314"/>
      <c r="K11" s="227">
        <f t="shared" ref="K11:K27" si="172">MAX(0,H11-I11)</f>
        <v>440</v>
      </c>
      <c r="L11" s="227">
        <f t="shared" si="0"/>
        <v>440</v>
      </c>
      <c r="M11" s="1315" t="s">
        <v>3923</v>
      </c>
      <c r="N11" s="1315" t="s">
        <v>3939</v>
      </c>
      <c r="O11" s="1315" t="s">
        <v>3436</v>
      </c>
      <c r="P11" s="581">
        <f>IF(H11="","",H11*12/0.3)</f>
        <v>21680</v>
      </c>
      <c r="Q11" s="582">
        <f>IF(H11="","",P11/($P$6*VLOOKUP(C11,'DCA Underwriting Assumptions'!$J$77:$K$82,2,FALSE)))</f>
        <v>0.74310197086546703</v>
      </c>
      <c r="R11" s="741"/>
      <c r="S11" s="659"/>
      <c r="T11" s="113" t="str">
        <f t="shared" si="1"/>
        <v/>
      </c>
      <c r="U11" s="113" t="str">
        <f t="shared" si="2"/>
        <v/>
      </c>
      <c r="V11" s="113" t="str">
        <f t="shared" si="3"/>
        <v/>
      </c>
      <c r="W11" s="113" t="str">
        <f t="shared" si="4"/>
        <v/>
      </c>
      <c r="X11" s="113" t="str">
        <f t="shared" si="5"/>
        <v/>
      </c>
      <c r="Y11" s="113" t="str">
        <f t="shared" si="6"/>
        <v/>
      </c>
      <c r="Z11" s="113">
        <f t="shared" si="7"/>
        <v>1</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f t="shared" si="32"/>
        <v>750</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f t="shared" si="57"/>
        <v>1</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f t="shared" si="102"/>
        <v>1</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f t="shared" si="142"/>
        <v>1</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0" t="s">
        <v>133</v>
      </c>
      <c r="C12" s="1311">
        <v>2</v>
      </c>
      <c r="D12" s="1312">
        <v>2</v>
      </c>
      <c r="E12" s="1313">
        <v>1</v>
      </c>
      <c r="F12" s="1313">
        <v>950</v>
      </c>
      <c r="G12" s="1313">
        <v>716</v>
      </c>
      <c r="H12" s="1313">
        <v>601</v>
      </c>
      <c r="I12" s="1313">
        <v>131</v>
      </c>
      <c r="J12" s="1314"/>
      <c r="K12" s="227">
        <f t="shared" si="172"/>
        <v>470</v>
      </c>
      <c r="L12" s="227">
        <f t="shared" si="0"/>
        <v>470</v>
      </c>
      <c r="M12" s="1315" t="s">
        <v>3923</v>
      </c>
      <c r="N12" s="1315" t="s">
        <v>4018</v>
      </c>
      <c r="O12" s="1315" t="s">
        <v>3436</v>
      </c>
      <c r="P12" s="581">
        <f>IF(H12="","",H12*12/0.3)</f>
        <v>24040</v>
      </c>
      <c r="Q12" s="582">
        <f>IF(H12="","",P12/($P$6*VLOOKUP(C12,'DCA Underwriting Assumptions'!$J$77:$K$82,2,FALSE)))</f>
        <v>0.68666095401313909</v>
      </c>
      <c r="R12" s="741"/>
      <c r="S12" s="659"/>
      <c r="T12" s="113" t="str">
        <f t="shared" si="1"/>
        <v/>
      </c>
      <c r="U12" s="113" t="str">
        <f t="shared" si="2"/>
        <v/>
      </c>
      <c r="V12" s="113" t="str">
        <f t="shared" si="3"/>
        <v/>
      </c>
      <c r="W12" s="113" t="str">
        <f t="shared" si="4"/>
        <v/>
      </c>
      <c r="X12" s="113" t="str">
        <f t="shared" si="5"/>
        <v/>
      </c>
      <c r="Y12" s="113" t="str">
        <f t="shared" si="6"/>
        <v/>
      </c>
      <c r="Z12" s="113" t="str">
        <f t="shared" si="7"/>
        <v/>
      </c>
      <c r="AA12" s="113">
        <f t="shared" si="8"/>
        <v>1</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f t="shared" si="33"/>
        <v>950</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f t="shared" si="58"/>
        <v>1</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f t="shared" si="103"/>
        <v>1</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f t="shared" si="128"/>
        <v>1</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0" t="s">
        <v>133</v>
      </c>
      <c r="C13" s="1311">
        <v>2</v>
      </c>
      <c r="D13" s="1312">
        <v>2</v>
      </c>
      <c r="E13" s="1313">
        <v>9</v>
      </c>
      <c r="F13" s="1313">
        <v>950</v>
      </c>
      <c r="G13" s="1313">
        <v>716</v>
      </c>
      <c r="H13" s="1313">
        <v>601</v>
      </c>
      <c r="I13" s="1313">
        <v>131</v>
      </c>
      <c r="J13" s="1314"/>
      <c r="K13" s="227">
        <f t="shared" si="172"/>
        <v>470</v>
      </c>
      <c r="L13" s="227">
        <f t="shared" si="0"/>
        <v>4230</v>
      </c>
      <c r="M13" s="1315" t="s">
        <v>3923</v>
      </c>
      <c r="N13" s="1315" t="s">
        <v>3939</v>
      </c>
      <c r="O13" s="1315" t="s">
        <v>3436</v>
      </c>
      <c r="P13" s="581">
        <f>IF(H13="","",H13*12/0.3)</f>
        <v>24040</v>
      </c>
      <c r="Q13" s="582">
        <f>IF(H13="","",P13/($P$6*VLOOKUP(C13,'DCA Underwriting Assumptions'!$J$77:$K$82,2,FALSE)))</f>
        <v>0.68666095401313909</v>
      </c>
      <c r="R13" s="741"/>
      <c r="S13" s="659"/>
      <c r="T13" s="113" t="str">
        <f t="shared" si="1"/>
        <v/>
      </c>
      <c r="U13" s="113" t="str">
        <f t="shared" si="2"/>
        <v/>
      </c>
      <c r="V13" s="113" t="str">
        <f t="shared" si="3"/>
        <v/>
      </c>
      <c r="W13" s="113" t="str">
        <f t="shared" si="4"/>
        <v/>
      </c>
      <c r="X13" s="113" t="str">
        <f t="shared" si="5"/>
        <v/>
      </c>
      <c r="Y13" s="113" t="str">
        <f t="shared" si="6"/>
        <v/>
      </c>
      <c r="Z13" s="113" t="str">
        <f t="shared" si="7"/>
        <v/>
      </c>
      <c r="AA13" s="113">
        <f t="shared" si="8"/>
        <v>9</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t="str">
        <f t="shared" si="28"/>
        <v/>
      </c>
      <c r="BZ13" s="113" t="str">
        <f t="shared" si="29"/>
        <v/>
      </c>
      <c r="CA13" s="113" t="str">
        <f t="shared" si="30"/>
        <v/>
      </c>
      <c r="CB13" s="113" t="str">
        <f t="shared" si="31"/>
        <v/>
      </c>
      <c r="CC13" s="113" t="str">
        <f t="shared" si="32"/>
        <v/>
      </c>
      <c r="CD13" s="113">
        <f t="shared" si="33"/>
        <v>8550</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f t="shared" si="58"/>
        <v>9</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9</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f t="shared" si="143"/>
        <v>9</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0" t="s">
        <v>133</v>
      </c>
      <c r="C14" s="1311">
        <v>3</v>
      </c>
      <c r="D14" s="1312">
        <v>2</v>
      </c>
      <c r="E14" s="1313">
        <v>4</v>
      </c>
      <c r="F14" s="1313">
        <v>1100</v>
      </c>
      <c r="G14" s="1313">
        <v>826</v>
      </c>
      <c r="H14" s="1313">
        <v>721</v>
      </c>
      <c r="I14" s="1313">
        <v>161</v>
      </c>
      <c r="J14" s="1314"/>
      <c r="K14" s="227">
        <f t="shared" si="172"/>
        <v>560</v>
      </c>
      <c r="L14" s="227">
        <f t="shared" si="0"/>
        <v>2240</v>
      </c>
      <c r="M14" s="1315" t="s">
        <v>3923</v>
      </c>
      <c r="N14" s="1315" t="s">
        <v>3939</v>
      </c>
      <c r="O14" s="1315" t="s">
        <v>3436</v>
      </c>
      <c r="P14" s="581">
        <f>IF(H14="","",H14*12/0.3)</f>
        <v>28840</v>
      </c>
      <c r="Q14" s="582">
        <f>IF(H14="","",P14/($P$6*VLOOKUP(C14,'DCA Underwriting Assumptions'!$J$77:$K$82,2,FALSE)))</f>
        <v>0.71287324500692106</v>
      </c>
      <c r="R14" s="741"/>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f t="shared" si="9"/>
        <v>4</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f t="shared" si="34"/>
        <v>4400</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f t="shared" si="59"/>
        <v>4</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f t="shared" si="104"/>
        <v>4</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f t="shared" si="144"/>
        <v>4</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0" t="s">
        <v>1792</v>
      </c>
      <c r="C15" s="1311">
        <v>1</v>
      </c>
      <c r="D15" s="1312">
        <v>1</v>
      </c>
      <c r="E15" s="1313">
        <v>1</v>
      </c>
      <c r="F15" s="1313">
        <v>750</v>
      </c>
      <c r="G15" s="1313">
        <v>716</v>
      </c>
      <c r="H15" s="1313">
        <v>542</v>
      </c>
      <c r="I15" s="1313">
        <v>102</v>
      </c>
      <c r="J15" s="1314"/>
      <c r="K15" s="227">
        <f t="shared" si="172"/>
        <v>440</v>
      </c>
      <c r="L15" s="227">
        <f t="shared" si="0"/>
        <v>440</v>
      </c>
      <c r="M15" s="1315" t="s">
        <v>3923</v>
      </c>
      <c r="N15" s="1315" t="s">
        <v>4018</v>
      </c>
      <c r="O15" s="1315" t="s">
        <v>3436</v>
      </c>
      <c r="P15" s="581">
        <f t="shared" ref="P15:P47" si="203">IF(H15="","",H15*12/0.3)</f>
        <v>21680</v>
      </c>
      <c r="Q15" s="582">
        <f>IF(H15="","",P15/($P$6*VLOOKUP(C15,'DCA Underwriting Assumptions'!$J$77:$K$82,2,FALSE)))</f>
        <v>0.74310197086546703</v>
      </c>
      <c r="R15" s="741"/>
      <c r="S15" s="659"/>
      <c r="T15" s="113" t="str">
        <f t="shared" si="1"/>
        <v/>
      </c>
      <c r="U15" s="113">
        <f t="shared" si="2"/>
        <v>1</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f t="shared" si="27"/>
        <v>750</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f t="shared" si="57"/>
        <v>1</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f t="shared" si="102"/>
        <v>1</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f t="shared" si="127"/>
        <v>1</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0" t="s">
        <v>1792</v>
      </c>
      <c r="C16" s="1311">
        <v>1</v>
      </c>
      <c r="D16" s="1312">
        <v>1</v>
      </c>
      <c r="E16" s="1313">
        <v>6</v>
      </c>
      <c r="F16" s="1313">
        <v>750</v>
      </c>
      <c r="G16" s="1313">
        <v>716</v>
      </c>
      <c r="H16" s="1313">
        <v>542</v>
      </c>
      <c r="I16" s="1313">
        <v>102</v>
      </c>
      <c r="J16" s="1314"/>
      <c r="K16" s="227">
        <f t="shared" si="172"/>
        <v>440</v>
      </c>
      <c r="L16" s="227">
        <f t="shared" si="0"/>
        <v>2640</v>
      </c>
      <c r="M16" s="1315" t="s">
        <v>3923</v>
      </c>
      <c r="N16" s="1315" t="s">
        <v>3939</v>
      </c>
      <c r="O16" s="1315" t="s">
        <v>3436</v>
      </c>
      <c r="P16" s="581">
        <f t="shared" si="203"/>
        <v>21680</v>
      </c>
      <c r="Q16" s="582">
        <f>IF(H16="","",P16/($P$6*VLOOKUP(C16,'DCA Underwriting Assumptions'!$J$77:$K$82,2,FALSE)))</f>
        <v>0.74310197086546703</v>
      </c>
      <c r="R16" s="741"/>
      <c r="S16" s="659"/>
      <c r="T16" s="113" t="str">
        <f t="shared" si="1"/>
        <v/>
      </c>
      <c r="U16" s="113">
        <f t="shared" si="2"/>
        <v>6</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f t="shared" si="27"/>
        <v>4500</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f t="shared" si="57"/>
        <v>6</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f t="shared" si="102"/>
        <v>6</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f t="shared" si="142"/>
        <v>6</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0" t="s">
        <v>1792</v>
      </c>
      <c r="C17" s="1311">
        <v>2</v>
      </c>
      <c r="D17" s="1312">
        <v>2</v>
      </c>
      <c r="E17" s="1313">
        <v>1</v>
      </c>
      <c r="F17" s="1313">
        <v>950</v>
      </c>
      <c r="G17" s="1313">
        <v>859</v>
      </c>
      <c r="H17" s="1313">
        <v>601</v>
      </c>
      <c r="I17" s="1313">
        <v>131</v>
      </c>
      <c r="J17" s="1314"/>
      <c r="K17" s="227">
        <f t="shared" si="172"/>
        <v>470</v>
      </c>
      <c r="L17" s="227">
        <f t="shared" si="0"/>
        <v>470</v>
      </c>
      <c r="M17" s="1315" t="s">
        <v>3923</v>
      </c>
      <c r="N17" s="1315" t="s">
        <v>4018</v>
      </c>
      <c r="O17" s="1315" t="s">
        <v>3436</v>
      </c>
      <c r="P17" s="581">
        <f t="shared" si="203"/>
        <v>24040</v>
      </c>
      <c r="Q17" s="582">
        <f>IF(H17="","",P17/($P$6*VLOOKUP(C17,'DCA Underwriting Assumptions'!$J$77:$K$82,2,FALSE)))</f>
        <v>0.68666095401313909</v>
      </c>
      <c r="R17" s="741"/>
      <c r="S17" s="659"/>
      <c r="T17" s="113" t="str">
        <f t="shared" si="1"/>
        <v/>
      </c>
      <c r="U17" s="113" t="str">
        <f t="shared" si="2"/>
        <v/>
      </c>
      <c r="V17" s="113">
        <f t="shared" si="3"/>
        <v>1</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f t="shared" si="28"/>
        <v>950</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f t="shared" si="58"/>
        <v>1</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f t="shared" si="103"/>
        <v>1</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f t="shared" si="128"/>
        <v>1</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0" t="s">
        <v>1792</v>
      </c>
      <c r="C18" s="1311">
        <v>2</v>
      </c>
      <c r="D18" s="1312">
        <v>2</v>
      </c>
      <c r="E18" s="1313">
        <v>39</v>
      </c>
      <c r="F18" s="1313">
        <v>950</v>
      </c>
      <c r="G18" s="1313">
        <v>859</v>
      </c>
      <c r="H18" s="1313">
        <v>601</v>
      </c>
      <c r="I18" s="1313">
        <v>131</v>
      </c>
      <c r="J18" s="1314"/>
      <c r="K18" s="227">
        <f t="shared" si="172"/>
        <v>470</v>
      </c>
      <c r="L18" s="227">
        <f t="shared" si="0"/>
        <v>18330</v>
      </c>
      <c r="M18" s="1315" t="s">
        <v>3923</v>
      </c>
      <c r="N18" s="1315" t="s">
        <v>3939</v>
      </c>
      <c r="O18" s="1315" t="s">
        <v>3436</v>
      </c>
      <c r="P18" s="581">
        <f t="shared" si="203"/>
        <v>24040</v>
      </c>
      <c r="Q18" s="582">
        <f>IF(H18="","",P18/($P$6*VLOOKUP(C18,'DCA Underwriting Assumptions'!$J$77:$K$82,2,FALSE)))</f>
        <v>0.68666095401313909</v>
      </c>
      <c r="R18" s="741"/>
      <c r="S18" s="659"/>
      <c r="T18" s="113" t="str">
        <f t="shared" si="1"/>
        <v/>
      </c>
      <c r="U18" s="113" t="str">
        <f t="shared" si="2"/>
        <v/>
      </c>
      <c r="V18" s="113">
        <f t="shared" si="3"/>
        <v>39</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f t="shared" si="28"/>
        <v>37050</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f t="shared" si="58"/>
        <v>39</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f t="shared" si="103"/>
        <v>39</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f t="shared" si="143"/>
        <v>39</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0" t="s">
        <v>1792</v>
      </c>
      <c r="C19" s="1311">
        <v>3</v>
      </c>
      <c r="D19" s="1312">
        <v>2</v>
      </c>
      <c r="E19" s="1313">
        <v>2</v>
      </c>
      <c r="F19" s="1313">
        <v>1100</v>
      </c>
      <c r="G19" s="1313">
        <v>992</v>
      </c>
      <c r="H19" s="1313">
        <v>721</v>
      </c>
      <c r="I19" s="1313">
        <v>161</v>
      </c>
      <c r="J19" s="1314"/>
      <c r="K19" s="227">
        <f t="shared" si="172"/>
        <v>560</v>
      </c>
      <c r="L19" s="227">
        <f t="shared" si="0"/>
        <v>1120</v>
      </c>
      <c r="M19" s="1315" t="s">
        <v>3923</v>
      </c>
      <c r="N19" s="1315" t="s">
        <v>4018</v>
      </c>
      <c r="O19" s="1315" t="s">
        <v>3436</v>
      </c>
      <c r="P19" s="581">
        <f t="shared" si="203"/>
        <v>28840</v>
      </c>
      <c r="Q19" s="582">
        <f>IF(H19="","",P19/($P$6*VLOOKUP(C19,'DCA Underwriting Assumptions'!$J$77:$K$82,2,FALSE)))</f>
        <v>0.71287324500692106</v>
      </c>
      <c r="R19" s="741"/>
      <c r="S19" s="659"/>
      <c r="T19" s="113" t="str">
        <f t="shared" si="1"/>
        <v/>
      </c>
      <c r="U19" s="113" t="str">
        <f t="shared" si="2"/>
        <v/>
      </c>
      <c r="V19" s="113" t="str">
        <f t="shared" si="3"/>
        <v/>
      </c>
      <c r="W19" s="113">
        <f t="shared" si="4"/>
        <v>2</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f t="shared" si="29"/>
        <v>2200</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f t="shared" si="59"/>
        <v>2</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f t="shared" si="104"/>
        <v>2</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f t="shared" si="129"/>
        <v>2</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0" t="s">
        <v>1792</v>
      </c>
      <c r="C20" s="1311">
        <v>3</v>
      </c>
      <c r="D20" s="1312">
        <v>2</v>
      </c>
      <c r="E20" s="1313">
        <v>14</v>
      </c>
      <c r="F20" s="1313">
        <v>1100</v>
      </c>
      <c r="G20" s="1313">
        <v>992</v>
      </c>
      <c r="H20" s="1313">
        <v>721</v>
      </c>
      <c r="I20" s="1313">
        <v>161</v>
      </c>
      <c r="J20" s="1314"/>
      <c r="K20" s="227">
        <f t="shared" si="172"/>
        <v>560</v>
      </c>
      <c r="L20" s="227">
        <f t="shared" si="0"/>
        <v>7840</v>
      </c>
      <c r="M20" s="1315" t="s">
        <v>3923</v>
      </c>
      <c r="N20" s="1315" t="s">
        <v>3939</v>
      </c>
      <c r="O20" s="1315" t="s">
        <v>3436</v>
      </c>
      <c r="P20" s="581">
        <f t="shared" si="203"/>
        <v>28840</v>
      </c>
      <c r="Q20" s="582">
        <f>IF(H20="","",P20/($P$6*VLOOKUP(C20,'DCA Underwriting Assumptions'!$J$77:$K$82,2,FALSE)))</f>
        <v>0.71287324500692106</v>
      </c>
      <c r="R20" s="741"/>
      <c r="S20" s="659"/>
      <c r="T20" s="113" t="str">
        <f t="shared" si="1"/>
        <v/>
      </c>
      <c r="U20" s="113" t="str">
        <f t="shared" si="2"/>
        <v/>
      </c>
      <c r="V20" s="113" t="str">
        <f t="shared" si="3"/>
        <v/>
      </c>
      <c r="W20" s="113">
        <f t="shared" si="4"/>
        <v>14</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f t="shared" si="29"/>
        <v>15400</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f t="shared" si="59"/>
        <v>14</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f t="shared" si="104"/>
        <v>14</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f t="shared" si="144"/>
        <v>14</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0"/>
      <c r="C21" s="1311"/>
      <c r="D21" s="1312"/>
      <c r="E21" s="1313"/>
      <c r="F21" s="1313"/>
      <c r="G21" s="1313"/>
      <c r="H21" s="1313"/>
      <c r="I21" s="1313"/>
      <c r="J21" s="1314"/>
      <c r="K21" s="227">
        <f t="shared" si="172"/>
        <v>0</v>
      </c>
      <c r="L21" s="227">
        <f t="shared" si="0"/>
        <v>0</v>
      </c>
      <c r="M21" s="1315"/>
      <c r="N21" s="1315"/>
      <c r="O21" s="1315"/>
      <c r="P21" s="581" t="str">
        <f t="shared" si="203"/>
        <v/>
      </c>
      <c r="Q21" s="582" t="str">
        <f>IF(H21="","",P21/($P$6*VLOOKUP(C21,'DCA Underwriting Assumptions'!$J$77:$K$82,2,FALSE)))</f>
        <v/>
      </c>
      <c r="R21" s="741"/>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0"/>
      <c r="C22" s="1311"/>
      <c r="D22" s="1312"/>
      <c r="E22" s="1313"/>
      <c r="F22" s="1313"/>
      <c r="G22" s="1313"/>
      <c r="H22" s="1313"/>
      <c r="I22" s="1313"/>
      <c r="J22" s="1314"/>
      <c r="K22" s="227">
        <f t="shared" si="172"/>
        <v>0</v>
      </c>
      <c r="L22" s="227">
        <f t="shared" si="0"/>
        <v>0</v>
      </c>
      <c r="M22" s="1315"/>
      <c r="N22" s="1315"/>
      <c r="O22" s="1315"/>
      <c r="P22" s="581" t="str">
        <f t="shared" si="203"/>
        <v/>
      </c>
      <c r="Q22" s="582" t="str">
        <f>IF(H22="","",P22/($P$6*VLOOKUP(C22,'DCA Underwriting Assumptions'!$J$77:$K$82,2,FALSE)))</f>
        <v/>
      </c>
      <c r="R22" s="741"/>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0"/>
      <c r="C23" s="1311"/>
      <c r="D23" s="1312"/>
      <c r="E23" s="1313"/>
      <c r="F23" s="1313"/>
      <c r="G23" s="1313"/>
      <c r="H23" s="1313"/>
      <c r="I23" s="1313"/>
      <c r="J23" s="1314"/>
      <c r="K23" s="227">
        <f t="shared" si="172"/>
        <v>0</v>
      </c>
      <c r="L23" s="227">
        <f t="shared" si="0"/>
        <v>0</v>
      </c>
      <c r="M23" s="1315"/>
      <c r="N23" s="1315"/>
      <c r="O23" s="1315"/>
      <c r="P23" s="581" t="str">
        <f t="shared" si="203"/>
        <v/>
      </c>
      <c r="Q23" s="582" t="str">
        <f>IF(H23="","",P23/($P$6*VLOOKUP(C23,'DCA Underwriting Assumptions'!$J$77:$K$82,2,FALSE)))</f>
        <v/>
      </c>
      <c r="R23" s="741"/>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0"/>
      <c r="C24" s="1311"/>
      <c r="D24" s="1312"/>
      <c r="E24" s="1313"/>
      <c r="F24" s="1313"/>
      <c r="G24" s="1313"/>
      <c r="H24" s="1313"/>
      <c r="I24" s="1313"/>
      <c r="J24" s="1314"/>
      <c r="K24" s="227">
        <f t="shared" si="172"/>
        <v>0</v>
      </c>
      <c r="L24" s="227">
        <f t="shared" si="0"/>
        <v>0</v>
      </c>
      <c r="M24" s="1315"/>
      <c r="N24" s="1315"/>
      <c r="O24" s="1315"/>
      <c r="P24" s="581" t="str">
        <f t="shared" si="203"/>
        <v/>
      </c>
      <c r="Q24" s="582" t="str">
        <f>IF(H24="","",P24/($P$6*VLOOKUP(C24,'DCA Underwriting Assumptions'!$J$77:$K$82,2,FALSE)))</f>
        <v/>
      </c>
      <c r="R24" s="741"/>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0"/>
      <c r="C25" s="1311"/>
      <c r="D25" s="1312"/>
      <c r="E25" s="1313"/>
      <c r="F25" s="1313"/>
      <c r="G25" s="1313"/>
      <c r="H25" s="1313"/>
      <c r="I25" s="1313"/>
      <c r="J25" s="1314"/>
      <c r="K25" s="227">
        <f t="shared" si="172"/>
        <v>0</v>
      </c>
      <c r="L25" s="227">
        <f t="shared" si="0"/>
        <v>0</v>
      </c>
      <c r="M25" s="1315"/>
      <c r="N25" s="1315"/>
      <c r="O25" s="1315"/>
      <c r="P25" s="581" t="str">
        <f t="shared" si="203"/>
        <v/>
      </c>
      <c r="Q25" s="582" t="str">
        <f>IF(H25="","",P25/($P$6*VLOOKUP(C25,'DCA Underwriting Assumptions'!$J$77:$K$82,2,FALSE)))</f>
        <v/>
      </c>
      <c r="R25" s="741"/>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0"/>
      <c r="C26" s="1311"/>
      <c r="D26" s="1312"/>
      <c r="E26" s="1313"/>
      <c r="F26" s="1313"/>
      <c r="G26" s="1313"/>
      <c r="H26" s="1313"/>
      <c r="I26" s="1313"/>
      <c r="J26" s="1314"/>
      <c r="K26" s="227">
        <f t="shared" si="172"/>
        <v>0</v>
      </c>
      <c r="L26" s="227">
        <f t="shared" si="0"/>
        <v>0</v>
      </c>
      <c r="M26" s="1315"/>
      <c r="N26" s="1315"/>
      <c r="O26" s="1315"/>
      <c r="P26" s="581" t="str">
        <f t="shared" si="203"/>
        <v/>
      </c>
      <c r="Q26" s="582" t="str">
        <f>IF(H26="","",P26/($P$6*VLOOKUP(C26,'DCA Underwriting Assumptions'!$J$77:$K$82,2,FALSE)))</f>
        <v/>
      </c>
      <c r="R26" s="741"/>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0"/>
      <c r="C27" s="1311"/>
      <c r="D27" s="1312"/>
      <c r="E27" s="1313"/>
      <c r="F27" s="1313"/>
      <c r="G27" s="1313"/>
      <c r="H27" s="1313"/>
      <c r="I27" s="1313"/>
      <c r="J27" s="1314"/>
      <c r="K27" s="227">
        <f t="shared" si="172"/>
        <v>0</v>
      </c>
      <c r="L27" s="227">
        <f t="shared" si="0"/>
        <v>0</v>
      </c>
      <c r="M27" s="1315"/>
      <c r="N27" s="1315"/>
      <c r="O27" s="1315"/>
      <c r="P27" s="581" t="str">
        <f t="shared" si="203"/>
        <v/>
      </c>
      <c r="Q27" s="582" t="str">
        <f>IF(H27="","",P27/($P$6*VLOOKUP(C27,'DCA Underwriting Assumptions'!$J$77:$K$82,2,FALSE)))</f>
        <v/>
      </c>
      <c r="R27" s="741"/>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0"/>
      <c r="C28" s="1311"/>
      <c r="D28" s="1312"/>
      <c r="E28" s="1313"/>
      <c r="F28" s="1313"/>
      <c r="G28" s="1313"/>
      <c r="H28" s="1313"/>
      <c r="I28" s="1313"/>
      <c r="J28" s="1314"/>
      <c r="K28" s="227">
        <f>MAX(0,H28-I28)</f>
        <v>0</v>
      </c>
      <c r="L28" s="227">
        <f t="shared" si="0"/>
        <v>0</v>
      </c>
      <c r="M28" s="1315"/>
      <c r="N28" s="1315"/>
      <c r="O28" s="1315"/>
      <c r="P28" s="581" t="str">
        <f t="shared" si="203"/>
        <v/>
      </c>
      <c r="Q28" s="582" t="str">
        <f>IF(H28="","",P28/($P$6*VLOOKUP(C28,'DCA Underwriting Assumptions'!$J$77:$K$82,2,FALSE)))</f>
        <v/>
      </c>
      <c r="R28" s="741"/>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0"/>
      <c r="C29" s="1311"/>
      <c r="D29" s="1312"/>
      <c r="E29" s="1313"/>
      <c r="F29" s="1313"/>
      <c r="G29" s="1313"/>
      <c r="H29" s="1313"/>
      <c r="I29" s="1313"/>
      <c r="J29" s="1314"/>
      <c r="K29" s="227">
        <f t="shared" ref="K29:K47" si="204">MAX(0,H29-I29)</f>
        <v>0</v>
      </c>
      <c r="L29" s="227">
        <f t="shared" si="0"/>
        <v>0</v>
      </c>
      <c r="M29" s="1315"/>
      <c r="N29" s="1315"/>
      <c r="O29" s="1315"/>
      <c r="P29" s="581" t="str">
        <f t="shared" si="203"/>
        <v/>
      </c>
      <c r="Q29" s="582" t="str">
        <f>IF(H29="","",P29/($P$6*VLOOKUP(C29,'DCA Underwriting Assumptions'!$J$77:$K$82,2,FALSE)))</f>
        <v/>
      </c>
      <c r="R29" s="741"/>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0"/>
      <c r="C30" s="1311"/>
      <c r="D30" s="1312"/>
      <c r="E30" s="1313"/>
      <c r="F30" s="1313"/>
      <c r="G30" s="1313"/>
      <c r="H30" s="1313"/>
      <c r="I30" s="1313"/>
      <c r="J30" s="1314"/>
      <c r="K30" s="227">
        <f t="shared" si="204"/>
        <v>0</v>
      </c>
      <c r="L30" s="227">
        <f t="shared" si="0"/>
        <v>0</v>
      </c>
      <c r="M30" s="1315"/>
      <c r="N30" s="1315"/>
      <c r="O30" s="1315"/>
      <c r="P30" s="581" t="str">
        <f t="shared" si="203"/>
        <v/>
      </c>
      <c r="Q30" s="582" t="str">
        <f>IF(H30="","",P30/($P$6*VLOOKUP(C30,'DCA Underwriting Assumptions'!$J$77:$K$82,2,FALSE)))</f>
        <v/>
      </c>
      <c r="R30" s="741"/>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0"/>
      <c r="C31" s="1311"/>
      <c r="D31" s="1312"/>
      <c r="E31" s="1313"/>
      <c r="F31" s="1313"/>
      <c r="G31" s="1313"/>
      <c r="H31" s="1313"/>
      <c r="I31" s="1313"/>
      <c r="J31" s="1314"/>
      <c r="K31" s="227">
        <f t="shared" si="204"/>
        <v>0</v>
      </c>
      <c r="L31" s="227">
        <f t="shared" si="0"/>
        <v>0</v>
      </c>
      <c r="M31" s="1315"/>
      <c r="N31" s="1315"/>
      <c r="O31" s="1315"/>
      <c r="P31" s="581" t="str">
        <f t="shared" si="203"/>
        <v/>
      </c>
      <c r="Q31" s="582" t="str">
        <f>IF(H31="","",P31/($P$6*VLOOKUP(C31,'DCA Underwriting Assumptions'!$J$77:$K$82,2,FALSE)))</f>
        <v/>
      </c>
      <c r="R31" s="741"/>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0"/>
      <c r="C32" s="1311"/>
      <c r="D32" s="1312"/>
      <c r="E32" s="1313"/>
      <c r="F32" s="1313"/>
      <c r="G32" s="1313"/>
      <c r="H32" s="1313"/>
      <c r="I32" s="1313"/>
      <c r="J32" s="1314"/>
      <c r="K32" s="227">
        <f t="shared" si="204"/>
        <v>0</v>
      </c>
      <c r="L32" s="227">
        <f t="shared" si="0"/>
        <v>0</v>
      </c>
      <c r="M32" s="1315"/>
      <c r="N32" s="1315"/>
      <c r="O32" s="1315"/>
      <c r="P32" s="581" t="str">
        <f t="shared" si="203"/>
        <v/>
      </c>
      <c r="Q32" s="582" t="str">
        <f>IF(H32="","",P32/($P$6*VLOOKUP(C32,'DCA Underwriting Assumptions'!$J$77:$K$82,2,FALSE)))</f>
        <v/>
      </c>
      <c r="R32" s="741"/>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0"/>
      <c r="C33" s="1311"/>
      <c r="D33" s="1312"/>
      <c r="E33" s="1313"/>
      <c r="F33" s="1313"/>
      <c r="G33" s="1313"/>
      <c r="H33" s="1313"/>
      <c r="I33" s="1313"/>
      <c r="J33" s="1314"/>
      <c r="K33" s="227">
        <f t="shared" si="204"/>
        <v>0</v>
      </c>
      <c r="L33" s="227">
        <f t="shared" si="0"/>
        <v>0</v>
      </c>
      <c r="M33" s="1315"/>
      <c r="N33" s="1315"/>
      <c r="O33" s="1315"/>
      <c r="P33" s="581" t="str">
        <f t="shared" si="203"/>
        <v/>
      </c>
      <c r="Q33" s="582" t="str">
        <f>IF(H33="","",P33/($P$6*VLOOKUP(C33,'DCA Underwriting Assumptions'!$J$77:$K$82,2,FALSE)))</f>
        <v/>
      </c>
      <c r="R33" s="741"/>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0"/>
      <c r="C34" s="1311"/>
      <c r="D34" s="1312"/>
      <c r="E34" s="1313"/>
      <c r="F34" s="1313"/>
      <c r="G34" s="1313"/>
      <c r="H34" s="1313"/>
      <c r="I34" s="1313"/>
      <c r="J34" s="1314"/>
      <c r="K34" s="227">
        <f t="shared" si="204"/>
        <v>0</v>
      </c>
      <c r="L34" s="227">
        <f t="shared" si="0"/>
        <v>0</v>
      </c>
      <c r="M34" s="1315"/>
      <c r="N34" s="1315"/>
      <c r="O34" s="1315"/>
      <c r="P34" s="581" t="str">
        <f t="shared" si="203"/>
        <v/>
      </c>
      <c r="Q34" s="582" t="str">
        <f>IF(H34="","",P34/($P$6*VLOOKUP(C34,'DCA Underwriting Assumptions'!$J$77:$K$82,2,FALSE)))</f>
        <v/>
      </c>
      <c r="R34" s="741"/>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0"/>
      <c r="C35" s="1311"/>
      <c r="D35" s="1312"/>
      <c r="E35" s="1313"/>
      <c r="F35" s="1313"/>
      <c r="G35" s="1313"/>
      <c r="H35" s="1313"/>
      <c r="I35" s="1313"/>
      <c r="J35" s="1314"/>
      <c r="K35" s="227">
        <f t="shared" si="204"/>
        <v>0</v>
      </c>
      <c r="L35" s="227">
        <f t="shared" si="0"/>
        <v>0</v>
      </c>
      <c r="M35" s="1315"/>
      <c r="N35" s="1315"/>
      <c r="O35" s="1315"/>
      <c r="P35" s="581" t="str">
        <f t="shared" si="203"/>
        <v/>
      </c>
      <c r="Q35" s="582" t="str">
        <f>IF(H35="","",P35/($P$6*VLOOKUP(C35,'DCA Underwriting Assumptions'!$J$77:$K$82,2,FALSE)))</f>
        <v/>
      </c>
      <c r="R35" s="741"/>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0"/>
      <c r="C36" s="1311"/>
      <c r="D36" s="1312"/>
      <c r="E36" s="1313"/>
      <c r="F36" s="1313"/>
      <c r="G36" s="1313"/>
      <c r="H36" s="1313"/>
      <c r="I36" s="1313"/>
      <c r="J36" s="1314"/>
      <c r="K36" s="227">
        <f t="shared" si="204"/>
        <v>0</v>
      </c>
      <c r="L36" s="227">
        <f t="shared" si="0"/>
        <v>0</v>
      </c>
      <c r="M36" s="1315"/>
      <c r="N36" s="1315"/>
      <c r="O36" s="1315"/>
      <c r="P36" s="581" t="str">
        <f t="shared" si="203"/>
        <v/>
      </c>
      <c r="Q36" s="582" t="str">
        <f>IF(H36="","",P36/($P$6*VLOOKUP(C36,'DCA Underwriting Assumptions'!$J$77:$K$82,2,FALSE)))</f>
        <v/>
      </c>
      <c r="R36" s="741"/>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0"/>
      <c r="C37" s="1311"/>
      <c r="D37" s="1312"/>
      <c r="E37" s="1313"/>
      <c r="F37" s="1313"/>
      <c r="G37" s="1313"/>
      <c r="H37" s="1313"/>
      <c r="I37" s="1313"/>
      <c r="J37" s="1314"/>
      <c r="K37" s="227">
        <f t="shared" si="204"/>
        <v>0</v>
      </c>
      <c r="L37" s="227">
        <f t="shared" si="0"/>
        <v>0</v>
      </c>
      <c r="M37" s="1315"/>
      <c r="N37" s="1315"/>
      <c r="O37" s="1315"/>
      <c r="P37" s="581" t="str">
        <f t="shared" si="203"/>
        <v/>
      </c>
      <c r="Q37" s="582" t="str">
        <f>IF(H37="","",P37/($P$6*VLOOKUP(C37,'DCA Underwriting Assumptions'!$J$77:$K$82,2,FALSE)))</f>
        <v/>
      </c>
      <c r="R37" s="741"/>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0"/>
      <c r="C38" s="1311"/>
      <c r="D38" s="1312"/>
      <c r="E38" s="1313"/>
      <c r="F38" s="1313"/>
      <c r="G38" s="1313"/>
      <c r="H38" s="1313"/>
      <c r="I38" s="1313"/>
      <c r="J38" s="1314"/>
      <c r="K38" s="227">
        <f>MAX(0,H38-I38)</f>
        <v>0</v>
      </c>
      <c r="L38" s="227">
        <f t="shared" si="0"/>
        <v>0</v>
      </c>
      <c r="M38" s="1315"/>
      <c r="N38" s="1315"/>
      <c r="O38" s="1315"/>
      <c r="P38" s="581" t="str">
        <f t="shared" si="203"/>
        <v/>
      </c>
      <c r="Q38" s="582" t="str">
        <f>IF(H38="","",P38/($P$6*VLOOKUP(C38,'DCA Underwriting Assumptions'!$J$77:$K$82,2,FALSE)))</f>
        <v/>
      </c>
      <c r="R38" s="741"/>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0"/>
      <c r="C39" s="1311"/>
      <c r="D39" s="1312"/>
      <c r="E39" s="1313"/>
      <c r="F39" s="1313"/>
      <c r="G39" s="1313"/>
      <c r="H39" s="1313"/>
      <c r="I39" s="1313"/>
      <c r="J39" s="1314"/>
      <c r="K39" s="227">
        <f t="shared" ref="K39:K46" si="205">MAX(0,H39-I39)</f>
        <v>0</v>
      </c>
      <c r="L39" s="227">
        <f t="shared" si="0"/>
        <v>0</v>
      </c>
      <c r="M39" s="1315"/>
      <c r="N39" s="1315"/>
      <c r="O39" s="1315"/>
      <c r="P39" s="581" t="str">
        <f t="shared" si="203"/>
        <v/>
      </c>
      <c r="Q39" s="582" t="str">
        <f>IF(H39="","",P39/($P$6*VLOOKUP(C39,'DCA Underwriting Assumptions'!$J$77:$K$82,2,FALSE)))</f>
        <v/>
      </c>
      <c r="R39" s="741"/>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0"/>
      <c r="C40" s="1311"/>
      <c r="D40" s="1312"/>
      <c r="E40" s="1313"/>
      <c r="F40" s="1313"/>
      <c r="G40" s="1313"/>
      <c r="H40" s="1313"/>
      <c r="I40" s="1313"/>
      <c r="J40" s="1314"/>
      <c r="K40" s="227">
        <f t="shared" si="205"/>
        <v>0</v>
      </c>
      <c r="L40" s="227">
        <f t="shared" si="0"/>
        <v>0</v>
      </c>
      <c r="M40" s="1315"/>
      <c r="N40" s="1315"/>
      <c r="O40" s="1315"/>
      <c r="P40" s="581" t="str">
        <f t="shared" si="203"/>
        <v/>
      </c>
      <c r="Q40" s="582" t="str">
        <f>IF(H40="","",P40/($P$6*VLOOKUP(C40,'DCA Underwriting Assumptions'!$J$77:$K$82,2,FALSE)))</f>
        <v/>
      </c>
      <c r="R40" s="741"/>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0"/>
      <c r="C41" s="1311"/>
      <c r="D41" s="1312"/>
      <c r="E41" s="1313"/>
      <c r="F41" s="1313"/>
      <c r="G41" s="1313"/>
      <c r="H41" s="1313"/>
      <c r="I41" s="1313"/>
      <c r="J41" s="1314"/>
      <c r="K41" s="227">
        <f t="shared" si="205"/>
        <v>0</v>
      </c>
      <c r="L41" s="227">
        <f t="shared" si="0"/>
        <v>0</v>
      </c>
      <c r="M41" s="1315"/>
      <c r="N41" s="1315"/>
      <c r="O41" s="1315"/>
      <c r="P41" s="581" t="str">
        <f t="shared" si="203"/>
        <v/>
      </c>
      <c r="Q41" s="582" t="str">
        <f>IF(H41="","",P41/($P$6*VLOOKUP(C41,'DCA Underwriting Assumptions'!$J$77:$K$82,2,FALSE)))</f>
        <v/>
      </c>
      <c r="R41" s="741"/>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0"/>
      <c r="C42" s="1311"/>
      <c r="D42" s="1312"/>
      <c r="E42" s="1313"/>
      <c r="F42" s="1313"/>
      <c r="G42" s="1313"/>
      <c r="H42" s="1313"/>
      <c r="I42" s="1313"/>
      <c r="J42" s="1314"/>
      <c r="K42" s="227">
        <f t="shared" si="205"/>
        <v>0</v>
      </c>
      <c r="L42" s="227">
        <f t="shared" si="0"/>
        <v>0</v>
      </c>
      <c r="M42" s="1315"/>
      <c r="N42" s="1315"/>
      <c r="O42" s="1315"/>
      <c r="P42" s="581" t="str">
        <f t="shared" si="203"/>
        <v/>
      </c>
      <c r="Q42" s="582" t="str">
        <f>IF(H42="","",P42/($P$6*VLOOKUP(C42,'DCA Underwriting Assumptions'!$J$77:$K$82,2,FALSE)))</f>
        <v/>
      </c>
      <c r="R42" s="741"/>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0"/>
      <c r="C43" s="1311"/>
      <c r="D43" s="1312"/>
      <c r="E43" s="1313"/>
      <c r="F43" s="1313"/>
      <c r="G43" s="1313"/>
      <c r="H43" s="1313"/>
      <c r="I43" s="1313"/>
      <c r="J43" s="1314"/>
      <c r="K43" s="227">
        <f t="shared" si="205"/>
        <v>0</v>
      </c>
      <c r="L43" s="227">
        <f t="shared" si="0"/>
        <v>0</v>
      </c>
      <c r="M43" s="1315"/>
      <c r="N43" s="1315"/>
      <c r="O43" s="1315"/>
      <c r="P43" s="581" t="str">
        <f t="shared" si="203"/>
        <v/>
      </c>
      <c r="Q43" s="582" t="str">
        <f>IF(H43="","",P43/($P$6*VLOOKUP(C43,'DCA Underwriting Assumptions'!$J$77:$K$82,2,FALSE)))</f>
        <v/>
      </c>
      <c r="R43" s="741"/>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0"/>
      <c r="C44" s="1311"/>
      <c r="D44" s="1312"/>
      <c r="E44" s="1313"/>
      <c r="F44" s="1313"/>
      <c r="G44" s="1313"/>
      <c r="H44" s="1313"/>
      <c r="I44" s="1313"/>
      <c r="J44" s="1314"/>
      <c r="K44" s="227">
        <f t="shared" si="205"/>
        <v>0</v>
      </c>
      <c r="L44" s="227">
        <f t="shared" si="0"/>
        <v>0</v>
      </c>
      <c r="M44" s="1315"/>
      <c r="N44" s="1315"/>
      <c r="O44" s="1315"/>
      <c r="P44" s="581" t="str">
        <f t="shared" si="203"/>
        <v/>
      </c>
      <c r="Q44" s="582" t="str">
        <f>IF(H44="","",P44/($P$6*VLOOKUP(C44,'DCA Underwriting Assumptions'!$J$77:$K$82,2,FALSE)))</f>
        <v/>
      </c>
      <c r="R44" s="741"/>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0"/>
      <c r="C45" s="1311"/>
      <c r="D45" s="1312"/>
      <c r="E45" s="1313"/>
      <c r="F45" s="1313"/>
      <c r="G45" s="1313"/>
      <c r="H45" s="1313"/>
      <c r="I45" s="1313"/>
      <c r="J45" s="1314"/>
      <c r="K45" s="227">
        <f t="shared" si="205"/>
        <v>0</v>
      </c>
      <c r="L45" s="227">
        <f t="shared" si="0"/>
        <v>0</v>
      </c>
      <c r="M45" s="1315"/>
      <c r="N45" s="1315"/>
      <c r="O45" s="1315"/>
      <c r="P45" s="581" t="str">
        <f t="shared" si="203"/>
        <v/>
      </c>
      <c r="Q45" s="582" t="str">
        <f>IF(H45="","",P45/($P$6*VLOOKUP(C45,'DCA Underwriting Assumptions'!$J$77:$K$82,2,FALSE)))</f>
        <v/>
      </c>
      <c r="R45" s="741"/>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0"/>
      <c r="C46" s="1311"/>
      <c r="D46" s="1312"/>
      <c r="E46" s="1313"/>
      <c r="F46" s="1313"/>
      <c r="G46" s="1313"/>
      <c r="H46" s="1313"/>
      <c r="I46" s="1313"/>
      <c r="J46" s="1314"/>
      <c r="K46" s="227">
        <f t="shared" si="205"/>
        <v>0</v>
      </c>
      <c r="L46" s="227">
        <f t="shared" si="0"/>
        <v>0</v>
      </c>
      <c r="M46" s="1315"/>
      <c r="N46" s="1315"/>
      <c r="O46" s="1315"/>
      <c r="P46" s="581" t="str">
        <f t="shared" si="203"/>
        <v/>
      </c>
      <c r="Q46" s="582" t="str">
        <f>IF(H46="","",P46/($P$6*VLOOKUP(C46,'DCA Underwriting Assumptions'!$J$77:$K$82,2,FALSE)))</f>
        <v/>
      </c>
      <c r="R46" s="741"/>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6"/>
      <c r="C47" s="1317"/>
      <c r="D47" s="1318"/>
      <c r="E47" s="1319"/>
      <c r="F47" s="1319"/>
      <c r="G47" s="1319"/>
      <c r="H47" s="1319"/>
      <c r="I47" s="1319"/>
      <c r="J47" s="1320"/>
      <c r="K47" s="228">
        <f t="shared" si="204"/>
        <v>0</v>
      </c>
      <c r="L47" s="228">
        <f t="shared" si="0"/>
        <v>0</v>
      </c>
      <c r="M47" s="1321"/>
      <c r="N47" s="1321"/>
      <c r="O47" s="1321"/>
      <c r="P47" s="581" t="str">
        <f t="shared" si="203"/>
        <v/>
      </c>
      <c r="Q47" s="582" t="str">
        <f>IF(H47="","",P47/($P$6*VLOOKUP(C47,'DCA Underwriting Assumptions'!$J$77:$K$82,2,FALSE)))</f>
        <v/>
      </c>
      <c r="R47" s="741"/>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1635</v>
      </c>
      <c r="E48" s="170">
        <f>SUM(E10:E47)</f>
        <v>79</v>
      </c>
      <c r="F48" s="171">
        <f>(E10*F10+E11*F11+E12*F12+E13*F13+E14*F14+E15*F15+E16*F16+E17*F17+E18*F18+E19*F19+E20*F20+E21*F21+E22*F22+E23*F23+E24*F24+E25*F25+E26*F26+E27*F27+E28*F28+E29*F29+E30*F30+E31*F31+E32*F32+E33*F33+E34*F34+E35*F35+E36*F36+E37*F37+E38*F38+E39*F39+E40*F40+E41*F41+E42*F42+E43*F43+E44*F44+E45*F45+E46*F46+E47*F47)</f>
        <v>76250</v>
      </c>
      <c r="G48" s="162"/>
      <c r="H48" s="163"/>
      <c r="I48" s="163"/>
      <c r="J48" s="163"/>
      <c r="K48" s="15" t="s">
        <v>2003</v>
      </c>
      <c r="L48" s="169">
        <f>SUM(L10:L47)</f>
        <v>38660</v>
      </c>
      <c r="M48" s="2"/>
      <c r="N48" s="42"/>
      <c r="O48" s="2"/>
      <c r="P48" s="122"/>
      <c r="Q48" s="122"/>
      <c r="R48" s="741"/>
      <c r="S48" s="446"/>
      <c r="T48" s="446">
        <f t="shared" ref="T48:CI48" si="206">SUM(T10:T47)</f>
        <v>0</v>
      </c>
      <c r="U48" s="446">
        <f t="shared" si="206"/>
        <v>7</v>
      </c>
      <c r="V48" s="446">
        <f t="shared" si="206"/>
        <v>40</v>
      </c>
      <c r="W48" s="446">
        <f t="shared" si="206"/>
        <v>16</v>
      </c>
      <c r="X48" s="446">
        <f t="shared" si="206"/>
        <v>0</v>
      </c>
      <c r="Y48" s="446">
        <f t="shared" si="206"/>
        <v>0</v>
      </c>
      <c r="Z48" s="446">
        <f t="shared" si="206"/>
        <v>2</v>
      </c>
      <c r="AA48" s="446">
        <f t="shared" si="206"/>
        <v>10</v>
      </c>
      <c r="AB48" s="446">
        <f t="shared" si="206"/>
        <v>4</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5250</v>
      </c>
      <c r="BY48" s="446">
        <f t="shared" si="206"/>
        <v>38000</v>
      </c>
      <c r="BZ48" s="446">
        <f t="shared" si="206"/>
        <v>17600</v>
      </c>
      <c r="CA48" s="446">
        <f t="shared" si="206"/>
        <v>0</v>
      </c>
      <c r="CB48" s="446">
        <f t="shared" si="206"/>
        <v>0</v>
      </c>
      <c r="CC48" s="446">
        <f t="shared" si="206"/>
        <v>1500</v>
      </c>
      <c r="CD48" s="446">
        <f t="shared" si="206"/>
        <v>9500</v>
      </c>
      <c r="CE48" s="446">
        <f t="shared" si="206"/>
        <v>4400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9</v>
      </c>
      <c r="DC48" s="446">
        <f t="shared" si="208"/>
        <v>50</v>
      </c>
      <c r="DD48" s="446">
        <f t="shared" si="208"/>
        <v>20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9</v>
      </c>
      <c r="EV48" s="446">
        <f t="shared" si="209"/>
        <v>50</v>
      </c>
      <c r="EW48" s="446">
        <f t="shared" si="209"/>
        <v>20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2</v>
      </c>
      <c r="FU48" s="446">
        <f t="shared" si="209"/>
        <v>2</v>
      </c>
      <c r="FV48" s="446">
        <f t="shared" si="209"/>
        <v>2</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7</v>
      </c>
      <c r="GJ48" s="446">
        <f t="shared" si="209"/>
        <v>48</v>
      </c>
      <c r="GK48" s="446">
        <f t="shared" si="209"/>
        <v>18</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1397</v>
      </c>
      <c r="L49" s="169">
        <f>L48*12</f>
        <v>463920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63" t="s">
        <v>3649</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1230</v>
      </c>
      <c r="B54" s="16" t="s">
        <v>828</v>
      </c>
      <c r="O54" s="113"/>
      <c r="Q54" s="970" t="str">
        <f>IF(SUM(Q57:Q98)&gt;0,"ERROR Between Rent Schedule &amp; Unit Summary:", "")</f>
        <v/>
      </c>
      <c r="R54" s="678" t="s">
        <v>1230</v>
      </c>
      <c r="S54" s="678" t="s">
        <v>828</v>
      </c>
      <c r="T54" s="207"/>
      <c r="U54" s="207"/>
      <c r="V54" s="207"/>
      <c r="W54" s="207"/>
      <c r="X54" s="207"/>
      <c r="Y54" s="207"/>
      <c r="Z54" s="207"/>
      <c r="AA54" s="207"/>
      <c r="AB54" s="207"/>
      <c r="AC54" s="207"/>
      <c r="AD54" s="207"/>
      <c r="AE54" s="207"/>
      <c r="AF54" s="122"/>
      <c r="GU54" s="172"/>
      <c r="HJ54" s="113"/>
    </row>
    <row r="55" spans="1:221" ht="3.4" customHeight="1">
      <c r="A55" s="16"/>
      <c r="B55" s="16"/>
      <c r="O55" s="113"/>
      <c r="Q55" s="971"/>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1777</v>
      </c>
      <c r="H56" s="164" t="s">
        <v>866</v>
      </c>
      <c r="I56" s="164" t="s">
        <v>829</v>
      </c>
      <c r="J56" s="164" t="s">
        <v>830</v>
      </c>
      <c r="K56" s="164" t="s">
        <v>831</v>
      </c>
      <c r="L56" s="164" t="s">
        <v>832</v>
      </c>
      <c r="M56" s="164" t="s">
        <v>833</v>
      </c>
      <c r="O56" s="113"/>
      <c r="Q56" s="971"/>
      <c r="R56" s="172"/>
      <c r="S56" s="678" t="s">
        <v>1777</v>
      </c>
      <c r="T56" s="207"/>
      <c r="U56" s="207"/>
      <c r="V56" s="207"/>
      <c r="W56" s="207"/>
      <c r="X56" s="207"/>
      <c r="Y56" s="679" t="s">
        <v>866</v>
      </c>
      <c r="Z56" s="679" t="s">
        <v>829</v>
      </c>
      <c r="AA56" s="679" t="s">
        <v>830</v>
      </c>
      <c r="AB56" s="679" t="s">
        <v>831</v>
      </c>
      <c r="AC56" s="679" t="s">
        <v>832</v>
      </c>
      <c r="AD56" s="679" t="s">
        <v>833</v>
      </c>
      <c r="AE56" s="207"/>
      <c r="AF56" s="122"/>
      <c r="GU56" s="172"/>
      <c r="HJ56" s="113"/>
    </row>
    <row r="57" spans="1:221" ht="15" customHeight="1">
      <c r="C57" s="2" t="s">
        <v>1779</v>
      </c>
      <c r="D57" s="2"/>
      <c r="E57" s="2"/>
      <c r="F57" s="2"/>
      <c r="G57" s="46" t="s">
        <v>1792</v>
      </c>
      <c r="H57" s="381">
        <f>T48</f>
        <v>0</v>
      </c>
      <c r="I57" s="381">
        <f>U48</f>
        <v>7</v>
      </c>
      <c r="J57" s="381">
        <f>V48</f>
        <v>40</v>
      </c>
      <c r="K57" s="381">
        <f>W48</f>
        <v>16</v>
      </c>
      <c r="L57" s="381">
        <f>X48</f>
        <v>0</v>
      </c>
      <c r="M57" s="381">
        <f t="shared" ref="M57:M63" si="211">SUM(H57:L57)</f>
        <v>63</v>
      </c>
      <c r="N57" s="974" t="s">
        <v>1484</v>
      </c>
      <c r="O57" s="975"/>
      <c r="P57" s="739"/>
      <c r="Q57" s="680">
        <f t="shared" ref="Q57:Q63" si="212">ABS(M57-AD57)</f>
        <v>0</v>
      </c>
      <c r="S57" s="207"/>
      <c r="T57" s="447" t="s">
        <v>1779</v>
      </c>
      <c r="U57" s="447"/>
      <c r="V57" s="447"/>
      <c r="W57" s="447"/>
      <c r="X57" s="448" t="s">
        <v>1792</v>
      </c>
      <c r="Y57" s="449">
        <f>T48</f>
        <v>0</v>
      </c>
      <c r="Z57" s="449">
        <f>U48</f>
        <v>7</v>
      </c>
      <c r="AA57" s="449">
        <f>V48</f>
        <v>40</v>
      </c>
      <c r="AB57" s="449">
        <f>W48</f>
        <v>16</v>
      </c>
      <c r="AC57" s="449">
        <f>X48</f>
        <v>0</v>
      </c>
      <c r="AD57" s="449">
        <f t="shared" ref="AD57:AD63" si="213">SUM(Y57:AC57)</f>
        <v>63</v>
      </c>
      <c r="AE57" s="448" t="s">
        <v>1556</v>
      </c>
      <c r="AF57" s="122"/>
      <c r="GU57" s="172"/>
      <c r="HJ57" s="113"/>
    </row>
    <row r="58" spans="1:221" ht="15" customHeight="1">
      <c r="A58" s="985" t="s">
        <v>653</v>
      </c>
      <c r="B58" s="985"/>
      <c r="C58" s="5"/>
      <c r="D58" s="2"/>
      <c r="E58" s="2"/>
      <c r="F58" s="2"/>
      <c r="G58" s="46" t="s">
        <v>133</v>
      </c>
      <c r="H58" s="382">
        <f>Y48</f>
        <v>0</v>
      </c>
      <c r="I58" s="382">
        <f>Z48</f>
        <v>2</v>
      </c>
      <c r="J58" s="382">
        <f>AA48</f>
        <v>10</v>
      </c>
      <c r="K58" s="382">
        <f>AB48</f>
        <v>4</v>
      </c>
      <c r="L58" s="382">
        <f>AC48</f>
        <v>0</v>
      </c>
      <c r="M58" s="382">
        <f t="shared" si="211"/>
        <v>16</v>
      </c>
      <c r="N58" s="974"/>
      <c r="O58" s="975"/>
      <c r="P58" s="739"/>
      <c r="Q58" s="680">
        <f t="shared" si="212"/>
        <v>0</v>
      </c>
      <c r="S58" s="207"/>
      <c r="T58" s="231"/>
      <c r="U58" s="447"/>
      <c r="V58" s="447"/>
      <c r="W58" s="447"/>
      <c r="X58" s="448" t="s">
        <v>133</v>
      </c>
      <c r="Y58" s="449">
        <f>Y48</f>
        <v>0</v>
      </c>
      <c r="Z58" s="449">
        <f>Z48</f>
        <v>2</v>
      </c>
      <c r="AA58" s="449">
        <f>AA48</f>
        <v>10</v>
      </c>
      <c r="AB58" s="449">
        <f>AB48</f>
        <v>4</v>
      </c>
      <c r="AC58" s="449">
        <f>AC48</f>
        <v>0</v>
      </c>
      <c r="AD58" s="449">
        <f t="shared" si="213"/>
        <v>16</v>
      </c>
      <c r="AE58" s="448"/>
      <c r="AF58" s="122"/>
      <c r="GU58" s="172"/>
      <c r="HJ58" s="113"/>
    </row>
    <row r="59" spans="1:221" ht="15" customHeight="1">
      <c r="A59" s="985"/>
      <c r="B59" s="985"/>
      <c r="C59" s="5"/>
      <c r="D59" s="2"/>
      <c r="E59" s="2"/>
      <c r="F59" s="2"/>
      <c r="G59" s="46" t="s">
        <v>833</v>
      </c>
      <c r="H59" s="383">
        <f>SUM(H57:H58)</f>
        <v>0</v>
      </c>
      <c r="I59" s="383">
        <f>SUM(I57:I58)</f>
        <v>9</v>
      </c>
      <c r="J59" s="383">
        <f>SUM(J57:J58)</f>
        <v>50</v>
      </c>
      <c r="K59" s="383">
        <f>SUM(K57:K58)</f>
        <v>20</v>
      </c>
      <c r="L59" s="383">
        <f>SUM(L57:L58)</f>
        <v>0</v>
      </c>
      <c r="M59" s="383">
        <f t="shared" si="211"/>
        <v>79</v>
      </c>
      <c r="N59" s="386"/>
      <c r="O59" s="113"/>
      <c r="Q59" s="680">
        <f t="shared" si="212"/>
        <v>0</v>
      </c>
      <c r="S59" s="207"/>
      <c r="T59" s="231"/>
      <c r="U59" s="447"/>
      <c r="V59" s="447"/>
      <c r="W59" s="447"/>
      <c r="X59" s="448" t="s">
        <v>833</v>
      </c>
      <c r="Y59" s="449">
        <f>SUM(Y57:Y58)</f>
        <v>0</v>
      </c>
      <c r="Z59" s="449">
        <f>SUM(Z57:Z58)</f>
        <v>9</v>
      </c>
      <c r="AA59" s="449">
        <f>SUM(AA57:AA58)</f>
        <v>50</v>
      </c>
      <c r="AB59" s="449">
        <f>SUM(AB57:AB58)</f>
        <v>20</v>
      </c>
      <c r="AC59" s="449">
        <f>SUM(AC57:AC58)</f>
        <v>0</v>
      </c>
      <c r="AD59" s="449">
        <f t="shared" si="213"/>
        <v>79</v>
      </c>
      <c r="AE59" s="448"/>
      <c r="AF59" s="122"/>
      <c r="GU59" s="172"/>
      <c r="HJ59" s="113"/>
    </row>
    <row r="60" spans="1:221" ht="15" customHeight="1">
      <c r="A60" s="985"/>
      <c r="B60" s="985"/>
      <c r="C60" s="2" t="s">
        <v>397</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397</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85"/>
      <c r="B61" s="985"/>
      <c r="C61" s="2" t="s">
        <v>1780</v>
      </c>
      <c r="D61" s="2"/>
      <c r="E61" s="2"/>
      <c r="F61" s="2"/>
      <c r="G61" s="46"/>
      <c r="H61" s="383">
        <f>SUM(H59:H60)</f>
        <v>0</v>
      </c>
      <c r="I61" s="383">
        <f>SUM(I59:I60)</f>
        <v>9</v>
      </c>
      <c r="J61" s="383">
        <f>SUM(J59:J60)</f>
        <v>50</v>
      </c>
      <c r="K61" s="383">
        <f>SUM(K59:K60)</f>
        <v>20</v>
      </c>
      <c r="L61" s="383">
        <f>SUM(L59:L60)</f>
        <v>0</v>
      </c>
      <c r="M61" s="383">
        <f t="shared" si="211"/>
        <v>79</v>
      </c>
      <c r="N61" s="68"/>
      <c r="O61" s="113"/>
      <c r="Q61" s="680">
        <f t="shared" si="212"/>
        <v>0</v>
      </c>
      <c r="S61" s="207"/>
      <c r="T61" s="447" t="s">
        <v>1780</v>
      </c>
      <c r="U61" s="447"/>
      <c r="V61" s="447"/>
      <c r="W61" s="447"/>
      <c r="X61" s="448"/>
      <c r="Y61" s="449">
        <f>SUM(Y59:Y60)</f>
        <v>0</v>
      </c>
      <c r="Z61" s="449">
        <f>SUM(Z59:Z60)</f>
        <v>9</v>
      </c>
      <c r="AA61" s="449">
        <f>SUM(AA59:AA60)</f>
        <v>50</v>
      </c>
      <c r="AB61" s="449">
        <f>SUM(AB59:AB60)</f>
        <v>20</v>
      </c>
      <c r="AC61" s="449">
        <f>SUM(AC59:AC60)</f>
        <v>0</v>
      </c>
      <c r="AD61" s="449">
        <f t="shared" si="213"/>
        <v>79</v>
      </c>
      <c r="AE61" s="450"/>
      <c r="AF61" s="122"/>
      <c r="GU61" s="172"/>
      <c r="HJ61" s="113"/>
    </row>
    <row r="62" spans="1:221" ht="15" customHeight="1">
      <c r="A62" s="985"/>
      <c r="B62" s="985"/>
      <c r="C62" s="2" t="s">
        <v>3797</v>
      </c>
      <c r="D62" s="2"/>
      <c r="E62" s="2"/>
      <c r="F62" s="2"/>
      <c r="G62" s="46"/>
      <c r="H62" s="383">
        <f>BR48</f>
        <v>0</v>
      </c>
      <c r="I62" s="383">
        <f>BS48</f>
        <v>0</v>
      </c>
      <c r="J62" s="383">
        <f>BT48</f>
        <v>0</v>
      </c>
      <c r="K62" s="383">
        <f>BU48</f>
        <v>0</v>
      </c>
      <c r="L62" s="383">
        <f>BV48</f>
        <v>0</v>
      </c>
      <c r="M62" s="383">
        <f t="shared" si="211"/>
        <v>0</v>
      </c>
      <c r="N62" s="65" t="s">
        <v>3329</v>
      </c>
      <c r="O62" s="113"/>
      <c r="Q62" s="680">
        <f t="shared" si="212"/>
        <v>0</v>
      </c>
      <c r="S62" s="207"/>
      <c r="T62" s="447" t="s">
        <v>3797</v>
      </c>
      <c r="U62" s="447"/>
      <c r="V62" s="447"/>
      <c r="W62" s="447"/>
      <c r="X62" s="448"/>
      <c r="Y62" s="449">
        <f>BR48</f>
        <v>0</v>
      </c>
      <c r="Z62" s="449">
        <f>BS48</f>
        <v>0</v>
      </c>
      <c r="AA62" s="449">
        <f>BT48</f>
        <v>0</v>
      </c>
      <c r="AB62" s="449">
        <f>BU48</f>
        <v>0</v>
      </c>
      <c r="AC62" s="449">
        <f>BV48</f>
        <v>0</v>
      </c>
      <c r="AD62" s="449">
        <f t="shared" si="213"/>
        <v>0</v>
      </c>
      <c r="AE62" s="448" t="s">
        <v>841</v>
      </c>
      <c r="AF62" s="122"/>
      <c r="GU62" s="172"/>
      <c r="HJ62" s="113"/>
    </row>
    <row r="63" spans="1:221" ht="15" customHeight="1">
      <c r="A63" s="985"/>
      <c r="B63" s="985"/>
      <c r="C63" s="2" t="s">
        <v>833</v>
      </c>
      <c r="D63" s="2"/>
      <c r="E63" s="2"/>
      <c r="F63" s="2"/>
      <c r="G63" s="46"/>
      <c r="H63" s="383">
        <f>SUM(H61:H62)</f>
        <v>0</v>
      </c>
      <c r="I63" s="383">
        <f>SUM(I61:I62)</f>
        <v>9</v>
      </c>
      <c r="J63" s="383">
        <f>SUM(J61:J62)</f>
        <v>50</v>
      </c>
      <c r="K63" s="383">
        <f>SUM(K61:K62)</f>
        <v>20</v>
      </c>
      <c r="L63" s="383">
        <f>SUM(L61:L62)</f>
        <v>0</v>
      </c>
      <c r="M63" s="383">
        <f t="shared" si="211"/>
        <v>79</v>
      </c>
      <c r="O63" s="113"/>
      <c r="Q63" s="680">
        <f t="shared" si="212"/>
        <v>0</v>
      </c>
      <c r="S63" s="207"/>
      <c r="T63" s="447" t="s">
        <v>833</v>
      </c>
      <c r="U63" s="447"/>
      <c r="V63" s="447"/>
      <c r="W63" s="447"/>
      <c r="X63" s="448"/>
      <c r="Y63" s="449">
        <f>SUM(Y61:Y62)</f>
        <v>0</v>
      </c>
      <c r="Z63" s="449">
        <f>SUM(Z61:Z62)</f>
        <v>9</v>
      </c>
      <c r="AA63" s="449">
        <f>SUM(AA61:AA62)</f>
        <v>50</v>
      </c>
      <c r="AB63" s="449">
        <f>SUM(AB61:AB62)</f>
        <v>20</v>
      </c>
      <c r="AC63" s="449">
        <f>SUM(AC61:AC62)</f>
        <v>0</v>
      </c>
      <c r="AD63" s="449">
        <f t="shared" si="213"/>
        <v>79</v>
      </c>
      <c r="AE63" s="207"/>
      <c r="AF63" s="122"/>
      <c r="GU63" s="172"/>
      <c r="HJ63" s="113"/>
    </row>
    <row r="64" spans="1:221" ht="14.45" customHeight="1">
      <c r="A64" s="985"/>
      <c r="B64" s="985"/>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85"/>
      <c r="B65" s="985"/>
      <c r="C65" s="2" t="s">
        <v>1530</v>
      </c>
      <c r="D65" s="2"/>
      <c r="E65" s="147"/>
      <c r="F65" s="2"/>
      <c r="G65" s="46" t="s">
        <v>1792</v>
      </c>
      <c r="H65" s="381">
        <f>AX48</f>
        <v>0</v>
      </c>
      <c r="I65" s="381">
        <f>AY48</f>
        <v>0</v>
      </c>
      <c r="J65" s="381">
        <f>AZ48</f>
        <v>0</v>
      </c>
      <c r="K65" s="381">
        <f>BA48</f>
        <v>0</v>
      </c>
      <c r="L65" s="381">
        <f>BB48</f>
        <v>0</v>
      </c>
      <c r="M65" s="381">
        <f>SUM(H65:L65)</f>
        <v>0</v>
      </c>
      <c r="N65" s="65"/>
      <c r="O65" s="113"/>
      <c r="Q65" s="680">
        <f>ABS(M65-AD65)</f>
        <v>0</v>
      </c>
      <c r="S65" s="207"/>
      <c r="T65" s="447" t="s">
        <v>1530</v>
      </c>
      <c r="U65" s="447"/>
      <c r="V65" s="451"/>
      <c r="W65" s="447"/>
      <c r="X65" s="448" t="s">
        <v>1792</v>
      </c>
      <c r="Y65" s="449">
        <f>AX48</f>
        <v>0</v>
      </c>
      <c r="Z65" s="449">
        <f>AY48</f>
        <v>0</v>
      </c>
      <c r="AA65" s="449">
        <f>AZ48</f>
        <v>0</v>
      </c>
      <c r="AB65" s="449">
        <f>BA48</f>
        <v>0</v>
      </c>
      <c r="AC65" s="449">
        <f>BB48</f>
        <v>0</v>
      </c>
      <c r="AD65" s="449">
        <f>SUM(Y65:AC65)</f>
        <v>0</v>
      </c>
      <c r="AE65" s="448"/>
      <c r="AF65" s="122"/>
      <c r="GU65" s="172"/>
      <c r="HJ65" s="113"/>
    </row>
    <row r="66" spans="1:218" ht="15" customHeight="1">
      <c r="A66" s="985"/>
      <c r="B66" s="985"/>
      <c r="C66" s="46" t="s">
        <v>3798</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3798</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985"/>
      <c r="B67" s="985"/>
      <c r="C67" s="5"/>
      <c r="D67" s="2"/>
      <c r="E67" s="147"/>
      <c r="F67" s="2"/>
      <c r="G67" s="46" t="s">
        <v>833</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833</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85"/>
      <c r="B68" s="985"/>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85"/>
      <c r="B69" s="985"/>
      <c r="C69" s="2" t="s">
        <v>1483</v>
      </c>
      <c r="D69" s="2"/>
      <c r="E69" s="147"/>
      <c r="F69" s="2"/>
      <c r="G69" s="46" t="s">
        <v>1792</v>
      </c>
      <c r="H69" s="381">
        <f>BM48</f>
        <v>0</v>
      </c>
      <c r="I69" s="381">
        <f>BN48</f>
        <v>0</v>
      </c>
      <c r="J69" s="381">
        <f>BO48</f>
        <v>0</v>
      </c>
      <c r="K69" s="381">
        <f>BP48</f>
        <v>0</v>
      </c>
      <c r="L69" s="381">
        <f>BQ48</f>
        <v>0</v>
      </c>
      <c r="M69" s="381">
        <f>SUM(H69:L69)</f>
        <v>0</v>
      </c>
      <c r="N69" s="65"/>
      <c r="O69" s="113"/>
      <c r="Q69" s="680">
        <f>ABS(M69-AD69)</f>
        <v>0</v>
      </c>
      <c r="S69" s="207"/>
      <c r="T69" s="122" t="s">
        <v>1483</v>
      </c>
      <c r="U69" s="447"/>
      <c r="V69" s="451"/>
      <c r="W69" s="447"/>
      <c r="X69" s="448" t="s">
        <v>1792</v>
      </c>
      <c r="Y69" s="449">
        <f>BM48</f>
        <v>0</v>
      </c>
      <c r="Z69" s="449">
        <f>BN48</f>
        <v>0</v>
      </c>
      <c r="AA69" s="449">
        <f>BO48</f>
        <v>0</v>
      </c>
      <c r="AB69" s="449">
        <f>BP48</f>
        <v>0</v>
      </c>
      <c r="AC69" s="449">
        <f>BQ48</f>
        <v>0</v>
      </c>
      <c r="AD69" s="449">
        <f>SUM(Y69:AC69)</f>
        <v>0</v>
      </c>
      <c r="AE69" s="448"/>
      <c r="AF69" s="122"/>
      <c r="GU69" s="172"/>
      <c r="HJ69" s="113"/>
    </row>
    <row r="70" spans="1:218" ht="15" customHeight="1">
      <c r="A70" s="985"/>
      <c r="B70" s="985"/>
      <c r="C70" s="46" t="s">
        <v>3798</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3798</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85"/>
      <c r="B71" s="985"/>
      <c r="C71" s="5"/>
      <c r="D71" s="2"/>
      <c r="E71" s="147"/>
      <c r="F71" s="2"/>
      <c r="G71" s="46" t="s">
        <v>833</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833</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85"/>
      <c r="B72" s="985"/>
      <c r="C72" s="2" t="s">
        <v>44</v>
      </c>
      <c r="D72" s="2"/>
      <c r="E72" s="147"/>
      <c r="F72" s="2"/>
      <c r="G72" s="46"/>
      <c r="H72" s="15"/>
      <c r="I72" s="15"/>
      <c r="J72" s="15"/>
      <c r="K72" s="15"/>
      <c r="L72" s="15"/>
      <c r="M72" s="15"/>
      <c r="O72" s="113"/>
      <c r="Q72" s="680"/>
      <c r="S72" s="207"/>
      <c r="T72" s="447" t="s">
        <v>3236</v>
      </c>
      <c r="U72" s="447"/>
      <c r="V72" s="451"/>
      <c r="W72" s="447"/>
      <c r="X72" s="448"/>
      <c r="Y72" s="447"/>
      <c r="Z72" s="447"/>
      <c r="AA72" s="447"/>
      <c r="AB72" s="447"/>
      <c r="AC72" s="447"/>
      <c r="AD72" s="447"/>
      <c r="AE72" s="207"/>
      <c r="AF72" s="122"/>
      <c r="GU72" s="172"/>
      <c r="HJ72" s="113"/>
    </row>
    <row r="73" spans="1:218" ht="15" customHeight="1">
      <c r="A73" s="985"/>
      <c r="B73" s="985"/>
      <c r="C73" s="2"/>
      <c r="D73" s="2"/>
      <c r="E73" s="140" t="s">
        <v>3436</v>
      </c>
      <c r="F73" s="2"/>
      <c r="G73" s="46" t="s">
        <v>2155</v>
      </c>
      <c r="H73" s="381">
        <f>DA48</f>
        <v>0</v>
      </c>
      <c r="I73" s="381">
        <f>DB48</f>
        <v>9</v>
      </c>
      <c r="J73" s="381">
        <f>DC48</f>
        <v>50</v>
      </c>
      <c r="K73" s="381">
        <f>DD48</f>
        <v>20</v>
      </c>
      <c r="L73" s="381">
        <f>DE48</f>
        <v>0</v>
      </c>
      <c r="M73" s="381">
        <f t="shared" ref="M73:M83" si="214">SUM(H73:L73)</f>
        <v>79</v>
      </c>
      <c r="N73" s="31"/>
      <c r="O73" s="113"/>
      <c r="Q73" s="680">
        <f t="shared" ref="Q73:Q81" si="215">ABS(M73-AD73)</f>
        <v>0</v>
      </c>
      <c r="S73" s="207"/>
      <c r="T73" s="447"/>
      <c r="U73" s="447"/>
      <c r="V73" s="451" t="s">
        <v>3436</v>
      </c>
      <c r="W73" s="447"/>
      <c r="X73" s="448" t="s">
        <v>2155</v>
      </c>
      <c r="Y73" s="449">
        <f>DA48</f>
        <v>0</v>
      </c>
      <c r="Z73" s="449">
        <f>DB48</f>
        <v>9</v>
      </c>
      <c r="AA73" s="449">
        <f>DC48</f>
        <v>50</v>
      </c>
      <c r="AB73" s="449">
        <f>DD48</f>
        <v>20</v>
      </c>
      <c r="AC73" s="449">
        <f>DE48</f>
        <v>0</v>
      </c>
      <c r="AD73" s="449">
        <f t="shared" ref="AD73:AD81" si="216">SUM(Y73:AC73)</f>
        <v>79</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85"/>
      <c r="B74" s="985"/>
      <c r="C74" s="2"/>
      <c r="D74" s="2"/>
      <c r="E74" s="147"/>
      <c r="F74" s="2"/>
      <c r="G74" s="46" t="s">
        <v>397</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2154</v>
      </c>
      <c r="Y74" s="449">
        <f>DF48</f>
        <v>0</v>
      </c>
      <c r="Z74" s="449">
        <f>DG48</f>
        <v>0</v>
      </c>
      <c r="AA74" s="449">
        <f>DH48</f>
        <v>0</v>
      </c>
      <c r="AB74" s="449">
        <f>DI48</f>
        <v>0</v>
      </c>
      <c r="AC74" s="449">
        <f>DJ48</f>
        <v>0</v>
      </c>
      <c r="AD74" s="449">
        <f t="shared" si="216"/>
        <v>0</v>
      </c>
      <c r="AE74" s="450"/>
      <c r="AF74" s="122"/>
      <c r="GU74" s="172"/>
      <c r="HJ74" s="113"/>
    </row>
    <row r="75" spans="1:218" ht="15" customHeight="1">
      <c r="A75" s="985"/>
      <c r="B75" s="985"/>
      <c r="C75" s="5"/>
      <c r="D75" s="2"/>
      <c r="E75" s="147"/>
      <c r="F75" s="2"/>
      <c r="G75" s="46" t="s">
        <v>34</v>
      </c>
      <c r="H75" s="383">
        <f>SUM(H73:H74)+DK48</f>
        <v>0</v>
      </c>
      <c r="I75" s="383">
        <f>SUM(I73:I74)+DL48</f>
        <v>9</v>
      </c>
      <c r="J75" s="383">
        <f>SUM(J73:J74)+DM48</f>
        <v>50</v>
      </c>
      <c r="K75" s="383">
        <f>SUM(K73:K74)+DN48</f>
        <v>20</v>
      </c>
      <c r="L75" s="383">
        <f>SUM(L73:L74)+DO48</f>
        <v>0</v>
      </c>
      <c r="M75" s="383">
        <f t="shared" si="214"/>
        <v>79</v>
      </c>
      <c r="N75" s="65"/>
      <c r="O75" s="113"/>
      <c r="Q75" s="680">
        <f t="shared" si="215"/>
        <v>0</v>
      </c>
      <c r="S75" s="207"/>
      <c r="T75" s="231"/>
      <c r="U75" s="447"/>
      <c r="V75" s="451"/>
      <c r="W75" s="447"/>
      <c r="X75" s="681" t="s">
        <v>34</v>
      </c>
      <c r="Y75" s="449">
        <f>SUM(Y73:Y74)+DK48</f>
        <v>0</v>
      </c>
      <c r="Z75" s="449">
        <f>SUM(Z73:Z74)+DL48</f>
        <v>9</v>
      </c>
      <c r="AA75" s="449">
        <f>SUM(AA73:AA74)+DM48</f>
        <v>50</v>
      </c>
      <c r="AB75" s="449">
        <f>SUM(AB73:AB74)+DN48</f>
        <v>20</v>
      </c>
      <c r="AC75" s="449">
        <f>SUM(AC73:AC74)+DO48</f>
        <v>0</v>
      </c>
      <c r="AD75" s="449">
        <f t="shared" si="216"/>
        <v>79</v>
      </c>
      <c r="AE75" s="448"/>
      <c r="AF75" s="122"/>
      <c r="GU75" s="172"/>
      <c r="HJ75" s="113"/>
    </row>
    <row r="76" spans="1:218" ht="15" customHeight="1">
      <c r="A76" s="985"/>
      <c r="B76" s="985"/>
      <c r="C76" s="2"/>
      <c r="D76" s="2"/>
      <c r="E76" s="140" t="s">
        <v>3238</v>
      </c>
      <c r="F76" s="2"/>
      <c r="G76" s="46" t="s">
        <v>2155</v>
      </c>
      <c r="H76" s="381">
        <f>DP48</f>
        <v>0</v>
      </c>
      <c r="I76" s="381">
        <f>DQ48</f>
        <v>0</v>
      </c>
      <c r="J76" s="381">
        <f>DR48</f>
        <v>0</v>
      </c>
      <c r="K76" s="381">
        <f>DS48</f>
        <v>0</v>
      </c>
      <c r="L76" s="381">
        <f>DT48</f>
        <v>0</v>
      </c>
      <c r="M76" s="381">
        <f t="shared" si="214"/>
        <v>0</v>
      </c>
      <c r="N76" s="31"/>
      <c r="O76" s="113"/>
      <c r="Q76" s="680">
        <f t="shared" si="215"/>
        <v>0</v>
      </c>
      <c r="S76" s="207"/>
      <c r="T76" s="447"/>
      <c r="U76" s="447"/>
      <c r="V76" s="451" t="s">
        <v>3238</v>
      </c>
      <c r="W76" s="447"/>
      <c r="X76" s="448" t="s">
        <v>2155</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397</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2154</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34</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80" t="s">
        <v>2132</v>
      </c>
      <c r="F79" s="980"/>
      <c r="G79" s="46" t="s">
        <v>2155</v>
      </c>
      <c r="H79" s="381">
        <f>EE48</f>
        <v>0</v>
      </c>
      <c r="I79" s="381">
        <f>EF48</f>
        <v>0</v>
      </c>
      <c r="J79" s="381">
        <f>EG48</f>
        <v>0</v>
      </c>
      <c r="K79" s="381">
        <f>EH48</f>
        <v>0</v>
      </c>
      <c r="L79" s="381">
        <f>EI48</f>
        <v>0</v>
      </c>
      <c r="M79" s="381">
        <f t="shared" si="214"/>
        <v>0</v>
      </c>
      <c r="N79" s="31"/>
      <c r="O79" s="113"/>
      <c r="Q79" s="680">
        <f t="shared" si="215"/>
        <v>0</v>
      </c>
      <c r="S79" s="207"/>
      <c r="T79" s="447"/>
      <c r="U79" s="447"/>
      <c r="V79" s="451" t="s">
        <v>3142</v>
      </c>
      <c r="W79" s="447"/>
      <c r="X79" s="448" t="s">
        <v>2155</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397</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2154</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469</v>
      </c>
      <c r="F82" s="2"/>
      <c r="G82" s="46"/>
      <c r="H82" s="1322"/>
      <c r="I82" s="1322"/>
      <c r="J82" s="1322"/>
      <c r="K82" s="1322"/>
      <c r="L82" s="132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470</v>
      </c>
      <c r="F83" s="2"/>
      <c r="G83" s="46"/>
      <c r="H83" s="1323"/>
      <c r="I83" s="1323"/>
      <c r="J83" s="1323"/>
      <c r="K83" s="1323"/>
      <c r="L83" s="132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9</v>
      </c>
      <c r="J85" s="381">
        <f>EV48</f>
        <v>50</v>
      </c>
      <c r="K85" s="381">
        <f>EW48</f>
        <v>20</v>
      </c>
      <c r="L85" s="381">
        <f>EX48</f>
        <v>0</v>
      </c>
      <c r="M85" s="381">
        <f>SUM(H85:L85)</f>
        <v>79</v>
      </c>
      <c r="N85" s="31"/>
      <c r="O85" s="113"/>
      <c r="Q85" s="680">
        <f>ABS(M85-AD85)</f>
        <v>0</v>
      </c>
      <c r="S85" s="207"/>
      <c r="T85" s="122"/>
      <c r="U85" s="122"/>
      <c r="V85" s="451" t="s">
        <v>46</v>
      </c>
      <c r="W85" s="122"/>
      <c r="X85" s="448"/>
      <c r="Y85" s="449">
        <f>ET48</f>
        <v>0</v>
      </c>
      <c r="Z85" s="449">
        <f>EU48</f>
        <v>9</v>
      </c>
      <c r="AA85" s="449">
        <f>EV48</f>
        <v>50</v>
      </c>
      <c r="AB85" s="449">
        <f>EW48</f>
        <v>20</v>
      </c>
      <c r="AC85" s="449">
        <f>EX48</f>
        <v>0</v>
      </c>
      <c r="AD85" s="449">
        <f>SUM(Y85:AC85)</f>
        <v>79</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863</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863</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864</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864</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3270</v>
      </c>
      <c r="C91" s="2"/>
      <c r="D91" s="2"/>
      <c r="E91" s="2"/>
      <c r="F91" s="2"/>
      <c r="G91" s="46"/>
      <c r="H91" s="2"/>
      <c r="I91" s="2"/>
      <c r="J91" s="2"/>
      <c r="K91" s="2"/>
      <c r="L91" s="2"/>
      <c r="M91" s="2"/>
      <c r="O91" s="113"/>
      <c r="Q91" s="680"/>
      <c r="R91" s="172"/>
      <c r="S91" s="678" t="s">
        <v>1778</v>
      </c>
      <c r="T91" s="447"/>
      <c r="U91" s="447"/>
      <c r="V91" s="447"/>
      <c r="W91" s="447"/>
      <c r="X91" s="448"/>
      <c r="Y91" s="447"/>
      <c r="Z91" s="447"/>
      <c r="AA91" s="447"/>
      <c r="AB91" s="447"/>
      <c r="AC91" s="447"/>
      <c r="AD91" s="447"/>
      <c r="AE91" s="207"/>
      <c r="AF91" s="122"/>
      <c r="GU91" s="172"/>
      <c r="HJ91" s="113"/>
    </row>
    <row r="92" spans="1:218" ht="15" customHeight="1">
      <c r="C92" s="6" t="s">
        <v>3237</v>
      </c>
      <c r="D92" s="2"/>
      <c r="E92" s="2"/>
      <c r="F92" s="2"/>
      <c r="G92" s="46" t="s">
        <v>1792</v>
      </c>
      <c r="H92" s="223">
        <f>BW48</f>
        <v>0</v>
      </c>
      <c r="I92" s="223">
        <f>BX48</f>
        <v>5250</v>
      </c>
      <c r="J92" s="223">
        <f>BY48</f>
        <v>38000</v>
      </c>
      <c r="K92" s="223">
        <f>BZ48</f>
        <v>17600</v>
      </c>
      <c r="L92" s="223">
        <f>CA48</f>
        <v>0</v>
      </c>
      <c r="M92" s="223">
        <f t="shared" ref="M92:M98" si="217">SUM(H92:L92)</f>
        <v>60850</v>
      </c>
      <c r="O92" s="113"/>
      <c r="Q92" s="680">
        <f t="shared" ref="Q92:Q98" si="218">ABS(M92-AD92)</f>
        <v>0</v>
      </c>
      <c r="S92" s="207"/>
      <c r="T92" s="447" t="s">
        <v>3237</v>
      </c>
      <c r="U92" s="447"/>
      <c r="V92" s="447"/>
      <c r="W92" s="447"/>
      <c r="X92" s="448" t="s">
        <v>1792</v>
      </c>
      <c r="Y92" s="449">
        <f>BW48</f>
        <v>0</v>
      </c>
      <c r="Z92" s="449">
        <f>BX48</f>
        <v>5250</v>
      </c>
      <c r="AA92" s="449">
        <f>BY48</f>
        <v>38000</v>
      </c>
      <c r="AB92" s="449">
        <f>BZ48</f>
        <v>17600</v>
      </c>
      <c r="AC92" s="449">
        <f>CA48</f>
        <v>0</v>
      </c>
      <c r="AD92" s="449">
        <f t="shared" ref="AD92:AD98" si="219">SUM(Y92:AC92)</f>
        <v>60850</v>
      </c>
      <c r="AE92" s="207"/>
      <c r="AF92" s="122"/>
      <c r="GU92" s="172"/>
      <c r="HJ92" s="113"/>
    </row>
    <row r="93" spans="1:218" ht="15" customHeight="1">
      <c r="C93" s="5"/>
      <c r="D93" s="2"/>
      <c r="E93" s="2"/>
      <c r="F93" s="2"/>
      <c r="G93" s="46" t="s">
        <v>133</v>
      </c>
      <c r="H93" s="225">
        <f>CB48</f>
        <v>0</v>
      </c>
      <c r="I93" s="225">
        <f>CC48</f>
        <v>1500</v>
      </c>
      <c r="J93" s="225">
        <f>CD48</f>
        <v>9500</v>
      </c>
      <c r="K93" s="225">
        <f>CE48</f>
        <v>4400</v>
      </c>
      <c r="L93" s="225">
        <f>CF48</f>
        <v>0</v>
      </c>
      <c r="M93" s="225">
        <f t="shared" si="217"/>
        <v>15400</v>
      </c>
      <c r="N93" s="6"/>
      <c r="O93" s="113"/>
      <c r="Q93" s="680">
        <f t="shared" si="218"/>
        <v>0</v>
      </c>
      <c r="S93" s="207"/>
      <c r="T93" s="231"/>
      <c r="U93" s="447"/>
      <c r="V93" s="447"/>
      <c r="W93" s="447"/>
      <c r="X93" s="448" t="s">
        <v>133</v>
      </c>
      <c r="Y93" s="449">
        <f>CB48</f>
        <v>0</v>
      </c>
      <c r="Z93" s="449">
        <f>CC48</f>
        <v>1500</v>
      </c>
      <c r="AA93" s="449">
        <f>CD48</f>
        <v>9500</v>
      </c>
      <c r="AB93" s="449">
        <f>CE48</f>
        <v>4400</v>
      </c>
      <c r="AC93" s="449">
        <f>CF48</f>
        <v>0</v>
      </c>
      <c r="AD93" s="449">
        <f t="shared" si="219"/>
        <v>15400</v>
      </c>
      <c r="AE93" s="447"/>
      <c r="AF93" s="122"/>
      <c r="GU93" s="172"/>
      <c r="HJ93" s="113"/>
    </row>
    <row r="94" spans="1:218" ht="15" customHeight="1">
      <c r="C94" s="5"/>
      <c r="D94" s="2"/>
      <c r="E94" s="2"/>
      <c r="F94" s="2"/>
      <c r="G94" s="46" t="s">
        <v>833</v>
      </c>
      <c r="H94" s="222">
        <f>SUM(H92:H93)</f>
        <v>0</v>
      </c>
      <c r="I94" s="222">
        <f>SUM(I92:I93)</f>
        <v>6750</v>
      </c>
      <c r="J94" s="222">
        <f>SUM(J92:J93)</f>
        <v>47500</v>
      </c>
      <c r="K94" s="222">
        <f>SUM(K92:K93)</f>
        <v>22000</v>
      </c>
      <c r="L94" s="222">
        <f>SUM(L92:L93)</f>
        <v>0</v>
      </c>
      <c r="M94" s="222">
        <f t="shared" si="217"/>
        <v>76250</v>
      </c>
      <c r="N94" s="6"/>
      <c r="O94" s="113"/>
      <c r="Q94" s="680">
        <f t="shared" si="218"/>
        <v>0</v>
      </c>
      <c r="S94" s="207"/>
      <c r="T94" s="231"/>
      <c r="U94" s="447"/>
      <c r="V94" s="447"/>
      <c r="W94" s="447"/>
      <c r="X94" s="448" t="s">
        <v>833</v>
      </c>
      <c r="Y94" s="449">
        <f>SUM(Y92:Y93)</f>
        <v>0</v>
      </c>
      <c r="Z94" s="449">
        <f>SUM(Z92:Z93)</f>
        <v>6750</v>
      </c>
      <c r="AA94" s="449">
        <f>SUM(AA92:AA93)</f>
        <v>47500</v>
      </c>
      <c r="AB94" s="449">
        <f>SUM(AB92:AB93)</f>
        <v>22000</v>
      </c>
      <c r="AC94" s="449">
        <f>SUM(AC92:AC93)</f>
        <v>0</v>
      </c>
      <c r="AD94" s="449">
        <f t="shared" si="219"/>
        <v>76250</v>
      </c>
      <c r="AE94" s="447"/>
      <c r="AF94" s="122"/>
      <c r="GU94" s="172"/>
      <c r="HJ94" s="113"/>
    </row>
    <row r="95" spans="1:218" ht="15" customHeight="1">
      <c r="C95" s="2" t="s">
        <v>397</v>
      </c>
      <c r="D95" s="2"/>
      <c r="E95" s="2"/>
      <c r="F95" s="2"/>
      <c r="G95" s="2"/>
      <c r="H95" s="222">
        <f>CL48</f>
        <v>0</v>
      </c>
      <c r="I95" s="222">
        <f>CM48</f>
        <v>0</v>
      </c>
      <c r="J95" s="222">
        <f>CN48</f>
        <v>0</v>
      </c>
      <c r="K95" s="222">
        <f>CO48</f>
        <v>0</v>
      </c>
      <c r="L95" s="222">
        <f>CP48</f>
        <v>0</v>
      </c>
      <c r="M95" s="222">
        <f t="shared" si="217"/>
        <v>0</v>
      </c>
      <c r="O95" s="113"/>
      <c r="Q95" s="680">
        <f t="shared" si="218"/>
        <v>0</v>
      </c>
      <c r="S95" s="207"/>
      <c r="T95" s="122" t="s">
        <v>397</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1780</v>
      </c>
      <c r="D96" s="2"/>
      <c r="E96" s="2"/>
      <c r="F96" s="2"/>
      <c r="G96" s="2"/>
      <c r="H96" s="222">
        <f>SUM(H94:H95)</f>
        <v>0</v>
      </c>
      <c r="I96" s="222">
        <f>SUM(I94:I95)</f>
        <v>6750</v>
      </c>
      <c r="J96" s="222">
        <f>SUM(J94:J95)</f>
        <v>47500</v>
      </c>
      <c r="K96" s="222">
        <f>SUM(K94:K95)</f>
        <v>22000</v>
      </c>
      <c r="L96" s="222">
        <f>SUM(L94:L95)</f>
        <v>0</v>
      </c>
      <c r="M96" s="222">
        <f t="shared" si="217"/>
        <v>76250</v>
      </c>
      <c r="O96" s="113"/>
      <c r="Q96" s="680">
        <f t="shared" si="218"/>
        <v>0</v>
      </c>
      <c r="S96" s="207"/>
      <c r="T96" s="447" t="s">
        <v>1780</v>
      </c>
      <c r="U96" s="447"/>
      <c r="V96" s="447"/>
      <c r="W96" s="447"/>
      <c r="X96" s="447"/>
      <c r="Y96" s="449">
        <f>SUM(Y94:Y95)</f>
        <v>0</v>
      </c>
      <c r="Z96" s="449">
        <f>SUM(Z94:Z95)</f>
        <v>6750</v>
      </c>
      <c r="AA96" s="449">
        <f>SUM(AA94:AA95)</f>
        <v>47500</v>
      </c>
      <c r="AB96" s="449">
        <f>SUM(AB94:AB95)</f>
        <v>22000</v>
      </c>
      <c r="AC96" s="449">
        <f>SUM(AC94:AC95)</f>
        <v>0</v>
      </c>
      <c r="AD96" s="449">
        <f t="shared" si="219"/>
        <v>76250</v>
      </c>
      <c r="AE96" s="207"/>
      <c r="AF96" s="122"/>
      <c r="GU96" s="172"/>
      <c r="HJ96" s="113"/>
    </row>
    <row r="97" spans="1:220" ht="15" customHeight="1">
      <c r="C97" s="6" t="s">
        <v>3797</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3797</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833</v>
      </c>
      <c r="D98" s="2"/>
      <c r="E98" s="2"/>
      <c r="F98" s="2"/>
      <c r="G98" s="2"/>
      <c r="H98" s="222">
        <f>SUM(H96:H97)</f>
        <v>0</v>
      </c>
      <c r="I98" s="222">
        <f>SUM(I96:I97)</f>
        <v>6750</v>
      </c>
      <c r="J98" s="222">
        <f>SUM(J96:J97)</f>
        <v>47500</v>
      </c>
      <c r="K98" s="222">
        <f>SUM(K96:K97)</f>
        <v>22000</v>
      </c>
      <c r="L98" s="222">
        <f>SUM(L96:L97)</f>
        <v>0</v>
      </c>
      <c r="M98" s="222">
        <f t="shared" si="217"/>
        <v>76250</v>
      </c>
      <c r="O98" s="113"/>
      <c r="Q98" s="680">
        <f t="shared" si="218"/>
        <v>0</v>
      </c>
      <c r="S98" s="207"/>
      <c r="T98" s="447" t="s">
        <v>833</v>
      </c>
      <c r="U98" s="447"/>
      <c r="V98" s="447"/>
      <c r="W98" s="447"/>
      <c r="X98" s="447"/>
      <c r="Y98" s="449">
        <f>SUM(Y96:Y97)</f>
        <v>0</v>
      </c>
      <c r="Z98" s="449">
        <f>SUM(Z96:Z97)</f>
        <v>6750</v>
      </c>
      <c r="AA98" s="449">
        <f>SUM(AA96:AA97)</f>
        <v>47500</v>
      </c>
      <c r="AB98" s="449">
        <f>SUM(AB96:AB97)</f>
        <v>22000</v>
      </c>
      <c r="AC98" s="449">
        <f>SUM(AC96:AC97)</f>
        <v>0</v>
      </c>
      <c r="AD98" s="449">
        <f t="shared" si="219"/>
        <v>76250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1232</v>
      </c>
      <c r="B100" s="16" t="s">
        <v>288</v>
      </c>
      <c r="P100" s="9"/>
      <c r="Q100" s="682"/>
      <c r="FW100" s="113"/>
      <c r="GN100" s="445"/>
      <c r="GT100" s="113"/>
      <c r="GU100" s="172"/>
      <c r="HJ100" s="113"/>
      <c r="HL100" s="172"/>
    </row>
    <row r="101" spans="1:220" ht="9" customHeight="1">
      <c r="P101" s="682"/>
    </row>
    <row r="102" spans="1:220" ht="12.6" customHeight="1">
      <c r="B102" s="16" t="s">
        <v>1633</v>
      </c>
      <c r="D102" s="147"/>
      <c r="E102" s="184"/>
      <c r="G102" s="972">
        <f>0.02*L49</f>
        <v>9278.4</v>
      </c>
      <c r="H102" s="973"/>
      <c r="I102" s="145" t="s">
        <v>3752</v>
      </c>
      <c r="P102" s="575"/>
    </row>
    <row r="103" spans="1:220" ht="15" customHeight="1">
      <c r="B103" s="16"/>
      <c r="D103" s="147"/>
      <c r="E103" s="184"/>
      <c r="G103" s="303"/>
      <c r="H103" s="303"/>
      <c r="I103" s="145"/>
      <c r="P103" s="575"/>
    </row>
    <row r="104" spans="1:220" ht="13.9" customHeight="1">
      <c r="B104" s="16" t="s">
        <v>2170</v>
      </c>
      <c r="I104" s="16"/>
      <c r="K104" s="43"/>
    </row>
    <row r="105" spans="1:220" ht="15" customHeight="1">
      <c r="B105" s="16"/>
      <c r="I105" s="16"/>
      <c r="K105" s="43"/>
    </row>
    <row r="106" spans="1:220" ht="13.9" customHeight="1">
      <c r="B106" s="569" t="s">
        <v>3419</v>
      </c>
      <c r="G106" s="571">
        <v>1</v>
      </c>
      <c r="H106" s="571">
        <v>2</v>
      </c>
      <c r="I106" s="571">
        <v>3</v>
      </c>
      <c r="J106" s="571">
        <v>4</v>
      </c>
      <c r="K106" s="572">
        <v>5</v>
      </c>
      <c r="L106" s="571">
        <v>6</v>
      </c>
      <c r="M106" s="571">
        <v>7</v>
      </c>
      <c r="N106" s="571">
        <v>8</v>
      </c>
      <c r="O106" s="571">
        <v>9</v>
      </c>
      <c r="P106" s="571">
        <v>10</v>
      </c>
    </row>
    <row r="107" spans="1:220" ht="15" customHeight="1">
      <c r="B107" s="9" t="s">
        <v>1634</v>
      </c>
      <c r="G107" s="1324"/>
      <c r="H107" s="1324"/>
      <c r="I107" s="1324"/>
      <c r="J107" s="1324"/>
      <c r="K107" s="1325"/>
      <c r="L107" s="1324"/>
      <c r="M107" s="1324"/>
      <c r="N107" s="1324"/>
      <c r="O107" s="1324"/>
      <c r="P107" s="1324"/>
    </row>
    <row r="108" spans="1:220" ht="15" customHeight="1">
      <c r="B108" s="9" t="s">
        <v>1231</v>
      </c>
      <c r="C108" s="1326"/>
      <c r="D108" s="1327"/>
      <c r="E108" s="1327"/>
      <c r="F108" s="1328"/>
      <c r="G108" s="1329"/>
      <c r="H108" s="1329"/>
      <c r="I108" s="1329"/>
      <c r="J108" s="1329"/>
      <c r="K108" s="1330"/>
      <c r="L108" s="1329"/>
      <c r="M108" s="1329"/>
      <c r="N108" s="1329"/>
      <c r="O108" s="1329"/>
      <c r="P108" s="1329"/>
    </row>
    <row r="109" spans="1:220" ht="15" customHeight="1">
      <c r="C109" s="121" t="s">
        <v>1524</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980</v>
      </c>
      <c r="G111" s="44"/>
      <c r="P111" s="9"/>
    </row>
    <row r="112" spans="1:220" ht="15" customHeight="1">
      <c r="B112" s="9" t="s">
        <v>2200</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827</v>
      </c>
      <c r="G113" s="1324"/>
      <c r="H113" s="1324"/>
      <c r="I113" s="1324"/>
      <c r="J113" s="1324"/>
      <c r="K113" s="1325"/>
      <c r="L113" s="1324"/>
      <c r="M113" s="1324"/>
      <c r="N113" s="1324"/>
      <c r="O113" s="1324"/>
      <c r="P113" s="1324"/>
    </row>
    <row r="114" spans="2:16" ht="15" customHeight="1">
      <c r="B114" s="9" t="s">
        <v>1231</v>
      </c>
      <c r="C114" s="1326"/>
      <c r="D114" s="1327"/>
      <c r="E114" s="1327"/>
      <c r="F114" s="1328"/>
      <c r="G114" s="1329"/>
      <c r="H114" s="1329"/>
      <c r="I114" s="1329"/>
      <c r="J114" s="1329"/>
      <c r="K114" s="1330"/>
      <c r="L114" s="1329"/>
      <c r="M114" s="1329"/>
      <c r="N114" s="1329"/>
      <c r="O114" s="1329"/>
      <c r="P114" s="1329"/>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3419</v>
      </c>
      <c r="G117" s="571">
        <v>11</v>
      </c>
      <c r="H117" s="571">
        <v>12</v>
      </c>
      <c r="I117" s="571">
        <v>13</v>
      </c>
      <c r="J117" s="571">
        <v>14</v>
      </c>
      <c r="K117" s="571">
        <v>15</v>
      </c>
      <c r="L117" s="571">
        <v>16</v>
      </c>
      <c r="M117" s="571">
        <v>17</v>
      </c>
      <c r="N117" s="571">
        <v>18</v>
      </c>
      <c r="O117" s="571">
        <v>19</v>
      </c>
      <c r="P117" s="571">
        <v>20</v>
      </c>
    </row>
    <row r="118" spans="2:16" ht="15" customHeight="1">
      <c r="B118" s="9" t="s">
        <v>1634</v>
      </c>
      <c r="G118" s="1324"/>
      <c r="H118" s="1324"/>
      <c r="I118" s="1324"/>
      <c r="J118" s="1324"/>
      <c r="K118" s="1325"/>
      <c r="L118" s="1324"/>
      <c r="M118" s="1324"/>
      <c r="N118" s="1324"/>
      <c r="O118" s="1324"/>
      <c r="P118" s="1324"/>
    </row>
    <row r="119" spans="2:16" ht="15" customHeight="1">
      <c r="B119" s="9" t="s">
        <v>1231</v>
      </c>
      <c r="C119" s="1326"/>
      <c r="D119" s="1327"/>
      <c r="E119" s="1327"/>
      <c r="F119" s="1328"/>
      <c r="G119" s="1329"/>
      <c r="H119" s="1329"/>
      <c r="I119" s="1329"/>
      <c r="J119" s="1329"/>
      <c r="K119" s="1330"/>
      <c r="L119" s="1329"/>
      <c r="M119" s="1329"/>
      <c r="N119" s="1329"/>
      <c r="O119" s="1329"/>
      <c r="P119" s="1329"/>
    </row>
    <row r="120" spans="2:16" ht="15" customHeight="1">
      <c r="C120" s="121" t="s">
        <v>1524</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980</v>
      </c>
      <c r="G122" s="44"/>
      <c r="P122" s="9"/>
    </row>
    <row r="123" spans="2:16" ht="15" customHeight="1">
      <c r="B123" s="9" t="s">
        <v>2200</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827</v>
      </c>
      <c r="G124" s="1324"/>
      <c r="H124" s="1324"/>
      <c r="I124" s="1324"/>
      <c r="J124" s="1324"/>
      <c r="K124" s="1325"/>
      <c r="L124" s="1324"/>
      <c r="M124" s="1324"/>
      <c r="N124" s="1324"/>
      <c r="O124" s="1324"/>
      <c r="P124" s="1324"/>
    </row>
    <row r="125" spans="2:16" ht="15" customHeight="1">
      <c r="B125" s="9" t="s">
        <v>1231</v>
      </c>
      <c r="C125" s="1326"/>
      <c r="D125" s="1327"/>
      <c r="E125" s="1327"/>
      <c r="F125" s="1328"/>
      <c r="G125" s="1329"/>
      <c r="H125" s="1329"/>
      <c r="I125" s="1329"/>
      <c r="J125" s="1329"/>
      <c r="K125" s="1330"/>
      <c r="L125" s="1329"/>
      <c r="M125" s="1329"/>
      <c r="N125" s="1329"/>
      <c r="O125" s="1329"/>
      <c r="P125" s="1329"/>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3419</v>
      </c>
      <c r="G128" s="571">
        <v>21</v>
      </c>
      <c r="H128" s="571">
        <v>22</v>
      </c>
      <c r="I128" s="571">
        <v>23</v>
      </c>
      <c r="J128" s="571">
        <v>24</v>
      </c>
      <c r="K128" s="571">
        <v>25</v>
      </c>
      <c r="L128" s="571">
        <v>26</v>
      </c>
      <c r="M128" s="571">
        <v>27</v>
      </c>
      <c r="N128" s="571">
        <v>28</v>
      </c>
      <c r="O128" s="571">
        <v>29</v>
      </c>
      <c r="P128" s="571">
        <v>30</v>
      </c>
    </row>
    <row r="129" spans="1:219" ht="15" customHeight="1">
      <c r="B129" s="9" t="s">
        <v>1634</v>
      </c>
      <c r="G129" s="1324"/>
      <c r="H129" s="1324"/>
      <c r="I129" s="1324"/>
      <c r="J129" s="1324"/>
      <c r="K129" s="1325"/>
      <c r="L129" s="1324"/>
      <c r="M129" s="1324"/>
      <c r="N129" s="1324"/>
      <c r="O129" s="1324"/>
      <c r="P129" s="1324"/>
    </row>
    <row r="130" spans="1:219" ht="15" customHeight="1">
      <c r="B130" s="9" t="s">
        <v>1231</v>
      </c>
      <c r="C130" s="1326"/>
      <c r="D130" s="1327"/>
      <c r="E130" s="1327"/>
      <c r="F130" s="1328"/>
      <c r="G130" s="1329"/>
      <c r="H130" s="1329"/>
      <c r="I130" s="1329"/>
      <c r="J130" s="1329"/>
      <c r="K130" s="1330"/>
      <c r="L130" s="1329"/>
      <c r="M130" s="1329"/>
      <c r="N130" s="1329"/>
      <c r="O130" s="1329"/>
      <c r="P130" s="1329"/>
    </row>
    <row r="131" spans="1:219" ht="15" customHeight="1">
      <c r="C131" s="121" t="s">
        <v>1524</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980</v>
      </c>
      <c r="G133" s="44"/>
      <c r="P133" s="9"/>
    </row>
    <row r="134" spans="1:219" ht="15" customHeight="1">
      <c r="B134" s="9" t="s">
        <v>2200</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827</v>
      </c>
      <c r="G135" s="1324"/>
      <c r="H135" s="1324"/>
      <c r="I135" s="1324"/>
      <c r="J135" s="1324"/>
      <c r="K135" s="1325"/>
      <c r="L135" s="1324"/>
      <c r="M135" s="1324"/>
      <c r="N135" s="1324"/>
      <c r="O135" s="1324"/>
      <c r="P135" s="1324"/>
    </row>
    <row r="136" spans="1:219" ht="15" customHeight="1">
      <c r="B136" s="9" t="s">
        <v>1231</v>
      </c>
      <c r="C136" s="1326"/>
      <c r="D136" s="1327"/>
      <c r="E136" s="1327"/>
      <c r="F136" s="1328"/>
      <c r="G136" s="1329"/>
      <c r="H136" s="1329"/>
      <c r="I136" s="1329"/>
      <c r="J136" s="1329"/>
      <c r="K136" s="1330"/>
      <c r="L136" s="1329"/>
      <c r="M136" s="1329"/>
      <c r="N136" s="1329"/>
      <c r="O136" s="1329"/>
      <c r="P136" s="1329"/>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75" customHeight="1">
      <c r="B138" s="16"/>
      <c r="F138" s="44"/>
      <c r="G138" s="44"/>
      <c r="J138" s="19"/>
      <c r="P138" s="9"/>
    </row>
    <row r="139" spans="1:219" s="122" customFormat="1" ht="11.25" customHeight="1">
      <c r="A139" s="5" t="s">
        <v>2824</v>
      </c>
      <c r="B139" s="714" t="s">
        <v>1636</v>
      </c>
      <c r="C139" s="714"/>
      <c r="D139" s="714"/>
      <c r="E139" s="714"/>
      <c r="F139" s="714"/>
      <c r="G139" s="714"/>
      <c r="H139" s="714"/>
      <c r="I139" s="714"/>
      <c r="J139" s="714"/>
      <c r="K139" s="714"/>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4"/>
      <c r="C140" s="714"/>
      <c r="D140" s="714"/>
      <c r="E140" s="714"/>
      <c r="F140" s="714"/>
      <c r="G140" s="714"/>
      <c r="H140" s="714"/>
      <c r="I140" s="714"/>
      <c r="J140" s="714"/>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1991</v>
      </c>
      <c r="C141" s="2"/>
      <c r="D141" s="2"/>
      <c r="E141" s="2"/>
      <c r="F141" s="31"/>
      <c r="G141" s="31"/>
      <c r="H141" s="2"/>
      <c r="I141" s="11" t="s">
        <v>2080</v>
      </c>
      <c r="J141" s="2"/>
      <c r="K141" s="2"/>
      <c r="L141" s="2"/>
      <c r="M141" s="2"/>
      <c r="N141" s="11" t="s">
        <v>2079</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3304</v>
      </c>
      <c r="C142" s="2"/>
      <c r="D142" s="2"/>
      <c r="E142" s="2"/>
      <c r="F142" s="1331">
        <v>40000</v>
      </c>
      <c r="G142" s="1332"/>
      <c r="H142" s="2"/>
      <c r="I142" s="2" t="s">
        <v>2081</v>
      </c>
      <c r="J142" s="2"/>
      <c r="K142" s="1331"/>
      <c r="L142" s="1332"/>
      <c r="M142" s="2"/>
      <c r="N142" s="2" t="s">
        <v>1525</v>
      </c>
      <c r="O142" s="2"/>
      <c r="P142" s="1333">
        <v>43533.94</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2070</v>
      </c>
      <c r="C143" s="2"/>
      <c r="D143" s="2"/>
      <c r="E143" s="2"/>
      <c r="F143" s="1331">
        <v>30000</v>
      </c>
      <c r="G143" s="1332"/>
      <c r="H143" s="2"/>
      <c r="I143" s="2" t="s">
        <v>2082</v>
      </c>
      <c r="J143" s="2"/>
      <c r="K143" s="1331">
        <v>600</v>
      </c>
      <c r="L143" s="1332"/>
      <c r="M143" s="2"/>
      <c r="N143" s="2" t="s">
        <v>200</v>
      </c>
      <c r="O143" s="2"/>
      <c r="P143" s="1333">
        <v>20000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1917</v>
      </c>
      <c r="C144" s="2"/>
      <c r="D144" s="2"/>
      <c r="E144" s="2"/>
      <c r="F144" s="1331"/>
      <c r="G144" s="1332"/>
      <c r="H144" s="2"/>
      <c r="I144" s="2"/>
      <c r="J144" s="168" t="s">
        <v>249</v>
      </c>
      <c r="K144" s="976">
        <f>SUM(K142:L143)</f>
        <v>600</v>
      </c>
      <c r="L144" s="977"/>
      <c r="M144" s="2"/>
      <c r="N144" s="1334" t="s">
        <v>60</v>
      </c>
      <c r="O144" s="1335"/>
      <c r="P144" s="1336"/>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7" t="s">
        <v>60</v>
      </c>
      <c r="C145" s="1338"/>
      <c r="D145" s="1338"/>
      <c r="E145" s="1339"/>
      <c r="F145" s="1340"/>
      <c r="G145" s="1341"/>
      <c r="H145" s="2"/>
      <c r="I145" s="2"/>
      <c r="J145" s="2"/>
      <c r="K145" s="2"/>
      <c r="L145" s="2"/>
      <c r="M145" s="2"/>
      <c r="N145" s="13" t="s">
        <v>249</v>
      </c>
      <c r="O145" s="2"/>
      <c r="P145" s="665">
        <f>SUM(P142:P144)</f>
        <v>63533.94</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6">
        <f>SUM(F142:G145)</f>
        <v>70000</v>
      </c>
      <c r="G146" s="977"/>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1992</v>
      </c>
      <c r="C148" s="2"/>
      <c r="D148" s="10"/>
      <c r="E148" s="2"/>
      <c r="F148" s="2"/>
      <c r="G148" s="2"/>
      <c r="H148" s="2"/>
      <c r="I148" s="11" t="s">
        <v>1993</v>
      </c>
      <c r="J148" s="2"/>
      <c r="K148" s="2"/>
      <c r="L148" s="2"/>
      <c r="M148" s="2"/>
      <c r="N148" s="11" t="s">
        <v>2083</v>
      </c>
      <c r="O148" s="2"/>
      <c r="P148" s="664">
        <f>IF(OR('Part VII-Pro Forma'!$B$20 = "Choose Mgt Fee",'Part VII-Pro Forma'!$B$20 = "Choose One!"), 0,- 'Part VII-Pro Forma'!$B$20)</f>
        <v>34223</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2075</v>
      </c>
      <c r="C149" s="2"/>
      <c r="D149" s="10"/>
      <c r="E149" s="2"/>
      <c r="F149" s="1331">
        <v>6000</v>
      </c>
      <c r="G149" s="1332"/>
      <c r="H149" s="2"/>
      <c r="I149" s="2" t="s">
        <v>2365</v>
      </c>
      <c r="J149" s="2"/>
      <c r="K149" s="1342">
        <v>8000</v>
      </c>
      <c r="L149" s="1343"/>
      <c r="M149" s="2"/>
      <c r="N149" s="610">
        <f>+P148/(M63*0.93)</f>
        <v>465.80917381244046</v>
      </c>
      <c r="O149" s="30" t="s">
        <v>3862</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2076</v>
      </c>
      <c r="C150" s="2"/>
      <c r="D150" s="10"/>
      <c r="E150" s="2"/>
      <c r="F150" s="1331">
        <v>3600</v>
      </c>
      <c r="G150" s="1332"/>
      <c r="H150" s="2"/>
      <c r="I150" s="2" t="s">
        <v>3141</v>
      </c>
      <c r="J150" s="2"/>
      <c r="K150" s="1344">
        <v>12000</v>
      </c>
      <c r="L150" s="1345"/>
      <c r="M150" s="2"/>
      <c r="N150" s="610">
        <f>+P148/(M63*0.93)/12</f>
        <v>38.817431151036708</v>
      </c>
      <c r="O150" s="30" t="s">
        <v>3863</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2077</v>
      </c>
      <c r="C151" s="2"/>
      <c r="D151" s="10"/>
      <c r="E151" s="2"/>
      <c r="F151" s="1331"/>
      <c r="G151" s="1332"/>
      <c r="H151" s="2"/>
      <c r="I151" s="2" t="s">
        <v>2366</v>
      </c>
      <c r="J151" s="2"/>
      <c r="K151" s="1344">
        <v>6500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3489</v>
      </c>
      <c r="C152" s="2"/>
      <c r="D152" s="10"/>
      <c r="E152" s="2"/>
      <c r="F152" s="1331">
        <v>2400</v>
      </c>
      <c r="G152" s="1332"/>
      <c r="H152" s="2"/>
      <c r="I152" s="1334" t="s">
        <v>60</v>
      </c>
      <c r="J152" s="1335"/>
      <c r="K152" s="1342"/>
      <c r="L152" s="1343"/>
      <c r="M152" s="2"/>
      <c r="N152" s="978" t="s">
        <v>3732</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2363</v>
      </c>
      <c r="C153" s="2"/>
      <c r="D153" s="10"/>
      <c r="E153" s="2"/>
      <c r="F153" s="1331">
        <v>2400</v>
      </c>
      <c r="G153" s="1332"/>
      <c r="H153" s="2"/>
      <c r="I153" s="11"/>
      <c r="J153" s="13" t="s">
        <v>249</v>
      </c>
      <c r="K153" s="983">
        <f>SUM(K149:K152)</f>
        <v>26500</v>
      </c>
      <c r="L153" s="984"/>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7" t="s">
        <v>60</v>
      </c>
      <c r="C154" s="1338"/>
      <c r="D154" s="1338"/>
      <c r="E154" s="1339"/>
      <c r="F154" s="1340"/>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6">
        <f>SUM(F149:G154)</f>
        <v>14400</v>
      </c>
      <c r="G155" s="977"/>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1994</v>
      </c>
      <c r="C157" s="2"/>
      <c r="D157" s="10"/>
      <c r="E157" s="2"/>
      <c r="F157" s="2"/>
      <c r="G157" s="2"/>
      <c r="H157" s="2"/>
      <c r="I157" s="11" t="s">
        <v>2078</v>
      </c>
      <c r="J157" s="715" t="s">
        <v>3555</v>
      </c>
      <c r="K157" s="2"/>
      <c r="L157" s="2"/>
      <c r="M157" s="2"/>
      <c r="N157" s="11" t="s">
        <v>3294</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2367</v>
      </c>
      <c r="C158" s="2"/>
      <c r="D158" s="10"/>
      <c r="E158" s="2"/>
      <c r="F158" s="1346">
        <v>12500</v>
      </c>
      <c r="G158" s="1347"/>
      <c r="H158" s="2"/>
      <c r="I158" s="2" t="s">
        <v>2071</v>
      </c>
      <c r="J158" s="662">
        <f>K158/12/$M$63</f>
        <v>8.4388185654008439</v>
      </c>
      <c r="K158" s="1344">
        <v>8000</v>
      </c>
      <c r="L158" s="1345"/>
      <c r="M158" s="2"/>
      <c r="N158" s="368">
        <f>+$P$158/$M$63</f>
        <v>4039.4549367088607</v>
      </c>
      <c r="O158" s="30" t="s">
        <v>2111</v>
      </c>
      <c r="P158" s="663">
        <f>F146+F155+F166+K144+K153+K163+P145+P148</f>
        <v>319116.94</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2368</v>
      </c>
      <c r="C159" s="2"/>
      <c r="D159" s="10"/>
      <c r="E159" s="2"/>
      <c r="F159" s="1346">
        <v>12000</v>
      </c>
      <c r="G159" s="1347"/>
      <c r="H159" s="2"/>
      <c r="I159" s="2" t="s">
        <v>2072</v>
      </c>
      <c r="J159" s="662">
        <f>K159/12/$M$63</f>
        <v>0</v>
      </c>
      <c r="K159" s="1344"/>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2369</v>
      </c>
      <c r="C160" s="2"/>
      <c r="D160" s="10"/>
      <c r="E160" s="2"/>
      <c r="F160" s="1346">
        <v>18000</v>
      </c>
      <c r="G160" s="1347"/>
      <c r="H160" s="2"/>
      <c r="I160" s="2" t="s">
        <v>3554</v>
      </c>
      <c r="J160" s="662">
        <f>K160/12/$M$63</f>
        <v>28.333333333333336</v>
      </c>
      <c r="K160" s="1344">
        <v>26860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1617</v>
      </c>
      <c r="C161" s="2"/>
      <c r="D161" s="10"/>
      <c r="E161" s="2"/>
      <c r="F161" s="1331">
        <v>3500</v>
      </c>
      <c r="G161" s="1332"/>
      <c r="H161" s="2"/>
      <c r="I161" s="2" t="s">
        <v>2074</v>
      </c>
      <c r="J161" s="2"/>
      <c r="K161" s="1344">
        <v>7500</v>
      </c>
      <c r="L161" s="1345"/>
      <c r="M161" s="2"/>
      <c r="N161" s="11" t="s">
        <v>1923</v>
      </c>
      <c r="O161" s="11"/>
      <c r="P161" s="664">
        <f>P162*M63</f>
        <v>19750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1618</v>
      </c>
      <c r="C162" s="2"/>
      <c r="D162" s="10"/>
      <c r="E162" s="2"/>
      <c r="F162" s="1331">
        <v>9500</v>
      </c>
      <c r="G162" s="1332"/>
      <c r="H162" s="2"/>
      <c r="I162" s="1334" t="s">
        <v>60</v>
      </c>
      <c r="J162" s="1335"/>
      <c r="K162" s="1342"/>
      <c r="L162" s="1343"/>
      <c r="M162" s="2"/>
      <c r="N162" s="30" t="s">
        <v>680</v>
      </c>
      <c r="O162" s="2"/>
      <c r="P162" s="1348">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1619</v>
      </c>
      <c r="C163" s="2"/>
      <c r="D163" s="10"/>
      <c r="E163" s="2"/>
      <c r="F163" s="1331"/>
      <c r="G163" s="1332"/>
      <c r="H163" s="2"/>
      <c r="I163" s="2"/>
      <c r="J163" s="13" t="s">
        <v>249</v>
      </c>
      <c r="K163" s="983">
        <f>SUM(K158:K162)</f>
        <v>42360</v>
      </c>
      <c r="L163" s="984"/>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1459</v>
      </c>
      <c r="C164" s="2"/>
      <c r="D164" s="10"/>
      <c r="E164" s="2"/>
      <c r="F164" s="1331">
        <v>12000</v>
      </c>
      <c r="G164" s="1332"/>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7" t="s">
        <v>60</v>
      </c>
      <c r="C165" s="1338"/>
      <c r="D165" s="1338"/>
      <c r="E165" s="1339"/>
      <c r="F165" s="1340"/>
      <c r="G165" s="1341"/>
      <c r="H165" s="2"/>
      <c r="I165" s="2"/>
      <c r="J165" s="14"/>
      <c r="K165" s="2"/>
      <c r="L165" s="2"/>
      <c r="M165" s="2"/>
      <c r="N165" s="11" t="s">
        <v>3295</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81">
        <f>SUM(F158:G165)</f>
        <v>67500</v>
      </c>
      <c r="G166" s="982"/>
      <c r="H166" s="2"/>
      <c r="I166" s="2"/>
      <c r="J166" s="14"/>
      <c r="K166" s="2"/>
      <c r="L166" s="2"/>
      <c r="M166" s="2"/>
      <c r="N166" s="2"/>
      <c r="O166" s="2"/>
      <c r="P166" s="663">
        <f>P158+P161</f>
        <v>338866.94</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4" customHeight="1">
      <c r="A168" s="16" t="s">
        <v>2826</v>
      </c>
      <c r="B168" s="16" t="s">
        <v>880</v>
      </c>
      <c r="K168" s="16" t="s">
        <v>823</v>
      </c>
      <c r="L168" s="16" t="s">
        <v>2898</v>
      </c>
    </row>
    <row r="169" spans="1:219" ht="51.6" customHeight="1">
      <c r="A169" s="1290" t="s">
        <v>4058</v>
      </c>
      <c r="B169" s="1349"/>
      <c r="C169" s="1349"/>
      <c r="D169" s="1349"/>
      <c r="E169" s="1349"/>
      <c r="F169" s="1349"/>
      <c r="G169" s="1349"/>
      <c r="H169" s="1349"/>
      <c r="I169" s="1349"/>
      <c r="J169" s="1350"/>
      <c r="K169" s="1293"/>
      <c r="L169" s="1351"/>
      <c r="M169" s="1351"/>
      <c r="N169" s="1351"/>
      <c r="O169" s="1351"/>
      <c r="P169" s="1352"/>
    </row>
    <row r="170" spans="1:219" s="122" customFormat="1" ht="51.6" customHeight="1">
      <c r="A170" s="1294" t="s">
        <v>3941</v>
      </c>
      <c r="B170" s="1353"/>
      <c r="C170" s="1353"/>
      <c r="D170" s="1353"/>
      <c r="E170" s="1353"/>
      <c r="F170" s="1353"/>
      <c r="G170" s="1353"/>
      <c r="H170" s="1353"/>
      <c r="I170" s="1353"/>
      <c r="J170" s="1354"/>
      <c r="K170" s="1297"/>
      <c r="L170" s="1355"/>
      <c r="M170" s="1355"/>
      <c r="N170" s="1355"/>
      <c r="O170" s="1355"/>
      <c r="P170" s="135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8" t="s">
        <v>4019</v>
      </c>
      <c r="B171" s="1357"/>
      <c r="C171" s="1357"/>
      <c r="D171" s="1357"/>
      <c r="E171" s="1357"/>
      <c r="F171" s="1357"/>
      <c r="G171" s="1357"/>
      <c r="H171" s="1357"/>
      <c r="I171" s="1357"/>
      <c r="J171" s="1358"/>
      <c r="K171" s="1301"/>
      <c r="L171" s="1359"/>
      <c r="M171" s="1359"/>
      <c r="N171" s="1359"/>
      <c r="O171" s="1359"/>
      <c r="P171" s="1360"/>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4" customHeight="1"/>
    <row r="174" spans="1:219" ht="12.4"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ES4:ES9"/>
    <mergeCell ref="ET8:ET9"/>
    <mergeCell ref="EY8:EY9"/>
    <mergeCell ref="FI8:FI9"/>
    <mergeCell ref="FU8:FU9"/>
    <mergeCell ref="FV8:FV9"/>
    <mergeCell ref="FS8:FS9"/>
    <mergeCell ref="FA8:FA9"/>
    <mergeCell ref="EK4:EK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38" bottom="0.45" header="0.17"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112" zoomScale="90" zoomScaleNormal="90" workbookViewId="0">
      <selection activeCell="E27" sqref="E27"/>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2011-044 Brentwood Place Apartments, Forsyth, Monroe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1671</v>
      </c>
    </row>
    <row r="4" spans="1:15" ht="2.4500000000000002" customHeight="1">
      <c r="A4" s="19"/>
      <c r="B4" s="19"/>
      <c r="C4" s="19"/>
      <c r="H4" s="19"/>
      <c r="I4" s="19"/>
    </row>
    <row r="5" spans="1:15">
      <c r="A5" s="19" t="s">
        <v>3296</v>
      </c>
      <c r="B5" s="108">
        <v>0.02</v>
      </c>
      <c r="C5" s="19"/>
      <c r="D5" s="19" t="s">
        <v>1366</v>
      </c>
      <c r="F5" s="19"/>
      <c r="G5" s="1279">
        <v>7500</v>
      </c>
      <c r="H5" s="132" t="s">
        <v>2972</v>
      </c>
      <c r="K5" s="138">
        <f>IF(($B$14+$B$15+$B$16+$B$17)=0,"",-B30/($B$14+$B$15+$B$16+$B$17))</f>
        <v>1.7042568463951396E-2</v>
      </c>
    </row>
    <row r="6" spans="1:15">
      <c r="A6" s="19" t="s">
        <v>3297</v>
      </c>
      <c r="B6" s="108">
        <v>0.03</v>
      </c>
      <c r="C6" s="19"/>
      <c r="D6" s="19" t="s">
        <v>1367</v>
      </c>
      <c r="F6" s="19"/>
      <c r="G6" s="1279"/>
      <c r="H6" s="132" t="s">
        <v>3588</v>
      </c>
      <c r="K6" s="138">
        <f>IF(($B$14+$B$15+$B$16+$B$17)=0,"",-B32/($B$14+$B$15+$B$16+$B$17))</f>
        <v>0</v>
      </c>
    </row>
    <row r="7" spans="1:15">
      <c r="A7" s="19" t="s">
        <v>3299</v>
      </c>
      <c r="B7" s="108">
        <v>0.03</v>
      </c>
      <c r="C7" s="19"/>
      <c r="D7" s="110" t="s">
        <v>357</v>
      </c>
      <c r="G7" s="112"/>
      <c r="H7" s="132" t="s">
        <v>3589</v>
      </c>
      <c r="K7" s="138">
        <f>IF(($B$14+$B$15+$B$16+$B$17)=0,"",-B20/($B$14+$B$15+$B$16+$B$17))</f>
        <v>7.7766376072241156E-2</v>
      </c>
    </row>
    <row r="8" spans="1:15" ht="13.15" customHeight="1">
      <c r="A8" s="19" t="s">
        <v>3298</v>
      </c>
      <c r="B8" s="1280">
        <v>7.0000000000000007E-2</v>
      </c>
      <c r="C8" s="19"/>
      <c r="D8" s="109" t="s">
        <v>3789</v>
      </c>
      <c r="G8" s="1281" t="s">
        <v>3919</v>
      </c>
      <c r="H8" s="232" t="s">
        <v>2169</v>
      </c>
      <c r="K8" s="1282">
        <v>34223</v>
      </c>
    </row>
    <row r="9" spans="1:15">
      <c r="A9" s="19" t="s">
        <v>2130</v>
      </c>
      <c r="B9" s="108">
        <v>0.02</v>
      </c>
      <c r="D9" s="109" t="s">
        <v>2744</v>
      </c>
      <c r="G9" s="1281"/>
      <c r="H9" s="232" t="s">
        <v>3562</v>
      </c>
      <c r="K9" s="1283"/>
    </row>
    <row r="10" spans="1:15" ht="4.1500000000000004" customHeight="1"/>
    <row r="11" spans="1:15">
      <c r="A11" s="16" t="s">
        <v>101</v>
      </c>
    </row>
    <row r="12" spans="1:15" ht="2.4500000000000002" customHeight="1"/>
    <row r="13" spans="1:15" ht="14.45" customHeight="1">
      <c r="A13" s="16" t="s">
        <v>3753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3643</v>
      </c>
      <c r="B14" s="22">
        <f>'Part VI-Revenues &amp; Expenses'!L49</f>
        <v>463920</v>
      </c>
      <c r="C14" s="22">
        <f t="shared" ref="C14:K14" si="1">$B$14*(1+$B$5)^(C13-1)</f>
        <v>473198.4</v>
      </c>
      <c r="D14" s="22">
        <f t="shared" si="1"/>
        <v>482662.36800000002</v>
      </c>
      <c r="E14" s="22">
        <f t="shared" si="1"/>
        <v>492315.61536</v>
      </c>
      <c r="F14" s="22">
        <f t="shared" si="1"/>
        <v>502161.92766719998</v>
      </c>
      <c r="G14" s="22">
        <f t="shared" si="1"/>
        <v>512205.16622054402</v>
      </c>
      <c r="H14" s="22">
        <f t="shared" si="1"/>
        <v>522449.26954495494</v>
      </c>
      <c r="I14" s="22">
        <f t="shared" si="1"/>
        <v>532898.25493585388</v>
      </c>
      <c r="J14" s="22">
        <f t="shared" si="1"/>
        <v>543556.22003457102</v>
      </c>
      <c r="K14" s="23">
        <f t="shared" si="1"/>
        <v>554427.34443526249</v>
      </c>
    </row>
    <row r="15" spans="1:15" ht="13.15" customHeight="1">
      <c r="A15" s="24" t="s">
        <v>1633</v>
      </c>
      <c r="B15" s="25">
        <f>MIN(B14*B9,'Part VI-Revenues &amp; Expenses'!G102)</f>
        <v>9278.4</v>
      </c>
      <c r="C15" s="25">
        <f t="shared" ref="C15:K15" si="2">$B$15*(1+$B$5)^(C13-1)</f>
        <v>9463.9679999999989</v>
      </c>
      <c r="D15" s="25">
        <f t="shared" si="2"/>
        <v>9653.2473599999994</v>
      </c>
      <c r="E15" s="25">
        <f t="shared" si="2"/>
        <v>9846.3123071999999</v>
      </c>
      <c r="F15" s="25">
        <f t="shared" si="2"/>
        <v>10043.238553343999</v>
      </c>
      <c r="G15" s="25">
        <f t="shared" si="2"/>
        <v>10244.10332441088</v>
      </c>
      <c r="H15" s="25">
        <f t="shared" si="2"/>
        <v>10448.985390899097</v>
      </c>
      <c r="I15" s="25">
        <f t="shared" si="2"/>
        <v>10657.965098717077</v>
      </c>
      <c r="J15" s="25">
        <f t="shared" si="2"/>
        <v>10871.12440069142</v>
      </c>
      <c r="K15" s="26">
        <f t="shared" si="2"/>
        <v>11088.546888705248</v>
      </c>
    </row>
    <row r="16" spans="1:15" ht="13.15" customHeight="1">
      <c r="A16" s="24" t="s">
        <v>3644</v>
      </c>
      <c r="B16" s="25">
        <f t="shared" ref="B16:K16" si="3">-(B14+B15)*$B$8</f>
        <v>-33123.888000000006</v>
      </c>
      <c r="C16" s="25">
        <f t="shared" si="3"/>
        <v>-33786.365760000008</v>
      </c>
      <c r="D16" s="25">
        <f t="shared" si="3"/>
        <v>-34462.093075200006</v>
      </c>
      <c r="E16" s="25">
        <f t="shared" si="3"/>
        <v>-35151.334936703999</v>
      </c>
      <c r="F16" s="25">
        <f t="shared" si="3"/>
        <v>-35854.361635438079</v>
      </c>
      <c r="G16" s="25">
        <f t="shared" si="3"/>
        <v>-36571.448868146843</v>
      </c>
      <c r="H16" s="25">
        <f t="shared" si="3"/>
        <v>-37302.877845509785</v>
      </c>
      <c r="I16" s="25">
        <f t="shared" si="3"/>
        <v>-38048.935402419971</v>
      </c>
      <c r="J16" s="25">
        <f t="shared" si="3"/>
        <v>-38809.91411046838</v>
      </c>
      <c r="K16" s="26">
        <f t="shared" si="3"/>
        <v>-39586.112392677744</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949</v>
      </c>
      <c r="B19" s="25">
        <f>-('Part VI-Revenues &amp; Expenses'!P158-'Part VI-Revenues &amp; Expenses'!P148)</f>
        <v>-284893.94</v>
      </c>
      <c r="C19" s="25">
        <f t="shared" ref="C19:K19" si="4">$B$19*(1+$B$6)^(C13-1)</f>
        <v>-293440.75819999998</v>
      </c>
      <c r="D19" s="25">
        <f t="shared" si="4"/>
        <v>-302243.98094599997</v>
      </c>
      <c r="E19" s="25">
        <f t="shared" si="4"/>
        <v>-311311.30037438002</v>
      </c>
      <c r="F19" s="25">
        <f t="shared" si="4"/>
        <v>-320650.6393856114</v>
      </c>
      <c r="G19" s="25">
        <f t="shared" si="4"/>
        <v>-330270.15856717969</v>
      </c>
      <c r="H19" s="25">
        <f t="shared" si="4"/>
        <v>-340178.26332419511</v>
      </c>
      <c r="I19" s="25">
        <f t="shared" si="4"/>
        <v>-350383.61122392101</v>
      </c>
      <c r="J19" s="25">
        <f t="shared" si="4"/>
        <v>-360895.11956063856</v>
      </c>
      <c r="K19" s="26">
        <f t="shared" si="4"/>
        <v>-371721.97314745776</v>
      </c>
    </row>
    <row r="20" spans="1:11" ht="13.15" customHeight="1">
      <c r="A20" s="24" t="s">
        <v>1747</v>
      </c>
      <c r="B20" s="25">
        <f>IF(AND('Part VII-Pro Forma'!$G$8="Yes",'Part VII-Pro Forma'!$G$9="Yes"),"Choose One!",IF('Part VII-Pro Forma'!$G$8="Yes",ROUND((-$K$8*(1+'Part VII-Pro Forma'!$B$6)^('Part VII-Pro Forma'!B13-1)),),IF('Part VII-Pro Forma'!$G$9="Yes",ROUND((-(SUM(B14:B17)*'Part VII-Pro Forma'!$K$9)),),"Choose mgt fee")))</f>
        <v>-34223</v>
      </c>
      <c r="C20" s="25">
        <f>IF(AND('Part VII-Pro Forma'!$G$8="Yes",'Part VII-Pro Forma'!$G$9="Yes"),"Choose One!",IF('Part VII-Pro Forma'!$G$8="Yes",ROUND((-$K$8*(1+'Part VII-Pro Forma'!$B$6)^('Part VII-Pro Forma'!C13-1)),),IF('Part VII-Pro Forma'!$G$9="Yes",ROUND((-(SUM(C14:C17)*'Part VII-Pro Forma'!$K$9)),),"Choose mgt fee")))</f>
        <v>-35250</v>
      </c>
      <c r="D20" s="25">
        <f>IF(AND('Part VII-Pro Forma'!$G$8="Yes",'Part VII-Pro Forma'!$G$9="Yes"),"Choose One!",IF('Part VII-Pro Forma'!$G$8="Yes",ROUND((-$K$8*(1+'Part VII-Pro Forma'!$B$6)^('Part VII-Pro Forma'!D13-1)),),IF('Part VII-Pro Forma'!$G$9="Yes",ROUND((-(SUM(D14:D17)*'Part VII-Pro Forma'!$K$9)),),"Choose mgt fee")))</f>
        <v>-36307</v>
      </c>
      <c r="E20" s="25">
        <f>IF(AND('Part VII-Pro Forma'!$G$8="Yes",'Part VII-Pro Forma'!$G$9="Yes"),"Choose One!",IF('Part VII-Pro Forma'!$G$8="Yes",ROUND((-$K$8*(1+'Part VII-Pro Forma'!$B$6)^('Part VII-Pro Forma'!E13-1)),),IF('Part VII-Pro Forma'!$G$9="Yes",ROUND((-(SUM(E14:E17)*'Part VII-Pro Forma'!$K$9)),),"Choose mgt fee")))</f>
        <v>-37396</v>
      </c>
      <c r="F20" s="25">
        <f>IF(AND('Part VII-Pro Forma'!$G$8="Yes",'Part VII-Pro Forma'!$G$9="Yes"),"Choose One!",IF('Part VII-Pro Forma'!$G$8="Yes",ROUND((-$K$8*(1+'Part VII-Pro Forma'!$B$6)^('Part VII-Pro Forma'!F13-1)),),IF('Part VII-Pro Forma'!$G$9="Yes",ROUND((-(SUM(F14:F17)*'Part VII-Pro Forma'!$K$9)),),"Choose mgt fee")))</f>
        <v>-38518</v>
      </c>
      <c r="G20" s="25">
        <f>IF(AND('Part VII-Pro Forma'!$G$8="Yes",'Part VII-Pro Forma'!$G$9="Yes"),"Choose One!",IF('Part VII-Pro Forma'!$G$8="Yes",ROUND((-$K$8*(1+'Part VII-Pro Forma'!$B$6)^('Part VII-Pro Forma'!G13-1)),),IF('Part VII-Pro Forma'!$G$9="Yes",ROUND((-(SUM(G14:G17)*'Part VII-Pro Forma'!$K$9)),),"Choose mgt fee")))</f>
        <v>-39674</v>
      </c>
      <c r="H20" s="25">
        <f>IF(AND('Part VII-Pro Forma'!$G$8="Yes",'Part VII-Pro Forma'!$G$9="Yes"),"Choose One!",IF('Part VII-Pro Forma'!$G$8="Yes",ROUND((-$K$8*(1+'Part VII-Pro Forma'!$B$6)^('Part VII-Pro Forma'!H13-1)),),IF('Part VII-Pro Forma'!$G$9="Yes",ROUND((-(SUM(H14:H17)*'Part VII-Pro Forma'!$K$9)),),"Choose mgt fee")))</f>
        <v>-40864</v>
      </c>
      <c r="I20" s="25">
        <f>IF(AND('Part VII-Pro Forma'!$G$8="Yes",'Part VII-Pro Forma'!$G$9="Yes"),"Choose One!",IF('Part VII-Pro Forma'!$G$8="Yes",ROUND((-$K$8*(1+'Part VII-Pro Forma'!$B$6)^('Part VII-Pro Forma'!I13-1)),),IF('Part VII-Pro Forma'!$G$9="Yes",ROUND((-(SUM(I14:I17)*'Part VII-Pro Forma'!$K$9)),),"Choose mgt fee")))</f>
        <v>-42090</v>
      </c>
      <c r="J20" s="25">
        <f>IF(AND('Part VII-Pro Forma'!$G$8="Yes",'Part VII-Pro Forma'!$G$9="Yes"),"Choose One!",IF('Part VII-Pro Forma'!$G$8="Yes",ROUND((-$K$8*(1+'Part VII-Pro Forma'!$B$6)^('Part VII-Pro Forma'!J13-1)),),IF('Part VII-Pro Forma'!$G$9="Yes",ROUND((-(SUM(J14:J17)*'Part VII-Pro Forma'!$K$9)),),"Choose mgt fee")))</f>
        <v>-43353</v>
      </c>
      <c r="K20" s="25">
        <f>IF(AND('Part VII-Pro Forma'!$G$8="Yes",'Part VII-Pro Forma'!$G$9="Yes"),"Choose One!",IF('Part VII-Pro Forma'!$G$8="Yes",ROUND((-$K$8*(1+'Part VII-Pro Forma'!$B$6)^('Part VII-Pro Forma'!K13-1)),),IF('Part VII-Pro Forma'!$G$9="Yes",ROUND((-(SUM(K14:K17)*'Part VII-Pro Forma'!$K$9)),),"Choose mgt fee")))</f>
        <v>-44653</v>
      </c>
    </row>
    <row r="21" spans="1:11" ht="13.15" customHeight="1">
      <c r="A21" s="24" t="s">
        <v>1863</v>
      </c>
      <c r="B21" s="25">
        <f>-('Part VI-Revenues &amp; Expenses'!P161)</f>
        <v>-19750</v>
      </c>
      <c r="C21" s="25">
        <f t="shared" ref="C21:K21" si="5">$B$21*(1+$B$7)^(C13-1)</f>
        <v>-20342.5</v>
      </c>
      <c r="D21" s="25">
        <f t="shared" si="5"/>
        <v>-20952.774999999998</v>
      </c>
      <c r="E21" s="25">
        <f t="shared" si="5"/>
        <v>-21581.358250000001</v>
      </c>
      <c r="F21" s="25">
        <f t="shared" si="5"/>
        <v>-22228.798997499998</v>
      </c>
      <c r="G21" s="25">
        <f t="shared" si="5"/>
        <v>-22895.662967424996</v>
      </c>
      <c r="H21" s="25">
        <f t="shared" si="5"/>
        <v>-23582.53285644775</v>
      </c>
      <c r="I21" s="25">
        <f t="shared" si="5"/>
        <v>-24290.008842141182</v>
      </c>
      <c r="J21" s="25">
        <f t="shared" si="5"/>
        <v>-25018.709107405415</v>
      </c>
      <c r="K21" s="26">
        <f t="shared" si="5"/>
        <v>-25769.270380627579</v>
      </c>
    </row>
    <row r="22" spans="1:11" ht="13.15" customHeight="1">
      <c r="A22" s="24" t="s">
        <v>1864</v>
      </c>
      <c r="B22" s="25">
        <f t="shared" ref="B22:K22" si="6">SUM(B14:B21)</f>
        <v>101207.57199999999</v>
      </c>
      <c r="C22" s="25">
        <f t="shared" si="6"/>
        <v>99842.74404000002</v>
      </c>
      <c r="D22" s="25">
        <f t="shared" si="6"/>
        <v>98349.766338800051</v>
      </c>
      <c r="E22" s="25">
        <f t="shared" si="6"/>
        <v>96721.934106115936</v>
      </c>
      <c r="F22" s="25">
        <f t="shared" si="6"/>
        <v>94953.36620199446</v>
      </c>
      <c r="G22" s="25">
        <f t="shared" si="6"/>
        <v>93037.99914220332</v>
      </c>
      <c r="H22" s="25">
        <f t="shared" si="6"/>
        <v>90970.580909701341</v>
      </c>
      <c r="I22" s="25">
        <f t="shared" si="6"/>
        <v>88743.664566088832</v>
      </c>
      <c r="J22" s="25">
        <f t="shared" si="6"/>
        <v>86350.601656750165</v>
      </c>
      <c r="K22" s="26">
        <f t="shared" si="6"/>
        <v>83785.535403204689</v>
      </c>
    </row>
    <row r="23" spans="1:11" ht="13.15" customHeight="1">
      <c r="A23" s="24" t="str">
        <f>IF('Part III A-Sources of Funds'!$E$32 = "Neither", "", "D/S USDA/HUD Mortgage")</f>
        <v>D/S USDA/HUD Mortgage</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B</v>
      </c>
      <c r="B25" s="1284"/>
      <c r="C25" s="1284"/>
      <c r="D25" s="1284"/>
      <c r="E25" s="1284"/>
      <c r="F25" s="1284"/>
      <c r="G25" s="1284"/>
      <c r="H25" s="1284"/>
      <c r="I25" s="1284"/>
      <c r="J25" s="1284"/>
      <c r="K25" s="1284"/>
    </row>
    <row r="26" spans="1:11" ht="13.15" customHeight="1">
      <c r="A26" s="24" t="str">
        <f>IF('Part III A-Sources of Funds'!$E$32 = "Neither", "D/S Mortgage B","D/S Mortgage C")</f>
        <v>D/S Mortgage C</v>
      </c>
      <c r="B26" s="1284">
        <v>-72291</v>
      </c>
      <c r="C26" s="1284">
        <v>-71316</v>
      </c>
      <c r="D26" s="1284">
        <f t="shared" ref="D26" si="7">-D22/1.4</f>
        <v>-70249.833099142896</v>
      </c>
      <c r="E26" s="1284">
        <v>-69087</v>
      </c>
      <c r="F26" s="1284">
        <v>-67824</v>
      </c>
      <c r="G26" s="1284">
        <v>-66456</v>
      </c>
      <c r="H26" s="1284">
        <v>-64979</v>
      </c>
      <c r="I26" s="1284">
        <v>-63388</v>
      </c>
      <c r="J26" s="1284">
        <v>-61679</v>
      </c>
      <c r="K26" s="1284">
        <v>-59847</v>
      </c>
    </row>
    <row r="27" spans="1:11" ht="13.15" customHeight="1">
      <c r="A27" s="24" t="s">
        <v>1363</v>
      </c>
      <c r="B27" s="1284">
        <f>IF('Part III A-Sources of Funds'!$M$35="", 0,-'Part III A-Sources of Funds'!$M$35)</f>
        <v>0</v>
      </c>
      <c r="C27" s="1284">
        <f>IF('Part III A-Sources of Funds'!$M$35="", 0,-'Part III A-Sources of Funds'!$M$35)</f>
        <v>0</v>
      </c>
      <c r="D27" s="1284">
        <f>IF('Part III A-Sources of Funds'!$M$35="", 0,-'Part III A-Sources of Funds'!$M$35)</f>
        <v>0</v>
      </c>
      <c r="E27" s="1284">
        <f>IF('Part III A-Sources of Funds'!$M$35="", 0,-'Part III A-Sources of Funds'!$M$35)</f>
        <v>0</v>
      </c>
      <c r="F27" s="1284">
        <f>IF('Part III A-Sources of Funds'!$M$35="", 0,-'Part III A-Sources of Funds'!$M$35)</f>
        <v>0</v>
      </c>
      <c r="G27" s="1284">
        <f>IF('Part III A-Sources of Funds'!$M$35="", 0,-'Part III A-Sources of Funds'!$M$35)</f>
        <v>0</v>
      </c>
      <c r="H27" s="1284">
        <f>IF('Part III A-Sources of Funds'!$M$35="", 0,-'Part III A-Sources of Funds'!$M$35)</f>
        <v>0</v>
      </c>
      <c r="I27" s="1284">
        <f>IF('Part III A-Sources of Funds'!$M$35="", 0,-'Part III A-Sources of Funds'!$M$35)</f>
        <v>0</v>
      </c>
      <c r="J27" s="1284">
        <f>IF('Part III A-Sources of Funds'!$M$35="", 0,-'Part III A-Sources of Funds'!$M$35)</f>
        <v>0</v>
      </c>
      <c r="K27" s="1284">
        <f>IF('Part III A-Sources of Funds'!$M$35="", 0,-'Part III A-Sources of Funds'!$M$35)</f>
        <v>0</v>
      </c>
    </row>
    <row r="28" spans="1:11" ht="13.15" customHeight="1">
      <c r="A28" s="24" t="s">
        <v>808</v>
      </c>
      <c r="B28" s="1284">
        <f>IF('Part III A-Sources of Funds'!$M$36="", 0,-'Part III A-Sources of Funds'!$M$36)</f>
        <v>0</v>
      </c>
      <c r="C28" s="1284">
        <f>IF('Part III A-Sources of Funds'!$M$36="", 0,-'Part III A-Sources of Funds'!$M$36)</f>
        <v>0</v>
      </c>
      <c r="D28" s="1284">
        <f>IF('Part III A-Sources of Funds'!$M$36="", 0,-'Part III A-Sources of Funds'!$M$36)</f>
        <v>0</v>
      </c>
      <c r="E28" s="1284">
        <f>IF('Part III A-Sources of Funds'!$M$36="", 0,-'Part III A-Sources of Funds'!$M$36)</f>
        <v>0</v>
      </c>
      <c r="F28" s="1284">
        <f>IF('Part III A-Sources of Funds'!$M$36="", 0,-'Part III A-Sources of Funds'!$M$36)</f>
        <v>0</v>
      </c>
      <c r="G28" s="1284">
        <f>IF('Part III A-Sources of Funds'!$M$36="", 0,-'Part III A-Sources of Funds'!$M$36)</f>
        <v>0</v>
      </c>
      <c r="H28" s="1284">
        <f>IF('Part III A-Sources of Funds'!$M$36="", 0,-'Part III A-Sources of Funds'!$M$36)</f>
        <v>0</v>
      </c>
      <c r="I28" s="1284">
        <f>IF('Part III A-Sources of Funds'!$M$36="", 0,-'Part III A-Sources of Funds'!$M$36)</f>
        <v>0</v>
      </c>
      <c r="J28" s="1284">
        <f>IF('Part III A-Sources of Funds'!$M$36="", 0,-'Part III A-Sources of Funds'!$M$36)</f>
        <v>0</v>
      </c>
      <c r="K28" s="1284">
        <f>IF('Part III A-Sources of Funds'!$M$36="", 0,-'Part III A-Sources of Funds'!$M$36)</f>
        <v>0</v>
      </c>
    </row>
    <row r="29" spans="1:11" ht="13.15" customHeight="1">
      <c r="A29" s="24" t="s">
        <v>1337</v>
      </c>
      <c r="B29" s="1285">
        <f>-0.5*(B22+B30+B26)</f>
        <v>-10708.285999999993</v>
      </c>
      <c r="C29" s="1285">
        <f t="shared" ref="C29:K29" si="8">-0.5*(C22+C30+C26)</f>
        <v>-10400.87202000001</v>
      </c>
      <c r="D29" s="1285">
        <f t="shared" si="8"/>
        <v>-10071.591619828578</v>
      </c>
      <c r="E29" s="1285">
        <f t="shared" si="8"/>
        <v>-9719.7408030579682</v>
      </c>
      <c r="F29" s="1285">
        <f t="shared" si="8"/>
        <v>-9344.0250634972326</v>
      </c>
      <c r="G29" s="1285">
        <f t="shared" si="8"/>
        <v>-8943.7217924766592</v>
      </c>
      <c r="H29" s="1285">
        <f t="shared" si="8"/>
        <v>-8518.0943428669198</v>
      </c>
      <c r="I29" s="1285">
        <f t="shared" si="8"/>
        <v>-8065.8052877011505</v>
      </c>
      <c r="J29" s="1285">
        <f t="shared" si="8"/>
        <v>-7585.4130231715244</v>
      </c>
      <c r="K29" s="1285">
        <f t="shared" si="8"/>
        <v>-7076.3682622426786</v>
      </c>
    </row>
    <row r="30" spans="1:11" ht="13.15" customHeight="1">
      <c r="A30" s="24" t="s">
        <v>1808</v>
      </c>
      <c r="B30" s="1284">
        <f>-$G$5</f>
        <v>-7500</v>
      </c>
      <c r="C30" s="1284">
        <f>B30*1.03</f>
        <v>-7725</v>
      </c>
      <c r="D30" s="1284">
        <f t="shared" ref="D30:K30" si="9">C30*1.03</f>
        <v>-7956.75</v>
      </c>
      <c r="E30" s="1284">
        <f t="shared" si="9"/>
        <v>-8195.4524999999994</v>
      </c>
      <c r="F30" s="1284">
        <f t="shared" si="9"/>
        <v>-8441.3160749999988</v>
      </c>
      <c r="G30" s="1284">
        <f t="shared" si="9"/>
        <v>-8694.5555572499998</v>
      </c>
      <c r="H30" s="1284">
        <f t="shared" si="9"/>
        <v>-8955.3922239674994</v>
      </c>
      <c r="I30" s="1284">
        <f t="shared" si="9"/>
        <v>-9224.0539906865251</v>
      </c>
      <c r="J30" s="1284">
        <f t="shared" si="9"/>
        <v>-9500.7756104071213</v>
      </c>
      <c r="K30" s="1284">
        <f t="shared" si="9"/>
        <v>-9785.7988787193353</v>
      </c>
    </row>
    <row r="31" spans="1:11" ht="13.15" customHeight="1">
      <c r="A31" s="24" t="s">
        <v>1865</v>
      </c>
      <c r="B31" s="1284">
        <f>IF('Part III A-Sources of Funds'!$M$37="", 0,-'Part III A-Sources of Funds'!$M$37)</f>
        <v>0</v>
      </c>
      <c r="C31" s="1284">
        <f>IF('Part III A-Sources of Funds'!$M$37="", 0,-'Part III A-Sources of Funds'!$M$37)</f>
        <v>0</v>
      </c>
      <c r="D31" s="1284">
        <f>IF('Part III A-Sources of Funds'!$M$37="", 0,-'Part III A-Sources of Funds'!$M$37)</f>
        <v>0</v>
      </c>
      <c r="E31" s="1284">
        <f>IF('Part III A-Sources of Funds'!$M$37="", 0,-'Part III A-Sources of Funds'!$M$37)</f>
        <v>0</v>
      </c>
      <c r="F31" s="1284">
        <f>IF('Part III A-Sources of Funds'!$M$37="", 0,-'Part III A-Sources of Funds'!$M$37)</f>
        <v>0</v>
      </c>
      <c r="G31" s="1284">
        <f>IF('Part III A-Sources of Funds'!$M$37="", 0,-'Part III A-Sources of Funds'!$M$37)</f>
        <v>0</v>
      </c>
      <c r="H31" s="1284">
        <f>IF('Part III A-Sources of Funds'!$M$37="", 0,-'Part III A-Sources of Funds'!$M$37)</f>
        <v>0</v>
      </c>
      <c r="I31" s="1284">
        <f>IF('Part III A-Sources of Funds'!$M$37="", 0,-'Part III A-Sources of Funds'!$M$37)</f>
        <v>0</v>
      </c>
      <c r="J31" s="1284">
        <f>IF('Part III A-Sources of Funds'!$M$37="", 0,-'Part III A-Sources of Funds'!$M$37)</f>
        <v>0</v>
      </c>
      <c r="K31" s="1284">
        <f>IF('Part III A-Sources of Funds'!$M$37="", 0,-'Part III A-Sources of Funds'!$M$37)</f>
        <v>0</v>
      </c>
    </row>
    <row r="32" spans="1:11" ht="13.15" customHeight="1">
      <c r="A32" s="24" t="s">
        <v>1809</v>
      </c>
      <c r="B32" s="1286">
        <f>-$G$6</f>
        <v>0</v>
      </c>
      <c r="C32" s="1286">
        <f t="shared" ref="C32:K32" si="10">+B32</f>
        <v>0</v>
      </c>
      <c r="D32" s="1286">
        <f t="shared" si="10"/>
        <v>0</v>
      </c>
      <c r="E32" s="1286">
        <f t="shared" si="10"/>
        <v>0</v>
      </c>
      <c r="F32" s="1286">
        <f t="shared" si="10"/>
        <v>0</v>
      </c>
      <c r="G32" s="1286">
        <f t="shared" si="10"/>
        <v>0</v>
      </c>
      <c r="H32" s="1286">
        <f t="shared" si="10"/>
        <v>0</v>
      </c>
      <c r="I32" s="1286">
        <f t="shared" si="10"/>
        <v>0</v>
      </c>
      <c r="J32" s="1286">
        <f t="shared" si="10"/>
        <v>0</v>
      </c>
      <c r="K32" s="1286">
        <f t="shared" si="10"/>
        <v>0</v>
      </c>
    </row>
    <row r="33" spans="1:11" ht="13.15" customHeight="1">
      <c r="A33" s="24" t="s">
        <v>1810</v>
      </c>
      <c r="B33" s="25">
        <f t="shared" ref="B33:K33" si="11">SUM(B22:B32)</f>
        <v>10708.285999999993</v>
      </c>
      <c r="C33" s="25">
        <f t="shared" si="11"/>
        <v>10400.87202000001</v>
      </c>
      <c r="D33" s="25">
        <f t="shared" si="11"/>
        <v>10071.591619828578</v>
      </c>
      <c r="E33" s="25">
        <f t="shared" si="11"/>
        <v>9719.7408030579682</v>
      </c>
      <c r="F33" s="25">
        <f t="shared" si="11"/>
        <v>9344.025063497229</v>
      </c>
      <c r="G33" s="25">
        <f t="shared" si="11"/>
        <v>8943.721792476661</v>
      </c>
      <c r="H33" s="25">
        <f t="shared" si="11"/>
        <v>8518.0943428669216</v>
      </c>
      <c r="I33" s="25">
        <f t="shared" si="11"/>
        <v>8065.805287701156</v>
      </c>
      <c r="J33" s="25">
        <f t="shared" si="11"/>
        <v>7585.4130231715189</v>
      </c>
      <c r="K33" s="23">
        <f t="shared" si="11"/>
        <v>7076.368262242675</v>
      </c>
    </row>
    <row r="34" spans="1:11" ht="13.15" customHeight="1">
      <c r="A34" s="24" t="str">
        <f>IF('Part III A-Sources of Funds'!$E$32 = "Neither", "", "DCR First Mortgage")</f>
        <v>DCR First Mortgage</v>
      </c>
      <c r="B34" s="27" t="str">
        <f>IF(B23=0,"",-B22/B23)</f>
        <v/>
      </c>
      <c r="C34" s="27" t="str">
        <f t="shared" ref="C34:K34" si="12">IF(C23=0,"",-C22/C23)</f>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row>
    <row r="35" spans="1:11" ht="13.15" customHeight="1">
      <c r="A35" s="24" t="str">
        <f>IF('Part III A-Sources of Funds'!$E$32 = "Neither", "", "DCR USDA/HUD Fee")</f>
        <v>DCR USDA/HUD Fee</v>
      </c>
      <c r="B35" s="27" t="str">
        <f>IF(OR(B24=0,AND(B24=0,B23=0)),"",-B22/(B23+B24))</f>
        <v/>
      </c>
      <c r="C35" s="27" t="str">
        <f t="shared" ref="C35:K35" si="13">IF(OR(C24=0,AND(C24=0,C23=0)),"",-C22/(C23+C24))</f>
        <v/>
      </c>
      <c r="D35" s="27" t="str">
        <f t="shared" si="13"/>
        <v/>
      </c>
      <c r="E35" s="27" t="str">
        <f t="shared" si="13"/>
        <v/>
      </c>
      <c r="F35" s="27" t="str">
        <f t="shared" si="13"/>
        <v/>
      </c>
      <c r="G35" s="27" t="str">
        <f t="shared" si="13"/>
        <v/>
      </c>
      <c r="H35" s="27" t="str">
        <f t="shared" si="13"/>
        <v/>
      </c>
      <c r="I35" s="27" t="str">
        <f t="shared" si="13"/>
        <v/>
      </c>
      <c r="J35" s="27" t="str">
        <f t="shared" si="13"/>
        <v/>
      </c>
      <c r="K35" s="28" t="str">
        <f t="shared" si="13"/>
        <v/>
      </c>
    </row>
    <row r="36" spans="1:11" ht="13.15" customHeight="1">
      <c r="A36" s="24" t="str">
        <f>IF('Part III A-Sources of Funds'!$E$32 = "Neither", "DCR First Mortgage", "DCR Second Mortgage")</f>
        <v>DCR Second Mortgage</v>
      </c>
      <c r="B36" s="27" t="str">
        <f>IF(OR(B25=0,AND(B25=0,B24=0,B23=0)),"",-B22/(B23+B24+B25))</f>
        <v/>
      </c>
      <c r="C36" s="27" t="str">
        <f t="shared" ref="C36:K36" si="14">IF(OR(C25=0,AND(C25=0,C24=0,C23=0)),"",-C22/(C23+C24+C25))</f>
        <v/>
      </c>
      <c r="D36" s="27" t="str">
        <f t="shared" si="14"/>
        <v/>
      </c>
      <c r="E36" s="27" t="str">
        <f t="shared" si="14"/>
        <v/>
      </c>
      <c r="F36" s="27" t="str">
        <f t="shared" si="14"/>
        <v/>
      </c>
      <c r="G36" s="27" t="str">
        <f t="shared" si="14"/>
        <v/>
      </c>
      <c r="H36" s="27" t="str">
        <f t="shared" si="14"/>
        <v/>
      </c>
      <c r="I36" s="27" t="str">
        <f t="shared" si="14"/>
        <v/>
      </c>
      <c r="J36" s="27" t="str">
        <f t="shared" si="14"/>
        <v/>
      </c>
      <c r="K36" s="28" t="str">
        <f t="shared" si="14"/>
        <v/>
      </c>
    </row>
    <row r="37" spans="1:11" ht="13.15" customHeight="1">
      <c r="A37" s="24" t="str">
        <f>IF('Part III A-Sources of Funds'!$E$32 = "Neither", "DCR Second Mortgage", "DCR Third Mortgage")</f>
        <v>DCR Third Mortgage</v>
      </c>
      <c r="B37" s="27">
        <f>IF(OR(B26=0,AND(B23=0,B24=0,B25=0,B26=0)),"",-B22/(B23+B24+B25+B26))</f>
        <v>1.4000023792726617</v>
      </c>
      <c r="C37" s="27">
        <f t="shared" ref="C37:K37" si="15">IF(OR(C26=0,AND(C23=0,C24=0,C25=0,C26=0)),"",-C22/(C23+C24+C25+C26))</f>
        <v>1.4000048241628811</v>
      </c>
      <c r="D37" s="27">
        <f t="shared" si="15"/>
        <v>1.4</v>
      </c>
      <c r="E37" s="27">
        <f t="shared" si="15"/>
        <v>1.4000019411193994</v>
      </c>
      <c r="F37" s="27">
        <f t="shared" si="15"/>
        <v>1.3999965528720579</v>
      </c>
      <c r="G37" s="27">
        <f t="shared" si="15"/>
        <v>1.3999939680721578</v>
      </c>
      <c r="H37" s="27">
        <f t="shared" si="15"/>
        <v>1.3999997062081802</v>
      </c>
      <c r="I37" s="27">
        <f t="shared" si="15"/>
        <v>1.4000073289280122</v>
      </c>
      <c r="J37" s="27">
        <f t="shared" si="15"/>
        <v>1.4000000268608468</v>
      </c>
      <c r="K37" s="28">
        <f t="shared" si="15"/>
        <v>1.3999955787792986</v>
      </c>
    </row>
    <row r="38" spans="1:11" ht="13.15" customHeight="1">
      <c r="A38" s="24" t="s">
        <v>1364</v>
      </c>
      <c r="B38" s="27" t="str">
        <f>IF(OR(B27=0,AND(B23=0,B24=0,B25=0,B26=0,B27=0)),"",-B22/(B23+B24+B25+B26+B27))</f>
        <v/>
      </c>
      <c r="C38" s="27" t="str">
        <f t="shared" ref="C38:K38" si="16">IF(OR(C27=0,AND(C23=0,C24=0,C25=0,C26=0,C27=0)),"",-C22/(C23+C24+C25+C26+C27))</f>
        <v/>
      </c>
      <c r="D38" s="27" t="str">
        <f t="shared" si="16"/>
        <v/>
      </c>
      <c r="E38" s="27" t="str">
        <f t="shared" si="16"/>
        <v/>
      </c>
      <c r="F38" s="27" t="str">
        <f t="shared" si="16"/>
        <v/>
      </c>
      <c r="G38" s="27" t="str">
        <f t="shared" si="16"/>
        <v/>
      </c>
      <c r="H38" s="27" t="str">
        <f t="shared" si="16"/>
        <v/>
      </c>
      <c r="I38" s="27" t="str">
        <f t="shared" si="16"/>
        <v/>
      </c>
      <c r="J38" s="27" t="str">
        <f t="shared" si="16"/>
        <v/>
      </c>
      <c r="K38" s="28" t="str">
        <f t="shared" si="16"/>
        <v/>
      </c>
    </row>
    <row r="39" spans="1:11" ht="13.15" customHeight="1">
      <c r="A39" s="24" t="s">
        <v>1364</v>
      </c>
      <c r="B39" s="27" t="str">
        <f>IF(OR(B28=0,AND(B23=0,B24=0,B25=0,B26=0,B27=0,B28=0)),"",-B22/(B23+B24+B25+B26+B27+B28))</f>
        <v/>
      </c>
      <c r="C39" s="27" t="str">
        <f t="shared" ref="C39:K39" si="17">IF(OR(C28=0,AND(C23=0,C24=0,C25=0,C26=0,C27=0,C28=0)),"",-C22/(C23+C24+C25+C26+C27+C28))</f>
        <v/>
      </c>
      <c r="D39" s="27" t="str">
        <f t="shared" si="17"/>
        <v/>
      </c>
      <c r="E39" s="27" t="str">
        <f t="shared" si="17"/>
        <v/>
      </c>
      <c r="F39" s="27" t="str">
        <f t="shared" si="17"/>
        <v/>
      </c>
      <c r="G39" s="27" t="str">
        <f t="shared" si="17"/>
        <v/>
      </c>
      <c r="H39" s="27" t="str">
        <f t="shared" si="17"/>
        <v/>
      </c>
      <c r="I39" s="27" t="str">
        <f t="shared" si="17"/>
        <v/>
      </c>
      <c r="J39" s="27" t="str">
        <f t="shared" si="17"/>
        <v/>
      </c>
      <c r="K39" s="28" t="str">
        <f t="shared" si="17"/>
        <v/>
      </c>
    </row>
    <row r="40" spans="1:11" ht="13.15" customHeight="1">
      <c r="A40" s="24" t="s">
        <v>1346</v>
      </c>
      <c r="B40" s="379">
        <f>IF(OR(B20="Choose mgt fee",B20="Choose One!"),"",(B14+B15+B16+B17+B18) / -(B19+B20+B21))</f>
        <v>1.2986646381024953</v>
      </c>
      <c r="C40" s="379">
        <f t="shared" ref="C40:K40" si="18">IF(OR(C20="Choose mgt fee",C20="Choose One!"),"",(C14+C15+C16+C17+C18) / -(C19+C20+C21))</f>
        <v>1.2860551013244388</v>
      </c>
      <c r="D40" s="379">
        <f t="shared" si="18"/>
        <v>1.2735709007545748</v>
      </c>
      <c r="E40" s="379">
        <f t="shared" si="18"/>
        <v>1.2612068499895117</v>
      </c>
      <c r="F40" s="379">
        <f t="shared" si="18"/>
        <v>1.2489617303266058</v>
      </c>
      <c r="G40" s="379">
        <f t="shared" si="18"/>
        <v>1.2368344399983588</v>
      </c>
      <c r="H40" s="379">
        <f t="shared" si="18"/>
        <v>1.2248270045938756</v>
      </c>
      <c r="I40" s="379">
        <f t="shared" si="18"/>
        <v>1.2129352474479942</v>
      </c>
      <c r="J40" s="379">
        <f t="shared" si="18"/>
        <v>1.2011583376350887</v>
      </c>
      <c r="K40" s="380">
        <f t="shared" si="18"/>
        <v>1.1894981934733309</v>
      </c>
    </row>
    <row r="41" spans="1:11" ht="13.15" customHeight="1">
      <c r="A41" s="24" t="str">
        <f>IF('Part III A-Sources of Funds'!$E$32 = "Neither", "", "Mortgage A Balance")</f>
        <v>Mortgage A Balance</v>
      </c>
      <c r="B41" s="1287">
        <f>IF('Part III A-Sources of Funds'!$H$32="","",-FV('Part III A-Sources of Funds'!$J$32/12,12,B23/12,'Part III A-Sources of Funds'!H32))</f>
        <v>0</v>
      </c>
      <c r="C41" s="1287">
        <f>IF('Part III A-Sources of Funds'!$H$32="","",-FV('Part III A-Sources of Funds'!$J$32/12,12,C23/12,B41))</f>
        <v>0</v>
      </c>
      <c r="D41" s="1287">
        <f>IF('Part III A-Sources of Funds'!$H$32="","",-FV('Part III A-Sources of Funds'!$J$32/12,12,D23/12,C41))</f>
        <v>0</v>
      </c>
      <c r="E41" s="1287">
        <f>IF('Part III A-Sources of Funds'!$H$32="","",-FV('Part III A-Sources of Funds'!$J$32/12,12,E23/12,D41))</f>
        <v>0</v>
      </c>
      <c r="F41" s="1287">
        <f>IF('Part III A-Sources of Funds'!$H$32="","",-FV('Part III A-Sources of Funds'!$J$32/12,12,F23/12,E41))</f>
        <v>0</v>
      </c>
      <c r="G41" s="1287">
        <f>IF('Part III A-Sources of Funds'!$H$32="","",-FV('Part III A-Sources of Funds'!$J$32/12,12,G23/12,F41))</f>
        <v>0</v>
      </c>
      <c r="H41" s="1287">
        <f>IF('Part III A-Sources of Funds'!$H$32="","",-FV('Part III A-Sources of Funds'!$J$32/12,12,H23/12,G41))</f>
        <v>0</v>
      </c>
      <c r="I41" s="1287">
        <f>IF('Part III A-Sources of Funds'!$H$32="","",-FV('Part III A-Sources of Funds'!$J$32/12,12,I23/12,H41))</f>
        <v>0</v>
      </c>
      <c r="J41" s="1287">
        <f>IF('Part III A-Sources of Funds'!$H$32="","",-FV('Part III A-Sources of Funds'!$J$32/12,12,J23/12,I41))</f>
        <v>0</v>
      </c>
      <c r="K41" s="1287">
        <f>IF('Part III A-Sources of Funds'!$H$32="","",-FV('Part III A-Sources of Funds'!$J$32/12,12,K23/12,J41))</f>
        <v>0</v>
      </c>
    </row>
    <row r="42" spans="1:11" ht="13.15" customHeight="1">
      <c r="A42" s="24" t="str">
        <f>IF('Part III A-Sources of Funds'!$E$32 = "Neither", "Mortgage A Balance", "Mortgage B Balance")</f>
        <v>Mortgage B Balance</v>
      </c>
      <c r="B42" s="1284">
        <f>IF('Part III A-Sources of Funds'!$H$33="","",-FV('Part III A-Sources of Funds'!$J$33/12,12,B25/12,'Part III A-Sources of Funds'!H33))</f>
        <v>484186.04106318136</v>
      </c>
      <c r="C42" s="1284">
        <f>IF('Part III A-Sources of Funds'!$H$33="","",-FV('Part III A-Sources of Funds'!$J$33/12,12,C25/12,B42))</f>
        <v>504163.70400093921</v>
      </c>
      <c r="D42" s="1284">
        <f>IF('Part III A-Sources of Funds'!$H$33="","",-FV('Part III A-Sources of Funds'!$J$33/12,12,D25/12,C42))</f>
        <v>524965.65137196635</v>
      </c>
      <c r="E42" s="1284">
        <f>IF('Part III A-Sources of Funds'!$H$33="","",-FV('Part III A-Sources of Funds'!$J$33/12,12,E25/12,D42))</f>
        <v>546625.89340203581</v>
      </c>
      <c r="F42" s="1284">
        <f>IF('Part III A-Sources of Funds'!$H$33="","",-FV('Part III A-Sources of Funds'!$J$33/12,12,F25/12,E42))</f>
        <v>569179.84358915337</v>
      </c>
      <c r="G42" s="1284">
        <f>IF('Part III A-Sources of Funds'!$H$33="","",-FV('Part III A-Sources of Funds'!$J$33/12,12,G25/12,F42))</f>
        <v>592664.37660299556</v>
      </c>
      <c r="H42" s="1284">
        <f>IF('Part III A-Sources of Funds'!$H$33="","",-FV('Part III A-Sources of Funds'!$J$33/12,12,H25/12,G42))</f>
        <v>617117.88857329625</v>
      </c>
      <c r="I42" s="1284">
        <f>IF('Part III A-Sources of Funds'!$H$33="","",-FV('Part III A-Sources of Funds'!$J$33/12,12,I25/12,H42))</f>
        <v>642580.35986575007</v>
      </c>
      <c r="J42" s="1284">
        <f>IF('Part III A-Sources of Funds'!$H$33="","",-FV('Part III A-Sources of Funds'!$J$33/12,12,J25/12,I42))</f>
        <v>669093.42044806865</v>
      </c>
      <c r="K42" s="1284">
        <f>IF('Part III A-Sources of Funds'!$H$33="","",-FV('Part III A-Sources of Funds'!$J$33/12,12,K25/12,J42))</f>
        <v>696700.41795306024</v>
      </c>
    </row>
    <row r="43" spans="1:11" ht="13.15" customHeight="1">
      <c r="A43" s="24" t="str">
        <f>IF('Part III A-Sources of Funds'!$E$32 = "Neither", "Mortgage B Balance", "Mortgage C Balance")</f>
        <v>Mortgage C Balance</v>
      </c>
      <c r="B43" s="1284">
        <f>IF('Part III A-Sources of Funds'!$H$34="","",-FV('Part III A-Sources of Funds'!$J$34/12,12,B26/12,'Part III A-Sources of Funds'!H34))</f>
        <v>1013205.4434370677</v>
      </c>
      <c r="C43" s="1284">
        <f>IF('Part III A-Sources of Funds'!$H$34="","",-FV('Part III A-Sources of Funds'!$J$34/12,12,C26/12,B43))</f>
        <v>951740.29102949786</v>
      </c>
      <c r="D43" s="1284">
        <f>IF('Part III A-Sources of Funds'!$H$34="","",-FV('Part III A-Sources of Funds'!$J$34/12,12,D26/12,C43))</f>
        <v>890728.72920343874</v>
      </c>
      <c r="E43" s="1284">
        <f>IF('Part III A-Sources of Funds'!$H$34="","",-FV('Part III A-Sources of Funds'!$J$34/12,12,E26/12,D43))</f>
        <v>830272.42519684019</v>
      </c>
      <c r="F43" s="1284">
        <f>IF('Part III A-Sources of Funds'!$H$34="","",-FV('Part III A-Sources of Funds'!$J$34/12,12,F26/12,E43))</f>
        <v>770477.58438485872</v>
      </c>
      <c r="G43" s="1284">
        <f>IF('Part III A-Sources of Funds'!$H$34="","",-FV('Part III A-Sources of Funds'!$J$34/12,12,G26/12,F43))</f>
        <v>711456.33439019124</v>
      </c>
      <c r="H43" s="1284">
        <f>IF('Part III A-Sources of Funds'!$H$34="","",-FV('Part III A-Sources of Funds'!$J$34/12,12,H26/12,G43))</f>
        <v>653325.94764960138</v>
      </c>
      <c r="I43" s="1284">
        <f>IF('Part III A-Sources of Funds'!$H$34="","",-FV('Part III A-Sources of Funds'!$J$34/12,12,I26/12,H43))</f>
        <v>596209.89769460924</v>
      </c>
      <c r="J43" s="1284">
        <f>IF('Part III A-Sources of Funds'!$H$34="","",-FV('Part III A-Sources of Funds'!$J$34/12,12,J26/12,I43))</f>
        <v>540236.91685135814</v>
      </c>
      <c r="K43" s="1284">
        <f>IF('Part III A-Sources of Funds'!$H$34="","",-FV('Part III A-Sources of Funds'!$J$34/12,12,K26/12,J43))</f>
        <v>485542.05366634834</v>
      </c>
    </row>
    <row r="44" spans="1:11" ht="13.15" customHeight="1">
      <c r="A44" s="24" t="s">
        <v>1365</v>
      </c>
      <c r="B44" s="1284" t="str">
        <f>IF('Part III A-Sources of Funds'!$H$35="","",-FV('Part III A-Sources of Funds'!$J$35/12,12,B27/12,'Part III A-Sources of Funds'!H35))</f>
        <v/>
      </c>
      <c r="C44" s="1284" t="str">
        <f>IF('Part III A-Sources of Funds'!$H$35="","",-FV('Part III A-Sources of Funds'!$J$35/12,12,C27/12,B44))</f>
        <v/>
      </c>
      <c r="D44" s="1284" t="str">
        <f>IF('Part III A-Sources of Funds'!$H$35="","",-FV('Part III A-Sources of Funds'!$J$35/12,12,D27/12,C44))</f>
        <v/>
      </c>
      <c r="E44" s="1284" t="str">
        <f>IF('Part III A-Sources of Funds'!$H$35="","",-FV('Part III A-Sources of Funds'!$J$35/12,12,E27/12,D44))</f>
        <v/>
      </c>
      <c r="F44" s="1284" t="str">
        <f>IF('Part III A-Sources of Funds'!$H$35="","",-FV('Part III A-Sources of Funds'!$J$35/12,12,F27/12,E44))</f>
        <v/>
      </c>
      <c r="G44" s="1284" t="str">
        <f>IF('Part III A-Sources of Funds'!$H$35="","",-FV('Part III A-Sources of Funds'!$J$35/12,12,G27/12,F44))</f>
        <v/>
      </c>
      <c r="H44" s="1284" t="str">
        <f>IF('Part III A-Sources of Funds'!$H$35="","",-FV('Part III A-Sources of Funds'!$J$35/12,12,H27/12,G44))</f>
        <v/>
      </c>
      <c r="I44" s="1284" t="str">
        <f>IF('Part III A-Sources of Funds'!$H$35="","",-FV('Part III A-Sources of Funds'!$J$35/12,12,I27/12,H44))</f>
        <v/>
      </c>
      <c r="J44" s="1284" t="str">
        <f>IF('Part III A-Sources of Funds'!$H$35="","",-FV('Part III A-Sources of Funds'!$J$35/12,12,J27/12,I44))</f>
        <v/>
      </c>
      <c r="K44" s="1284" t="str">
        <f>IF('Part III A-Sources of Funds'!$H$35="","",-FV('Part III A-Sources of Funds'!$J$35/12,12,K27/12,J44))</f>
        <v/>
      </c>
    </row>
    <row r="45" spans="1:11" ht="13.15" customHeight="1">
      <c r="A45" s="24" t="s">
        <v>1365</v>
      </c>
      <c r="B45" s="1284" t="str">
        <f>IF('Part III A-Sources of Funds'!$H$36="","",-FV('Part III A-Sources of Funds'!$J$36/12,12,B28/12,'Part III A-Sources of Funds'!$H$36))</f>
        <v/>
      </c>
      <c r="C45" s="1284" t="str">
        <f>IF('Part III A-Sources of Funds'!$H$36="","",-FV('Part III A-Sources of Funds'!$J$36/12,12,C28/12,B45))</f>
        <v/>
      </c>
      <c r="D45" s="1284" t="str">
        <f>IF('Part III A-Sources of Funds'!$H$36="","",-FV('Part III A-Sources of Funds'!$J$36/12,12,D28/12,C45))</f>
        <v/>
      </c>
      <c r="E45" s="1284" t="str">
        <f>IF('Part III A-Sources of Funds'!$H$36="","",-FV('Part III A-Sources of Funds'!$J$36/12,12,E28/12,D45))</f>
        <v/>
      </c>
      <c r="F45" s="1284" t="str">
        <f>IF('Part III A-Sources of Funds'!$H$36="","",-FV('Part III A-Sources of Funds'!$J$36/12,12,F28/12,E45))</f>
        <v/>
      </c>
      <c r="G45" s="1284" t="str">
        <f>IF('Part III A-Sources of Funds'!$H$36="","",-FV('Part III A-Sources of Funds'!$J$36/12,12,G28/12,F45))</f>
        <v/>
      </c>
      <c r="H45" s="1284" t="str">
        <f>IF('Part III A-Sources of Funds'!$H$36="","",-FV('Part III A-Sources of Funds'!$J$36/12,12,H28/12,G45))</f>
        <v/>
      </c>
      <c r="I45" s="1284" t="str">
        <f>IF('Part III A-Sources of Funds'!$H$36="","",-FV('Part III A-Sources of Funds'!$J$36/12,12,I28/12,H45))</f>
        <v/>
      </c>
      <c r="J45" s="1284" t="str">
        <f>IF('Part III A-Sources of Funds'!$H$36="","",-FV('Part III A-Sources of Funds'!$J$36/12,12,J28/12,I45))</f>
        <v/>
      </c>
      <c r="K45" s="1284" t="str">
        <f>IF('Part III A-Sources of Funds'!$H$36="","",-FV('Part III A-Sources of Funds'!$J$36/12,12,K28/12,J45))</f>
        <v/>
      </c>
    </row>
    <row r="46" spans="1:11" ht="13.15" customHeight="1">
      <c r="A46" s="29" t="s">
        <v>1900</v>
      </c>
      <c r="B46" s="1286" t="str">
        <f>IF('Part III A-Sources of Funds'!$H$37="","",-FV('Part III A-Sources of Funds'!$J$37/12,12,B31/12,'Part III A-Sources of Funds'!H37))</f>
        <v/>
      </c>
      <c r="C46" s="1286" t="str">
        <f>IF('Part III A-Sources of Funds'!$H$37="","",-FV('Part III A-Sources of Funds'!$J$37/12,12,C31/12,B46))</f>
        <v/>
      </c>
      <c r="D46" s="1286" t="str">
        <f>IF('Part III A-Sources of Funds'!$H$37="","",-FV('Part III A-Sources of Funds'!$J$37/12,12,D31/12,C46))</f>
        <v/>
      </c>
      <c r="E46" s="1286" t="str">
        <f>IF('Part III A-Sources of Funds'!$H$37="","",-FV('Part III A-Sources of Funds'!$J$37/12,12,E31/12,D46))</f>
        <v/>
      </c>
      <c r="F46" s="1286" t="str">
        <f>IF('Part III A-Sources of Funds'!$H$37="","",-FV('Part III A-Sources of Funds'!$J$37/12,12,F31/12,E46))</f>
        <v/>
      </c>
      <c r="G46" s="1286" t="str">
        <f>IF('Part III A-Sources of Funds'!$H$37="","",-FV('Part III A-Sources of Funds'!$J$37/12,12,G31/12,F46))</f>
        <v/>
      </c>
      <c r="H46" s="1286" t="str">
        <f>IF('Part III A-Sources of Funds'!$H$37="","",-FV('Part III A-Sources of Funds'!$J$37/12,12,H31/12,G46))</f>
        <v/>
      </c>
      <c r="I46" s="1286" t="str">
        <f>IF('Part III A-Sources of Funds'!$H$37="","",-FV('Part III A-Sources of Funds'!$J$37/12,12,I31/12,H46))</f>
        <v/>
      </c>
      <c r="J46" s="1286" t="str">
        <f>IF('Part III A-Sources of Funds'!$H$37="","",-FV('Part III A-Sources of Funds'!$J$37/12,12,J31/12,I46))</f>
        <v/>
      </c>
      <c r="K46" s="1286" t="str">
        <f>IF('Part III A-Sources of Funds'!$H$37="","",-FV('Part III A-Sources of Funds'!$J$37/12,12,K31/12,J46))</f>
        <v/>
      </c>
    </row>
    <row r="47" spans="1:11" ht="4.1500000000000004" customHeight="1">
      <c r="B47" s="20"/>
      <c r="C47" s="20"/>
      <c r="D47" s="20"/>
      <c r="E47" s="20"/>
      <c r="F47" s="20"/>
      <c r="G47" s="20"/>
      <c r="H47" s="20"/>
      <c r="I47" s="20"/>
      <c r="J47" s="20"/>
      <c r="K47" s="20"/>
    </row>
    <row r="48" spans="1:11" ht="14.45" customHeight="1">
      <c r="A48" s="16" t="s">
        <v>3753</v>
      </c>
      <c r="B48" s="18">
        <f>K13+1</f>
        <v>11</v>
      </c>
      <c r="C48" s="18">
        <f t="shared" ref="C48:K48" si="19">B48+1</f>
        <v>12</v>
      </c>
      <c r="D48" s="18">
        <f t="shared" si="19"/>
        <v>13</v>
      </c>
      <c r="E48" s="18">
        <f t="shared" si="19"/>
        <v>14</v>
      </c>
      <c r="F48" s="18">
        <f t="shared" si="19"/>
        <v>15</v>
      </c>
      <c r="G48" s="18">
        <f t="shared" si="19"/>
        <v>16</v>
      </c>
      <c r="H48" s="18">
        <f t="shared" si="19"/>
        <v>17</v>
      </c>
      <c r="I48" s="18">
        <f t="shared" si="19"/>
        <v>18</v>
      </c>
      <c r="J48" s="18">
        <f t="shared" si="19"/>
        <v>19</v>
      </c>
      <c r="K48" s="18">
        <f t="shared" si="19"/>
        <v>20</v>
      </c>
    </row>
    <row r="49" spans="1:11" ht="13.15" customHeight="1">
      <c r="A49" s="21" t="s">
        <v>3643</v>
      </c>
      <c r="B49" s="22">
        <f t="shared" ref="B49:K49" si="20">$B$14*(1+$B$5)^(B48-1)</f>
        <v>565515.89132396772</v>
      </c>
      <c r="C49" s="22">
        <f t="shared" si="20"/>
        <v>576826.20915044693</v>
      </c>
      <c r="D49" s="22">
        <f t="shared" si="20"/>
        <v>588362.73333345598</v>
      </c>
      <c r="E49" s="22">
        <f t="shared" si="20"/>
        <v>600129.98800012504</v>
      </c>
      <c r="F49" s="22">
        <f t="shared" si="20"/>
        <v>612132.58776012762</v>
      </c>
      <c r="G49" s="22">
        <f t="shared" si="20"/>
        <v>624375.23951533006</v>
      </c>
      <c r="H49" s="22">
        <f t="shared" si="20"/>
        <v>636862.74430563673</v>
      </c>
      <c r="I49" s="22">
        <f t="shared" si="20"/>
        <v>649599.99919174949</v>
      </c>
      <c r="J49" s="22">
        <f t="shared" si="20"/>
        <v>662591.99917558441</v>
      </c>
      <c r="K49" s="23">
        <f t="shared" si="20"/>
        <v>675843.83915909613</v>
      </c>
    </row>
    <row r="50" spans="1:11" ht="13.15" customHeight="1">
      <c r="A50" s="24" t="s">
        <v>1633</v>
      </c>
      <c r="B50" s="25">
        <f t="shared" ref="B50:K50" si="21">$B$15*(1+$B$5)^(B48-1)</f>
        <v>11310.317826479353</v>
      </c>
      <c r="C50" s="25">
        <f t="shared" si="21"/>
        <v>11536.524183008938</v>
      </c>
      <c r="D50" s="25">
        <f t="shared" si="21"/>
        <v>11767.25466666912</v>
      </c>
      <c r="E50" s="25">
        <f t="shared" si="21"/>
        <v>12002.599760002502</v>
      </c>
      <c r="F50" s="25">
        <f t="shared" si="21"/>
        <v>12242.651755202553</v>
      </c>
      <c r="G50" s="25">
        <f t="shared" si="21"/>
        <v>12487.504790306601</v>
      </c>
      <c r="H50" s="25">
        <f t="shared" si="21"/>
        <v>12737.254886112734</v>
      </c>
      <c r="I50" s="25">
        <f t="shared" si="21"/>
        <v>12991.99998383499</v>
      </c>
      <c r="J50" s="25">
        <f t="shared" si="21"/>
        <v>13251.839983511689</v>
      </c>
      <c r="K50" s="26">
        <f t="shared" si="21"/>
        <v>13516.876783181922</v>
      </c>
    </row>
    <row r="51" spans="1:11" ht="13.15" customHeight="1">
      <c r="A51" s="24" t="s">
        <v>3644</v>
      </c>
      <c r="B51" s="25">
        <f t="shared" ref="B51:K51" si="22">-(B49+B50)*$B$8</f>
        <v>-40377.834640531299</v>
      </c>
      <c r="C51" s="25">
        <f t="shared" si="22"/>
        <v>-41185.391333341911</v>
      </c>
      <c r="D51" s="25">
        <f t="shared" si="22"/>
        <v>-42009.099160008765</v>
      </c>
      <c r="E51" s="25">
        <f t="shared" si="22"/>
        <v>-42849.281143208929</v>
      </c>
      <c r="F51" s="25">
        <f t="shared" si="22"/>
        <v>-43706.266766073117</v>
      </c>
      <c r="G51" s="25">
        <f t="shared" si="22"/>
        <v>-44580.392101394566</v>
      </c>
      <c r="H51" s="25">
        <f t="shared" si="22"/>
        <v>-45471.999943422466</v>
      </c>
      <c r="I51" s="25">
        <f t="shared" si="22"/>
        <v>-46381.439942290919</v>
      </c>
      <c r="J51" s="25">
        <f t="shared" si="22"/>
        <v>-47309.068741136733</v>
      </c>
      <c r="K51" s="26">
        <f t="shared" si="22"/>
        <v>-48255.250115959469</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949</v>
      </c>
      <c r="B54" s="25">
        <f t="shared" ref="B54:K54" si="23">$B$19*(1+$B$6)^(B48-1)</f>
        <v>-382873.63234188146</v>
      </c>
      <c r="C54" s="25">
        <f t="shared" si="23"/>
        <v>-394359.84131213796</v>
      </c>
      <c r="D54" s="25">
        <f t="shared" si="23"/>
        <v>-406190.63655150199</v>
      </c>
      <c r="E54" s="25">
        <f t="shared" si="23"/>
        <v>-418376.35564804706</v>
      </c>
      <c r="F54" s="25">
        <f t="shared" si="23"/>
        <v>-430927.64631748851</v>
      </c>
      <c r="G54" s="25">
        <f t="shared" si="23"/>
        <v>-443855.47570701322</v>
      </c>
      <c r="H54" s="25">
        <f t="shared" si="23"/>
        <v>-457171.13997822348</v>
      </c>
      <c r="I54" s="25">
        <f t="shared" si="23"/>
        <v>-470886.27417757019</v>
      </c>
      <c r="J54" s="25">
        <f t="shared" si="23"/>
        <v>-485012.86240289733</v>
      </c>
      <c r="K54" s="26">
        <f t="shared" si="23"/>
        <v>-499563.24827498425</v>
      </c>
    </row>
    <row r="55" spans="1:11" ht="13.15" customHeight="1">
      <c r="A55" s="24" t="s">
        <v>1747</v>
      </c>
      <c r="B55" s="25">
        <f>IF(AND('Part VII-Pro Forma'!$G$8="Yes",'Part VII-Pro Forma'!$G$9="Yes"),"Choose One!",IF('Part VII-Pro Forma'!$G$8="Yes",ROUND((-$K$8*(1+'Part VII-Pro Forma'!$B$6)^('Part VII-Pro Forma'!B48-1)),),IF('Part VII-Pro Forma'!$G$9="Yes",ROUND((-(SUM(B49:B52)*'Part VII-Pro Forma'!$K$9)),),"Choose mgt fee")))</f>
        <v>-45993</v>
      </c>
      <c r="C55" s="25">
        <f>IF(AND('Part VII-Pro Forma'!$G$8="Yes",'Part VII-Pro Forma'!$G$9="Yes"),"Choose One!",IF('Part VII-Pro Forma'!$G$8="Yes",ROUND((-$K$8*(1+'Part VII-Pro Forma'!$B$6)^('Part VII-Pro Forma'!C48-1)),),IF('Part VII-Pro Forma'!$G$9="Yes",ROUND((-(SUM(C49:C52)*'Part VII-Pro Forma'!$K$9)),),"Choose mgt fee")))</f>
        <v>-47373</v>
      </c>
      <c r="D55" s="25">
        <f>IF(AND('Part VII-Pro Forma'!$G$8="Yes",'Part VII-Pro Forma'!$G$9="Yes"),"Choose One!",IF('Part VII-Pro Forma'!$G$8="Yes",ROUND((-$K$8*(1+'Part VII-Pro Forma'!$B$6)^('Part VII-Pro Forma'!D48-1)),),IF('Part VII-Pro Forma'!$G$9="Yes",ROUND((-(SUM(D49:D52)*'Part VII-Pro Forma'!$K$9)),),"Choose mgt fee")))</f>
        <v>-48794</v>
      </c>
      <c r="E55" s="25">
        <f>IF(AND('Part VII-Pro Forma'!$G$8="Yes",'Part VII-Pro Forma'!$G$9="Yes"),"Choose One!",IF('Part VII-Pro Forma'!$G$8="Yes",ROUND((-$K$8*(1+'Part VII-Pro Forma'!$B$6)^('Part VII-Pro Forma'!E48-1)),),IF('Part VII-Pro Forma'!$G$9="Yes",ROUND((-(SUM(E49:E52)*'Part VII-Pro Forma'!$K$9)),),"Choose mgt fee")))</f>
        <v>-50258</v>
      </c>
      <c r="F55" s="25">
        <f>IF(AND('Part VII-Pro Forma'!$G$8="Yes",'Part VII-Pro Forma'!$G$9="Yes"),"Choose One!",IF('Part VII-Pro Forma'!$G$8="Yes",ROUND((-$K$8*(1+'Part VII-Pro Forma'!$B$6)^('Part VII-Pro Forma'!F48-1)),),IF('Part VII-Pro Forma'!$G$9="Yes",ROUND((-(SUM(F49:F52)*'Part VII-Pro Forma'!$K$9)),),"Choose mgt fee")))</f>
        <v>-51765</v>
      </c>
      <c r="G55" s="25">
        <f>IF(AND('Part VII-Pro Forma'!$G$8="Yes",'Part VII-Pro Forma'!$G$9="Yes"),"Choose One!",IF('Part VII-Pro Forma'!$G$8="Yes",ROUND((-$K$8*(1+'Part VII-Pro Forma'!$B$6)^('Part VII-Pro Forma'!G48-1)),),IF('Part VII-Pro Forma'!$G$9="Yes",ROUND((-(SUM(G49:G52)*'Part VII-Pro Forma'!$K$9)),),"Choose mgt fee")))</f>
        <v>-53318</v>
      </c>
      <c r="H55" s="25">
        <f>IF(AND('Part VII-Pro Forma'!$G$8="Yes",'Part VII-Pro Forma'!$G$9="Yes"),"Choose One!",IF('Part VII-Pro Forma'!$G$8="Yes",ROUND((-$K$8*(1+'Part VII-Pro Forma'!$B$6)^('Part VII-Pro Forma'!H48-1)),),IF('Part VII-Pro Forma'!$G$9="Yes",ROUND((-(SUM(H49:H52)*'Part VII-Pro Forma'!$K$9)),),"Choose mgt fee")))</f>
        <v>-54918</v>
      </c>
      <c r="I55" s="25">
        <f>IF(AND('Part VII-Pro Forma'!$G$8="Yes",'Part VII-Pro Forma'!$G$9="Yes"),"Choose One!",IF('Part VII-Pro Forma'!$G$8="Yes",ROUND((-$K$8*(1+'Part VII-Pro Forma'!$B$6)^('Part VII-Pro Forma'!I48-1)),),IF('Part VII-Pro Forma'!$G$9="Yes",ROUND((-(SUM(I49:I52)*'Part VII-Pro Forma'!$K$9)),),"Choose mgt fee")))</f>
        <v>-56565</v>
      </c>
      <c r="J55" s="25">
        <f>IF(AND('Part VII-Pro Forma'!$G$8="Yes",'Part VII-Pro Forma'!$G$9="Yes"),"Choose One!",IF('Part VII-Pro Forma'!$G$8="Yes",ROUND((-$K$8*(1+'Part VII-Pro Forma'!$B$6)^('Part VII-Pro Forma'!J48-1)),),IF('Part VII-Pro Forma'!$G$9="Yes",ROUND((-(SUM(J49:J52)*'Part VII-Pro Forma'!$K$9)),),"Choose mgt fee")))</f>
        <v>-58262</v>
      </c>
      <c r="K55" s="25">
        <f>IF(AND('Part VII-Pro Forma'!$G$8="Yes",'Part VII-Pro Forma'!$G$9="Yes"),"Choose One!",IF('Part VII-Pro Forma'!$G$8="Yes",ROUND((-$K$8*(1+'Part VII-Pro Forma'!$B$6)^('Part VII-Pro Forma'!K48-1)),),IF('Part VII-Pro Forma'!$G$9="Yes",ROUND((-(SUM(K49:K52)*'Part VII-Pro Forma'!$K$9)),),"Choose mgt fee")))</f>
        <v>-60010</v>
      </c>
    </row>
    <row r="56" spans="1:11" ht="13.15" customHeight="1">
      <c r="A56" s="24" t="s">
        <v>1863</v>
      </c>
      <c r="B56" s="25">
        <f t="shared" ref="B56:K56" si="24">$B$21*(1+$B$7)^(B48-1)</f>
        <v>-26542.348492046403</v>
      </c>
      <c r="C56" s="25">
        <f t="shared" si="24"/>
        <v>-27338.618946807797</v>
      </c>
      <c r="D56" s="25">
        <f t="shared" si="24"/>
        <v>-28158.777515212027</v>
      </c>
      <c r="E56" s="25">
        <f t="shared" si="24"/>
        <v>-29003.540840668389</v>
      </c>
      <c r="F56" s="25">
        <f t="shared" si="24"/>
        <v>-29873.647065888443</v>
      </c>
      <c r="G56" s="25">
        <f t="shared" si="24"/>
        <v>-30769.856477865098</v>
      </c>
      <c r="H56" s="25">
        <f t="shared" si="24"/>
        <v>-31692.952172201043</v>
      </c>
      <c r="I56" s="25">
        <f t="shared" si="24"/>
        <v>-32643.740737367076</v>
      </c>
      <c r="J56" s="25">
        <f t="shared" si="24"/>
        <v>-33623.052959488086</v>
      </c>
      <c r="K56" s="26">
        <f t="shared" si="24"/>
        <v>-34631.744548272727</v>
      </c>
    </row>
    <row r="57" spans="1:11" ht="13.15" customHeight="1">
      <c r="A57" s="24" t="s">
        <v>1864</v>
      </c>
      <c r="B57" s="25">
        <f t="shared" ref="B57:K57" si="25">SUM(B49:B56)</f>
        <v>81039.393675987842</v>
      </c>
      <c r="C57" s="25">
        <f t="shared" si="25"/>
        <v>78105.881741168167</v>
      </c>
      <c r="D57" s="25">
        <f t="shared" si="25"/>
        <v>74977.474773402428</v>
      </c>
      <c r="E57" s="25">
        <f t="shared" si="25"/>
        <v>71645.41012820309</v>
      </c>
      <c r="F57" s="25">
        <f t="shared" si="25"/>
        <v>68102.679365880147</v>
      </c>
      <c r="G57" s="25">
        <f t="shared" si="25"/>
        <v>64339.020019363707</v>
      </c>
      <c r="H57" s="25">
        <f t="shared" si="25"/>
        <v>60345.907097902469</v>
      </c>
      <c r="I57" s="25">
        <f t="shared" si="25"/>
        <v>56115.544318356377</v>
      </c>
      <c r="J57" s="25">
        <f t="shared" si="25"/>
        <v>51636.855055574015</v>
      </c>
      <c r="K57" s="26">
        <f t="shared" si="25"/>
        <v>46900.473003061627</v>
      </c>
    </row>
    <row r="58" spans="1:11" ht="13.15" customHeight="1">
      <c r="A58" s="24" t="str">
        <f t="shared" ref="A58:A63" si="26">$A23</f>
        <v>D/S USDA/HUD Mortgage</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6"/>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6"/>
        <v>D/S Mortgage B</v>
      </c>
      <c r="B60" s="1284"/>
      <c r="C60" s="1284"/>
      <c r="D60" s="1284"/>
      <c r="E60" s="1284"/>
      <c r="F60" s="1284"/>
      <c r="G60" s="1284"/>
      <c r="H60" s="1284"/>
      <c r="I60" s="1284"/>
      <c r="J60" s="1284"/>
      <c r="K60" s="1284"/>
    </row>
    <row r="61" spans="1:11" ht="13.15" customHeight="1">
      <c r="A61" s="24" t="str">
        <f t="shared" si="26"/>
        <v>D/S Mortgage C</v>
      </c>
      <c r="B61" s="1284">
        <v>-57885</v>
      </c>
      <c r="C61" s="1284">
        <v>-55790</v>
      </c>
      <c r="D61" s="1284">
        <f t="shared" ref="D61:J61" si="27">-D57/1.4</f>
        <v>-53555.339123858881</v>
      </c>
      <c r="E61" s="1284">
        <v>-51175</v>
      </c>
      <c r="F61" s="1284">
        <v>-48645</v>
      </c>
      <c r="G61" s="1284">
        <v>-45956</v>
      </c>
      <c r="H61" s="1284">
        <v>-43104</v>
      </c>
      <c r="I61" s="1284">
        <v>-40083</v>
      </c>
      <c r="J61" s="1284">
        <f t="shared" si="27"/>
        <v>-36883.467896838585</v>
      </c>
      <c r="K61" s="1284">
        <v>-33500</v>
      </c>
    </row>
    <row r="62" spans="1:11" ht="13.15" customHeight="1">
      <c r="A62" s="24" t="str">
        <f t="shared" si="26"/>
        <v>D/S Other Source</v>
      </c>
      <c r="B62" s="1284">
        <f>IF('Part III A-Sources of Funds'!$M$35="", 0,-'Part III A-Sources of Funds'!$M$35)</f>
        <v>0</v>
      </c>
      <c r="C62" s="1284">
        <f>IF('Part III A-Sources of Funds'!$M$35="", 0,-'Part III A-Sources of Funds'!$M$35)</f>
        <v>0</v>
      </c>
      <c r="D62" s="1284">
        <f>IF('Part III A-Sources of Funds'!$M$35="", 0,-'Part III A-Sources of Funds'!$M$35)</f>
        <v>0</v>
      </c>
      <c r="E62" s="1284">
        <f>IF('Part III A-Sources of Funds'!$M$35="", 0,-'Part III A-Sources of Funds'!$M$35)</f>
        <v>0</v>
      </c>
      <c r="F62" s="1284">
        <f>IF('Part III A-Sources of Funds'!$M$35="", 0,-'Part III A-Sources of Funds'!$M$35)</f>
        <v>0</v>
      </c>
      <c r="G62" s="1284">
        <f>IF('Part III A-Sources of Funds'!$M$35="", 0,-'Part III A-Sources of Funds'!$M$35)</f>
        <v>0</v>
      </c>
      <c r="H62" s="1284">
        <f>IF('Part III A-Sources of Funds'!$M$35="", 0,-'Part III A-Sources of Funds'!$M$35)</f>
        <v>0</v>
      </c>
      <c r="I62" s="1284">
        <f>IF('Part III A-Sources of Funds'!$M$35="", 0,-'Part III A-Sources of Funds'!$M$35)</f>
        <v>0</v>
      </c>
      <c r="J62" s="1284">
        <f>IF('Part III A-Sources of Funds'!$M$35="", 0,-'Part III A-Sources of Funds'!$M$35)</f>
        <v>0</v>
      </c>
      <c r="K62" s="1284">
        <f>IF('Part III A-Sources of Funds'!$M$35="", 0,-'Part III A-Sources of Funds'!$M$35)</f>
        <v>0</v>
      </c>
    </row>
    <row r="63" spans="1:11" ht="13.15" customHeight="1">
      <c r="A63" s="24" t="str">
        <f t="shared" si="26"/>
        <v>D/S Grant from fdn / charity</v>
      </c>
      <c r="B63" s="1284">
        <f>IF('Part III A-Sources of Funds'!$M$36="", 0,-'Part III A-Sources of Funds'!$M$36)</f>
        <v>0</v>
      </c>
      <c r="C63" s="1284">
        <f>IF('Part III A-Sources of Funds'!$M$36="", 0,-'Part III A-Sources of Funds'!$M$36)</f>
        <v>0</v>
      </c>
      <c r="D63" s="1284">
        <f>IF('Part III A-Sources of Funds'!$M$36="", 0,-'Part III A-Sources of Funds'!$M$36)</f>
        <v>0</v>
      </c>
      <c r="E63" s="1284">
        <f>IF('Part III A-Sources of Funds'!$M$36="", 0,-'Part III A-Sources of Funds'!$M$36)</f>
        <v>0</v>
      </c>
      <c r="F63" s="1284">
        <f>IF('Part III A-Sources of Funds'!$M$36="", 0,-'Part III A-Sources of Funds'!$M$36)</f>
        <v>0</v>
      </c>
      <c r="G63" s="1284">
        <f>IF('Part III A-Sources of Funds'!$M$36="", 0,-'Part III A-Sources of Funds'!$M$36)</f>
        <v>0</v>
      </c>
      <c r="H63" s="1284">
        <f>IF('Part III A-Sources of Funds'!$M$36="", 0,-'Part III A-Sources of Funds'!$M$36)</f>
        <v>0</v>
      </c>
      <c r="I63" s="1284">
        <f>IF('Part III A-Sources of Funds'!$M$36="", 0,-'Part III A-Sources of Funds'!$M$36)</f>
        <v>0</v>
      </c>
      <c r="J63" s="1284">
        <f>IF('Part III A-Sources of Funds'!$M$36="", 0,-'Part III A-Sources of Funds'!$M$36)</f>
        <v>0</v>
      </c>
      <c r="K63" s="1284">
        <f>IF('Part III A-Sources of Funds'!$M$36="", 0,-'Part III A-Sources of Funds'!$M$36)</f>
        <v>0</v>
      </c>
    </row>
    <row r="64" spans="1:11" ht="13.15" customHeight="1">
      <c r="A64" s="24" t="s">
        <v>1337</v>
      </c>
      <c r="B64" s="1285">
        <f t="shared" ref="B64:K64" si="28">-0.5*(B57+B65+B61)</f>
        <v>-6537.5104154534638</v>
      </c>
      <c r="C64" s="1285">
        <f t="shared" si="28"/>
        <v>-5967.0638553674144</v>
      </c>
      <c r="D64" s="1285">
        <f t="shared" si="28"/>
        <v>-5364.4644990986017</v>
      </c>
      <c r="E64" s="1285">
        <f t="shared" si="28"/>
        <v>-4728.2036386581785</v>
      </c>
      <c r="F64" s="1285">
        <f t="shared" si="28"/>
        <v>-4056.6282147334059</v>
      </c>
      <c r="G64" s="1285">
        <f t="shared" si="28"/>
        <v>-9191.5100096818533</v>
      </c>
      <c r="H64" s="1285">
        <f t="shared" si="28"/>
        <v>-8620.9535489512346</v>
      </c>
      <c r="I64" s="1285">
        <f t="shared" si="28"/>
        <v>-8016.2721591781883</v>
      </c>
      <c r="J64" s="1285">
        <f t="shared" si="28"/>
        <v>-7376.6935793677148</v>
      </c>
      <c r="K64" s="1285">
        <f t="shared" si="28"/>
        <v>-6700.2365015308133</v>
      </c>
    </row>
    <row r="65" spans="1:11" ht="13.15" customHeight="1">
      <c r="A65" s="24" t="s">
        <v>1808</v>
      </c>
      <c r="B65" s="1284">
        <f>+K30*1.03</f>
        <v>-10079.372845080916</v>
      </c>
      <c r="C65" s="1284">
        <f>B65*1.03</f>
        <v>-10381.754030433343</v>
      </c>
      <c r="D65" s="1284">
        <f>C65*1.03</f>
        <v>-10693.206651346343</v>
      </c>
      <c r="E65" s="1284">
        <f>D65*1.03</f>
        <v>-11014.002850886734</v>
      </c>
      <c r="F65" s="1284">
        <f>E65*1.03</f>
        <v>-11344.422936413337</v>
      </c>
      <c r="G65" s="1284"/>
      <c r="H65" s="1284"/>
      <c r="I65" s="1284"/>
      <c r="J65" s="1284"/>
      <c r="K65" s="1284"/>
    </row>
    <row r="66" spans="1:11" ht="13.15" customHeight="1">
      <c r="A66" s="24" t="s">
        <v>1865</v>
      </c>
      <c r="B66" s="1284">
        <f>IF('Part III A-Sources of Funds'!$M$37="", 0,-'Part III A-Sources of Funds'!$M$37)</f>
        <v>0</v>
      </c>
      <c r="C66" s="1284">
        <f>IF('Part III A-Sources of Funds'!$M$37="", 0,-'Part III A-Sources of Funds'!$M$37)</f>
        <v>0</v>
      </c>
      <c r="D66" s="1284">
        <f>IF('Part III A-Sources of Funds'!$M$37="", 0,-'Part III A-Sources of Funds'!$M$37)</f>
        <v>0</v>
      </c>
      <c r="E66" s="1284">
        <f>IF('Part III A-Sources of Funds'!$M$37="", 0,-'Part III A-Sources of Funds'!$M$37)</f>
        <v>0</v>
      </c>
      <c r="F66" s="1284">
        <f>IF('Part III A-Sources of Funds'!$M$37="", 0,-'Part III A-Sources of Funds'!$M$37)</f>
        <v>0</v>
      </c>
      <c r="G66" s="1284">
        <f>IF('Part III A-Sources of Funds'!$M$37="", 0,-'Part III A-Sources of Funds'!$M$37)</f>
        <v>0</v>
      </c>
      <c r="H66" s="1284">
        <f>IF('Part III A-Sources of Funds'!$M$37="", 0,-'Part III A-Sources of Funds'!$M$37)</f>
        <v>0</v>
      </c>
      <c r="I66" s="1284">
        <f>IF('Part III A-Sources of Funds'!$M$37="", 0,-'Part III A-Sources of Funds'!$M$37)</f>
        <v>0</v>
      </c>
      <c r="J66" s="1284">
        <f>IF('Part III A-Sources of Funds'!$M$37="", 0,-'Part III A-Sources of Funds'!$M$37)</f>
        <v>0</v>
      </c>
      <c r="K66" s="1284">
        <f>IF('Part III A-Sources of Funds'!$M$37="", 0,-'Part III A-Sources of Funds'!$M$37)</f>
        <v>0</v>
      </c>
    </row>
    <row r="67" spans="1:11" ht="13.15" customHeight="1">
      <c r="A67" s="24" t="s">
        <v>1809</v>
      </c>
      <c r="B67" s="1286">
        <f>+K32</f>
        <v>0</v>
      </c>
      <c r="C67" s="1286">
        <f t="shared" ref="C67:K67" si="29">+B67</f>
        <v>0</v>
      </c>
      <c r="D67" s="1286">
        <f t="shared" si="29"/>
        <v>0</v>
      </c>
      <c r="E67" s="1286">
        <f t="shared" si="29"/>
        <v>0</v>
      </c>
      <c r="F67" s="1286">
        <f t="shared" si="29"/>
        <v>0</v>
      </c>
      <c r="G67" s="1286">
        <f t="shared" si="29"/>
        <v>0</v>
      </c>
      <c r="H67" s="1286">
        <f t="shared" si="29"/>
        <v>0</v>
      </c>
      <c r="I67" s="1286">
        <f t="shared" si="29"/>
        <v>0</v>
      </c>
      <c r="J67" s="1286">
        <f t="shared" si="29"/>
        <v>0</v>
      </c>
      <c r="K67" s="1286">
        <f t="shared" si="29"/>
        <v>0</v>
      </c>
    </row>
    <row r="68" spans="1:11" ht="13.15" customHeight="1">
      <c r="A68" s="24" t="s">
        <v>1810</v>
      </c>
      <c r="B68" s="25">
        <f t="shared" ref="B68:K68" si="30">SUM(B57:B67)</f>
        <v>6537.510415453462</v>
      </c>
      <c r="C68" s="25">
        <f t="shared" si="30"/>
        <v>5967.0638553674089</v>
      </c>
      <c r="D68" s="25">
        <f t="shared" si="30"/>
        <v>5364.4644990986017</v>
      </c>
      <c r="E68" s="25">
        <f t="shared" si="30"/>
        <v>4728.2036386581767</v>
      </c>
      <c r="F68" s="25">
        <f t="shared" si="30"/>
        <v>4056.6282147334041</v>
      </c>
      <c r="G68" s="25">
        <f t="shared" si="30"/>
        <v>9191.5100096818533</v>
      </c>
      <c r="H68" s="25">
        <f t="shared" si="30"/>
        <v>8620.9535489512346</v>
      </c>
      <c r="I68" s="25">
        <f t="shared" si="30"/>
        <v>8016.2721591781883</v>
      </c>
      <c r="J68" s="25">
        <f t="shared" si="30"/>
        <v>7376.6935793677148</v>
      </c>
      <c r="K68" s="23">
        <f t="shared" si="30"/>
        <v>6700.2365015308133</v>
      </c>
    </row>
    <row r="69" spans="1:11" ht="13.15" customHeight="1">
      <c r="A69" s="24" t="str">
        <f t="shared" ref="A69:A74" si="31">$A34</f>
        <v>DCR First Mortgage</v>
      </c>
      <c r="B69" s="27" t="str">
        <f>IF(B58=0,"",-B57/B58)</f>
        <v/>
      </c>
      <c r="C69" s="27" t="str">
        <f t="shared" ref="C69:K69" si="32">IF(C58=0,"",-C57/C58)</f>
        <v/>
      </c>
      <c r="D69" s="27" t="str">
        <f t="shared" si="32"/>
        <v/>
      </c>
      <c r="E69" s="27" t="str">
        <f t="shared" si="32"/>
        <v/>
      </c>
      <c r="F69" s="27" t="str">
        <f t="shared" si="32"/>
        <v/>
      </c>
      <c r="G69" s="27" t="str">
        <f t="shared" si="32"/>
        <v/>
      </c>
      <c r="H69" s="27" t="str">
        <f t="shared" si="32"/>
        <v/>
      </c>
      <c r="I69" s="27" t="str">
        <f t="shared" si="32"/>
        <v/>
      </c>
      <c r="J69" s="27" t="str">
        <f t="shared" si="32"/>
        <v/>
      </c>
      <c r="K69" s="28" t="str">
        <f t="shared" si="32"/>
        <v/>
      </c>
    </row>
    <row r="70" spans="1:11" ht="13.15" customHeight="1">
      <c r="A70" s="24" t="str">
        <f t="shared" si="31"/>
        <v>DCR USDA/HUD Fee</v>
      </c>
      <c r="B70" s="27" t="str">
        <f>IF(OR(B59=0,AND(B59=0,B58=0)),"",-B57/(B58+B59))</f>
        <v/>
      </c>
      <c r="C70" s="27" t="str">
        <f t="shared" ref="C70:K70" si="33">IF(OR(C59=0,AND(C59=0,C58=0)),"",-C57/(C58+C59))</f>
        <v/>
      </c>
      <c r="D70" s="27" t="str">
        <f t="shared" si="33"/>
        <v/>
      </c>
      <c r="E70" s="27" t="str">
        <f t="shared" si="33"/>
        <v/>
      </c>
      <c r="F70" s="27" t="str">
        <f t="shared" si="33"/>
        <v/>
      </c>
      <c r="G70" s="27" t="str">
        <f t="shared" si="33"/>
        <v/>
      </c>
      <c r="H70" s="27" t="str">
        <f t="shared" si="33"/>
        <v/>
      </c>
      <c r="I70" s="27" t="str">
        <f t="shared" si="33"/>
        <v/>
      </c>
      <c r="J70" s="27" t="str">
        <f t="shared" si="33"/>
        <v/>
      </c>
      <c r="K70" s="28" t="str">
        <f t="shared" si="33"/>
        <v/>
      </c>
    </row>
    <row r="71" spans="1:11" ht="13.15" customHeight="1">
      <c r="A71" s="24" t="str">
        <f t="shared" si="31"/>
        <v>DCR Second Mortgage</v>
      </c>
      <c r="B71" s="27" t="str">
        <f>IF(OR(B60=0,AND(B60=0,B59=0,B58=0)),"",-B57/(B58+B59+B60))</f>
        <v/>
      </c>
      <c r="C71" s="27" t="str">
        <f t="shared" ref="C71:K71" si="34">IF(OR(C60=0,AND(C60=0,C59=0,C58=0)),"",-C57/(C58+C59+C60))</f>
        <v/>
      </c>
      <c r="D71" s="27" t="str">
        <f t="shared" si="34"/>
        <v/>
      </c>
      <c r="E71" s="27" t="str">
        <f t="shared" si="34"/>
        <v/>
      </c>
      <c r="F71" s="27" t="str">
        <f t="shared" si="34"/>
        <v/>
      </c>
      <c r="G71" s="27" t="str">
        <f t="shared" si="34"/>
        <v/>
      </c>
      <c r="H71" s="27" t="str">
        <f t="shared" si="34"/>
        <v/>
      </c>
      <c r="I71" s="27" t="str">
        <f t="shared" si="34"/>
        <v/>
      </c>
      <c r="J71" s="27" t="str">
        <f t="shared" si="34"/>
        <v/>
      </c>
      <c r="K71" s="28" t="str">
        <f t="shared" si="34"/>
        <v/>
      </c>
    </row>
    <row r="72" spans="1:11" ht="13.15" customHeight="1">
      <c r="A72" s="24" t="str">
        <f t="shared" si="31"/>
        <v>DCR Third Mortgage</v>
      </c>
      <c r="B72" s="27">
        <f>IF(OR(B61=0,AND(B58=0,B59=0,B60=0,B61=0)),"",-B57/(B58+B59+B60+B61))</f>
        <v>1.4000068010017765</v>
      </c>
      <c r="C72" s="27">
        <f t="shared" ref="C72:K72" si="35">IF(OR(C61=0,AND(C58=0,C59=0,C60=0,C61=0)),"",-C57/(C58+C59+C60+C61))</f>
        <v>1.3999978802862192</v>
      </c>
      <c r="D72" s="27">
        <f t="shared" si="35"/>
        <v>1.4</v>
      </c>
      <c r="E72" s="27">
        <f t="shared" si="35"/>
        <v>1.4000080142296647</v>
      </c>
      <c r="F72" s="27">
        <f t="shared" si="35"/>
        <v>1.3999934086931884</v>
      </c>
      <c r="G72" s="27">
        <f t="shared" si="35"/>
        <v>1.4000134915868159</v>
      </c>
      <c r="H72" s="27">
        <f t="shared" si="35"/>
        <v>1.4000071245801426</v>
      </c>
      <c r="I72" s="27">
        <f t="shared" si="35"/>
        <v>1.3999836419019629</v>
      </c>
      <c r="J72" s="27">
        <f t="shared" si="35"/>
        <v>1.4</v>
      </c>
      <c r="K72" s="28">
        <f t="shared" si="35"/>
        <v>1.4000141194943769</v>
      </c>
    </row>
    <row r="73" spans="1:11" ht="13.15" customHeight="1">
      <c r="A73" s="24" t="str">
        <f t="shared" si="31"/>
        <v>DCR Other Source</v>
      </c>
      <c r="B73" s="27" t="str">
        <f>IF(OR(B62=0,AND(B58=0,B59=0,B60=0,B61=0,B62=0)),"",-B57/(B58+B59+B60+B61+B62))</f>
        <v/>
      </c>
      <c r="C73" s="27" t="str">
        <f t="shared" ref="C73:K73" si="36">IF(OR(C62=0,AND(C58=0,C59=0,C60=0,C61=0,C62=0)),"",-C57/(C58+C59+C60+C61+C62))</f>
        <v/>
      </c>
      <c r="D73" s="27" t="str">
        <f t="shared" si="36"/>
        <v/>
      </c>
      <c r="E73" s="27" t="str">
        <f t="shared" si="36"/>
        <v/>
      </c>
      <c r="F73" s="27" t="str">
        <f t="shared" si="36"/>
        <v/>
      </c>
      <c r="G73" s="27" t="str">
        <f t="shared" si="36"/>
        <v/>
      </c>
      <c r="H73" s="27" t="str">
        <f t="shared" si="36"/>
        <v/>
      </c>
      <c r="I73" s="27" t="str">
        <f t="shared" si="36"/>
        <v/>
      </c>
      <c r="J73" s="27" t="str">
        <f t="shared" si="36"/>
        <v/>
      </c>
      <c r="K73" s="28" t="str">
        <f t="shared" si="36"/>
        <v/>
      </c>
    </row>
    <row r="74" spans="1:11" ht="13.15" customHeight="1">
      <c r="A74" s="24" t="str">
        <f t="shared" si="31"/>
        <v>DCR Other Source</v>
      </c>
      <c r="B74" s="27" t="str">
        <f>IF(OR(B63=0,AND(B58=0,B59=0,B60=0,B61=0,B62=0,B63=0)),"",-B57/(B58+B59+B60+B61+B62+B63))</f>
        <v/>
      </c>
      <c r="C74" s="27" t="str">
        <f t="shared" ref="C74:K74" si="37">IF(OR(C63=0,AND(C58=0,C59=0,C60=0,C61=0,C62=0,C63=0)),"",-C57/(C58+C59+C60+C61+C62+C63))</f>
        <v/>
      </c>
      <c r="D74" s="27" t="str">
        <f t="shared" si="37"/>
        <v/>
      </c>
      <c r="E74" s="27" t="str">
        <f t="shared" si="37"/>
        <v/>
      </c>
      <c r="F74" s="27" t="str">
        <f t="shared" si="37"/>
        <v/>
      </c>
      <c r="G74" s="27" t="str">
        <f t="shared" si="37"/>
        <v/>
      </c>
      <c r="H74" s="27" t="str">
        <f t="shared" si="37"/>
        <v/>
      </c>
      <c r="I74" s="27" t="str">
        <f t="shared" si="37"/>
        <v/>
      </c>
      <c r="J74" s="27" t="str">
        <f t="shared" si="37"/>
        <v/>
      </c>
      <c r="K74" s="28" t="str">
        <f t="shared" si="37"/>
        <v/>
      </c>
    </row>
    <row r="75" spans="1:11" ht="13.15" customHeight="1">
      <c r="A75" s="24" t="s">
        <v>1346</v>
      </c>
      <c r="B75" s="379">
        <f>IF(OR(B55="Choose mgt fee",B55="Choose One!"),"",(B49+B50+B51+B52+B53) / -(B54+B55+B56))</f>
        <v>1.1779486068271898</v>
      </c>
      <c r="C75" s="379">
        <f t="shared" ref="C75:K75" si="38">IF(OR(C55="Choose mgt fee",C55="Choose One!"),"",(C49+C50+C51+C52+C53) / -(C54+C55+C56))</f>
        <v>1.1665116903468198</v>
      </c>
      <c r="D75" s="379">
        <f t="shared" si="38"/>
        <v>1.1551867884160982</v>
      </c>
      <c r="E75" s="379">
        <f t="shared" si="38"/>
        <v>1.1439709689188187</v>
      </c>
      <c r="F75" s="379">
        <f t="shared" si="38"/>
        <v>1.132866090191659</v>
      </c>
      <c r="G75" s="379">
        <f t="shared" si="38"/>
        <v>1.1218672840380397</v>
      </c>
      <c r="H75" s="379">
        <f t="shared" si="38"/>
        <v>1.1109744288548753</v>
      </c>
      <c r="I75" s="379">
        <f t="shared" si="38"/>
        <v>1.10018933006729</v>
      </c>
      <c r="J75" s="379">
        <f t="shared" si="38"/>
        <v>1.0895077858326765</v>
      </c>
      <c r="K75" s="380">
        <f t="shared" si="38"/>
        <v>1.0789297861336078</v>
      </c>
    </row>
    <row r="76" spans="1:11" ht="13.15" customHeight="1">
      <c r="A76" s="24" t="str">
        <f>IF('Part III A-Sources of Funds'!$E$32 = "Neither", "", "First Mortgage Balance")</f>
        <v>First Mortgage Balance</v>
      </c>
      <c r="B76" s="1287">
        <f>IF('Part III A-Sources of Funds'!$H$32="","",-FV('Part III A-Sources of Funds'!$J$32/12,12,B58/12,K41))</f>
        <v>0</v>
      </c>
      <c r="C76" s="1287">
        <f>IF('Part III A-Sources of Funds'!$H$32="","",-FV('Part III A-Sources of Funds'!$J$32/12,12,C58/12,B76))</f>
        <v>0</v>
      </c>
      <c r="D76" s="1287">
        <f>IF('Part III A-Sources of Funds'!$H$32="","",-FV('Part III A-Sources of Funds'!$J$32/12,12,D58/12,C76))</f>
        <v>0</v>
      </c>
      <c r="E76" s="1287">
        <f>IF('Part III A-Sources of Funds'!$H$32="","",-FV('Part III A-Sources of Funds'!$J$32/12,12,E58/12,D76))</f>
        <v>0</v>
      </c>
      <c r="F76" s="1287">
        <f>IF('Part III A-Sources of Funds'!$H$32="","",-FV('Part III A-Sources of Funds'!$J$32/12,12,F58/12,E76))</f>
        <v>0</v>
      </c>
      <c r="G76" s="1287">
        <f>IF('Part III A-Sources of Funds'!$H$32="","",-FV('Part III A-Sources of Funds'!$J$32/12,12,G58/12,F76))</f>
        <v>0</v>
      </c>
      <c r="H76" s="1287">
        <f>IF('Part III A-Sources of Funds'!$H$32="","",-FV('Part III A-Sources of Funds'!$J$32/12,12,H58/12,G76))</f>
        <v>0</v>
      </c>
      <c r="I76" s="1287">
        <f>IF('Part III A-Sources of Funds'!$H$32="","",-FV('Part III A-Sources of Funds'!$J$32/12,12,I58/12,H76))</f>
        <v>0</v>
      </c>
      <c r="J76" s="1287">
        <f>IF('Part III A-Sources of Funds'!$H$32="","",-FV('Part III A-Sources of Funds'!$J$32/12,12,J58/12,I76))</f>
        <v>0</v>
      </c>
      <c r="K76" s="1287">
        <f>IF('Part III A-Sources of Funds'!$H$32="","",-FV('Part III A-Sources of Funds'!$J$32/12,12,K58/12,J76))</f>
        <v>0</v>
      </c>
    </row>
    <row r="77" spans="1:11" ht="13.15" customHeight="1">
      <c r="A77" s="24" t="str">
        <f>IF('Part III A-Sources of Funds'!$E$32 = "Neither", "First Mortgage Balance", "Second Mortgage Balance")</f>
        <v>Second Mortgage Balance</v>
      </c>
      <c r="B77" s="1284">
        <f>IF('Part III A-Sources of Funds'!$H$33="","",-FV('Part III A-Sources of Funds'!$J$33/12,12,B60/12,K42))</f>
        <v>725446.48855001293</v>
      </c>
      <c r="C77" s="1284">
        <f>IF('Part III A-Sources of Funds'!$H$33="","",-FV('Part III A-Sources of Funds'!$J$33/12,12,C60/12,B77))</f>
        <v>755378.63074025221</v>
      </c>
      <c r="D77" s="1284">
        <f>IF('Part III A-Sources of Funds'!$H$33="","",-FV('Part III A-Sources of Funds'!$J$33/12,12,D60/12,C77))</f>
        <v>786545.78219752572</v>
      </c>
      <c r="E77" s="1284">
        <f>IF('Part III A-Sources of Funds'!$H$33="","",-FV('Part III A-Sources of Funds'!$J$33/12,12,E60/12,D77))</f>
        <v>818998.89977884572</v>
      </c>
      <c r="F77" s="1284">
        <f>IF('Part III A-Sources of Funds'!$H$33="","",-FV('Part III A-Sources of Funds'!$J$33/12,12,F60/12,E77))</f>
        <v>852791.04283660324</v>
      </c>
      <c r="G77" s="1284">
        <f>IF('Part III A-Sources of Funds'!$H$33="","",-FV('Part III A-Sources of Funds'!$J$33/12,12,G60/12,F77))</f>
        <v>887977.45996816515</v>
      </c>
      <c r="H77" s="1284">
        <f>IF('Part III A-Sources of Funds'!$H$33="","",-FV('Part III A-Sources of Funds'!$J$33/12,12,H60/12,G77))</f>
        <v>924615.67934478598</v>
      </c>
      <c r="I77" s="1284">
        <f>IF('Part III A-Sources of Funds'!$H$33="","",-FV('Part III A-Sources of Funds'!$J$33/12,12,I60/12,H77))</f>
        <v>962765.60276751791</v>
      </c>
      <c r="J77" s="1284">
        <f>IF('Part III A-Sources of Funds'!$H$33="","",-FV('Part III A-Sources of Funds'!$J$33/12,12,J60/12,I77))</f>
        <v>1002489.6036038967</v>
      </c>
      <c r="K77" s="1284">
        <f>IF('Part III A-Sources of Funds'!$H$33="","",-FV('Part III A-Sources of Funds'!$J$33/12,12,K60/12,J77))</f>
        <v>1043852.6287655241</v>
      </c>
    </row>
    <row r="78" spans="1:11" ht="13.15" customHeight="1">
      <c r="A78" s="24" t="str">
        <f>IF('Part III A-Sources of Funds'!$E$32 = "Neither", "Second Mortgage Balance", "Third Mortgage Balance")</f>
        <v>Third Mortgage Balance</v>
      </c>
      <c r="B78" s="1284">
        <f>IF('Part III A-Sources of Funds'!$H$34="","",-FV('Part III A-Sources of Funds'!$J$34/12,12,B61/12,K43))</f>
        <v>432268.74555111706</v>
      </c>
      <c r="C78" s="1284">
        <f>IF('Part III A-Sources of Funds'!$H$34="","",-FV('Part III A-Sources of Funds'!$J$34/12,12,C61/12,B78))</f>
        <v>380564.88467209373</v>
      </c>
      <c r="D78" s="1284">
        <f>IF('Part III A-Sources of Funds'!$H$34="","",-FV('Part III A-Sources of Funds'!$J$34/12,12,D61/12,C78))</f>
        <v>330586.54040474619</v>
      </c>
      <c r="E78" s="1284">
        <f>IF('Part III A-Sources of Funds'!$H$34="","",-FV('Part III A-Sources of Funds'!$J$34/12,12,E61/12,D78))</f>
        <v>282497.39501933404</v>
      </c>
      <c r="F78" s="1284">
        <f>IF('Part III A-Sources of Funds'!$H$34="","",-FV('Part III A-Sources of Funds'!$J$34/12,12,F61/12,E78))</f>
        <v>236466.77606473881</v>
      </c>
      <c r="G78" s="1284">
        <f>IF('Part III A-Sources of Funds'!$H$34="","",-FV('Part III A-Sources of Funds'!$J$34/12,12,G61/12,F78))</f>
        <v>192675.0941950758</v>
      </c>
      <c r="H78" s="1284">
        <f>IF('Part III A-Sources of Funds'!$H$34="","",-FV('Part III A-Sources of Funds'!$J$34/12,12,H61/12,G78))</f>
        <v>151308.59084719024</v>
      </c>
      <c r="I78" s="1284">
        <f>IF('Part III A-Sources of Funds'!$H$34="","",-FV('Part III A-Sources of Funds'!$J$34/12,12,I61/12,H78))</f>
        <v>112561.40600864963</v>
      </c>
      <c r="J78" s="1284">
        <f>IF('Part III A-Sources of Funds'!$H$34="","",-FV('Part III A-Sources of Funds'!$J$34/12,12,J61/12,I78))</f>
        <v>76639.205903296504</v>
      </c>
      <c r="K78" s="1284">
        <f>IF('Part III A-Sources of Funds'!$H$34="","",-FV('Part III A-Sources of Funds'!$J$34/12,12,K61/12,J78))</f>
        <v>43755.151396170688</v>
      </c>
    </row>
    <row r="79" spans="1:11" ht="13.15" customHeight="1">
      <c r="A79" s="24" t="s">
        <v>1365</v>
      </c>
      <c r="B79" s="1284" t="str">
        <f>IF('Part III A-Sources of Funds'!$H$35="","",-FV('Part III A-Sources of Funds'!$J$35/12,12,B62/12,K44))</f>
        <v/>
      </c>
      <c r="C79" s="1284" t="str">
        <f>IF('Part III A-Sources of Funds'!$H$35="","",-FV('Part III A-Sources of Funds'!$J$35/12,12,C62/12,B79))</f>
        <v/>
      </c>
      <c r="D79" s="1284" t="str">
        <f>IF('Part III A-Sources of Funds'!$H$35="","",-FV('Part III A-Sources of Funds'!$J$35/12,12,D62/12,C79))</f>
        <v/>
      </c>
      <c r="E79" s="1284" t="str">
        <f>IF('Part III A-Sources of Funds'!$H$35="","",-FV('Part III A-Sources of Funds'!$J$35/12,12,E62/12,D79))</f>
        <v/>
      </c>
      <c r="F79" s="1284" t="str">
        <f>IF('Part III A-Sources of Funds'!$H$35="","",-FV('Part III A-Sources of Funds'!$J$35/12,12,F62/12,E79))</f>
        <v/>
      </c>
      <c r="G79" s="1284" t="str">
        <f>IF('Part III A-Sources of Funds'!$H$35="","",-FV('Part III A-Sources of Funds'!$J$35/12,12,G62/12,F79))</f>
        <v/>
      </c>
      <c r="H79" s="1284" t="str">
        <f>IF('Part III A-Sources of Funds'!$H$35="","",-FV('Part III A-Sources of Funds'!$J$35/12,12,H62/12,G79))</f>
        <v/>
      </c>
      <c r="I79" s="1284" t="str">
        <f>IF('Part III A-Sources of Funds'!$H$35="","",-FV('Part III A-Sources of Funds'!$J$35/12,12,I62/12,H79))</f>
        <v/>
      </c>
      <c r="J79" s="1284" t="str">
        <f>IF('Part III A-Sources of Funds'!$H$35="","",-FV('Part III A-Sources of Funds'!$J$35/12,12,J62/12,I79))</f>
        <v/>
      </c>
      <c r="K79" s="1284" t="str">
        <f>IF('Part III A-Sources of Funds'!$H$35="","",-FV('Part III A-Sources of Funds'!$J$35/12,12,K62/12,J79))</f>
        <v/>
      </c>
    </row>
    <row r="80" spans="1:11" ht="13.15" customHeight="1">
      <c r="A80" s="24" t="s">
        <v>1365</v>
      </c>
      <c r="B80" s="1284" t="str">
        <f>IF('Part III A-Sources of Funds'!$H$36="","",-FV('Part III A-Sources of Funds'!$J$36/12,12,B63/12,K45))</f>
        <v/>
      </c>
      <c r="C80" s="1284" t="str">
        <f>IF('Part III A-Sources of Funds'!$H$36="","",-FV('Part III A-Sources of Funds'!$J$36/12,12,C63/12,B80))</f>
        <v/>
      </c>
      <c r="D80" s="1284" t="str">
        <f>IF('Part III A-Sources of Funds'!$H$36="","",-FV('Part III A-Sources of Funds'!$J$36/12,12,D63/12,C80))</f>
        <v/>
      </c>
      <c r="E80" s="1284" t="str">
        <f>IF('Part III A-Sources of Funds'!$H$36="","",-FV('Part III A-Sources of Funds'!$J$36/12,12,E63/12,D80))</f>
        <v/>
      </c>
      <c r="F80" s="1284" t="str">
        <f>IF('Part III A-Sources of Funds'!$H$36="","",-FV('Part III A-Sources of Funds'!$J$36/12,12,F63/12,E80))</f>
        <v/>
      </c>
      <c r="G80" s="1284" t="str">
        <f>IF('Part III A-Sources of Funds'!$H$36="","",-FV('Part III A-Sources of Funds'!$J$36/12,12,G63/12,F80))</f>
        <v/>
      </c>
      <c r="H80" s="1284" t="str">
        <f>IF('Part III A-Sources of Funds'!$H$36="","",-FV('Part III A-Sources of Funds'!$J$36/12,12,H63/12,G80))</f>
        <v/>
      </c>
      <c r="I80" s="1284" t="str">
        <f>IF('Part III A-Sources of Funds'!$H$36="","",-FV('Part III A-Sources of Funds'!$J$36/12,12,I63/12,H80))</f>
        <v/>
      </c>
      <c r="J80" s="1284" t="str">
        <f>IF('Part III A-Sources of Funds'!$H$36="","",-FV('Part III A-Sources of Funds'!$J$36/12,12,J63/12,I80))</f>
        <v/>
      </c>
      <c r="K80" s="1284" t="str">
        <f>IF('Part III A-Sources of Funds'!$H$36="","",-FV('Part III A-Sources of Funds'!$J$36/12,12,K63/12,J80))</f>
        <v/>
      </c>
    </row>
    <row r="81" spans="1:11" ht="13.15" customHeight="1">
      <c r="A81" s="29" t="s">
        <v>1900</v>
      </c>
      <c r="B81" s="1286" t="str">
        <f>IF('Part III A-Sources of Funds'!$H$37="","",-FV('Part III A-Sources of Funds'!$J$37/12,12,B66/12,K46))</f>
        <v/>
      </c>
      <c r="C81" s="1286" t="str">
        <f>IF('Part III A-Sources of Funds'!$H$37="","",-FV('Part III A-Sources of Funds'!$J$37/12,12,C66/12,B81))</f>
        <v/>
      </c>
      <c r="D81" s="1286" t="str">
        <f>IF('Part III A-Sources of Funds'!$H$37="","",-FV('Part III A-Sources of Funds'!$J$37/12,12,D66/12,C81))</f>
        <v/>
      </c>
      <c r="E81" s="1286" t="str">
        <f>IF('Part III A-Sources of Funds'!$H$37="","",-FV('Part III A-Sources of Funds'!$J$37/12,12,E66/12,D81))</f>
        <v/>
      </c>
      <c r="F81" s="1286" t="str">
        <f>IF('Part III A-Sources of Funds'!$H$37="","",-FV('Part III A-Sources of Funds'!$J$37/12,12,F66/12,E81))</f>
        <v/>
      </c>
      <c r="G81" s="1286" t="str">
        <f>IF('Part III A-Sources of Funds'!$H$37="","",-FV('Part III A-Sources of Funds'!$J$37/12,12,G66/12,F81))</f>
        <v/>
      </c>
      <c r="H81" s="1286" t="str">
        <f>IF('Part III A-Sources of Funds'!$H$37="","",-FV('Part III A-Sources of Funds'!$J$37/12,12,H66/12,G81))</f>
        <v/>
      </c>
      <c r="I81" s="1286" t="str">
        <f>IF('Part III A-Sources of Funds'!$H$37="","",-FV('Part III A-Sources of Funds'!$J$37/12,12,I66/12,H81))</f>
        <v/>
      </c>
      <c r="J81" s="1286" t="str">
        <f>IF('Part III A-Sources of Funds'!$H$37="","",-FV('Part III A-Sources of Funds'!$J$37/12,12,J66/12,I81))</f>
        <v/>
      </c>
      <c r="K81" s="1286" t="str">
        <f>IF('Part III A-Sources of Funds'!$H$37="","",-FV('Part III A-Sources of Funds'!$J$37/12,12,K66/12,J81))</f>
        <v/>
      </c>
    </row>
    <row r="82" spans="1:11" ht="4.1500000000000004" customHeight="1">
      <c r="B82" s="20"/>
      <c r="C82" s="20"/>
      <c r="D82" s="20"/>
      <c r="E82" s="20"/>
      <c r="F82" s="20"/>
      <c r="G82" s="20"/>
      <c r="H82" s="20"/>
      <c r="I82" s="20"/>
      <c r="J82" s="20"/>
      <c r="K82" s="20"/>
    </row>
    <row r="83" spans="1:11" ht="14.45" customHeight="1">
      <c r="A83" s="16" t="s">
        <v>3753</v>
      </c>
      <c r="B83" s="18">
        <f>K48+1</f>
        <v>21</v>
      </c>
      <c r="C83" s="18">
        <f t="shared" ref="C83:K83" si="39">B83+1</f>
        <v>22</v>
      </c>
      <c r="D83" s="18">
        <f t="shared" si="39"/>
        <v>23</v>
      </c>
      <c r="E83" s="18">
        <f t="shared" si="39"/>
        <v>24</v>
      </c>
      <c r="F83" s="18">
        <f t="shared" si="39"/>
        <v>25</v>
      </c>
      <c r="G83" s="18">
        <f t="shared" si="39"/>
        <v>26</v>
      </c>
      <c r="H83" s="18">
        <f t="shared" si="39"/>
        <v>27</v>
      </c>
      <c r="I83" s="18">
        <f t="shared" si="39"/>
        <v>28</v>
      </c>
      <c r="J83" s="18">
        <f t="shared" si="39"/>
        <v>29</v>
      </c>
      <c r="K83" s="18">
        <f t="shared" si="39"/>
        <v>30</v>
      </c>
    </row>
    <row r="84" spans="1:11" ht="13.15" customHeight="1">
      <c r="A84" s="21" t="s">
        <v>3643</v>
      </c>
      <c r="B84" s="22">
        <f t="shared" ref="B84:K84" si="40">$B$14*(1+$B$5)^(B83-1)</f>
        <v>689360.71594227804</v>
      </c>
      <c r="C84" s="22">
        <f t="shared" si="40"/>
        <v>703147.93026112358</v>
      </c>
      <c r="D84" s="22">
        <f t="shared" si="40"/>
        <v>717210.8888663461</v>
      </c>
      <c r="E84" s="22">
        <f t="shared" si="40"/>
        <v>731555.10664367292</v>
      </c>
      <c r="F84" s="22">
        <f t="shared" si="40"/>
        <v>746186.20877654641</v>
      </c>
      <c r="G84" s="22">
        <f t="shared" si="40"/>
        <v>761109.93295207736</v>
      </c>
      <c r="H84" s="22">
        <f t="shared" si="40"/>
        <v>776332.13161111891</v>
      </c>
      <c r="I84" s="22">
        <f t="shared" si="40"/>
        <v>791858.77424334118</v>
      </c>
      <c r="J84" s="22">
        <f t="shared" si="40"/>
        <v>807695.94972820824</v>
      </c>
      <c r="K84" s="23">
        <f t="shared" si="40"/>
        <v>823849.86872277223</v>
      </c>
    </row>
    <row r="85" spans="1:11" ht="13.15" customHeight="1">
      <c r="A85" s="24" t="s">
        <v>1633</v>
      </c>
      <c r="B85" s="25">
        <f t="shared" ref="B85:K85" si="41">$B$15*(1+$B$5)^(B83-1)</f>
        <v>13787.214318845561</v>
      </c>
      <c r="C85" s="25">
        <f t="shared" si="41"/>
        <v>14062.958605222471</v>
      </c>
      <c r="D85" s="25">
        <f t="shared" si="41"/>
        <v>14344.217777326921</v>
      </c>
      <c r="E85" s="25">
        <f t="shared" si="41"/>
        <v>14631.102132873457</v>
      </c>
      <c r="F85" s="25">
        <f t="shared" si="41"/>
        <v>14923.724175530928</v>
      </c>
      <c r="G85" s="25">
        <f t="shared" si="41"/>
        <v>15222.198659041545</v>
      </c>
      <c r="H85" s="25">
        <f t="shared" si="41"/>
        <v>15526.642632222378</v>
      </c>
      <c r="I85" s="25">
        <f t="shared" si="41"/>
        <v>15837.175484866822</v>
      </c>
      <c r="J85" s="25">
        <f t="shared" si="41"/>
        <v>16153.918994564163</v>
      </c>
      <c r="K85" s="26">
        <f t="shared" si="41"/>
        <v>16476.997374455445</v>
      </c>
    </row>
    <row r="86" spans="1:11" ht="13.15" customHeight="1">
      <c r="A86" s="24" t="s">
        <v>3644</v>
      </c>
      <c r="B86" s="25">
        <f t="shared" ref="B86:K86" si="42">-(B84+B85)*$B$8</f>
        <v>-49220.355118278654</v>
      </c>
      <c r="C86" s="25">
        <f t="shared" si="42"/>
        <v>-50204.762220644232</v>
      </c>
      <c r="D86" s="25">
        <f t="shared" si="42"/>
        <v>-51208.857465057117</v>
      </c>
      <c r="E86" s="25">
        <f t="shared" si="42"/>
        <v>-52233.03461435825</v>
      </c>
      <c r="F86" s="25">
        <f t="shared" si="42"/>
        <v>-53277.695306645423</v>
      </c>
      <c r="G86" s="25">
        <f t="shared" si="42"/>
        <v>-54343.249212778326</v>
      </c>
      <c r="H86" s="25">
        <f t="shared" si="42"/>
        <v>-55430.114197033894</v>
      </c>
      <c r="I86" s="25">
        <f t="shared" si="42"/>
        <v>-56538.716480974566</v>
      </c>
      <c r="J86" s="25">
        <f t="shared" si="42"/>
        <v>-57669.490810594078</v>
      </c>
      <c r="K86" s="26">
        <f t="shared" si="42"/>
        <v>-58822.880626805942</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949</v>
      </c>
      <c r="B89" s="25">
        <f t="shared" ref="B89:K89" si="43">$B$19*(1+$B$6)^(B83-1)</f>
        <v>-514550.14572323376</v>
      </c>
      <c r="C89" s="25">
        <f t="shared" si="43"/>
        <v>-529986.65009493066</v>
      </c>
      <c r="D89" s="25">
        <f t="shared" si="43"/>
        <v>-545886.24959777866</v>
      </c>
      <c r="E89" s="25">
        <f t="shared" si="43"/>
        <v>-562262.837085712</v>
      </c>
      <c r="F89" s="25">
        <f t="shared" si="43"/>
        <v>-579130.7221982833</v>
      </c>
      <c r="G89" s="25">
        <f t="shared" si="43"/>
        <v>-596504.64386423177</v>
      </c>
      <c r="H89" s="25">
        <f t="shared" si="43"/>
        <v>-614399.78318015882</v>
      </c>
      <c r="I89" s="25">
        <f t="shared" si="43"/>
        <v>-632831.77667556354</v>
      </c>
      <c r="J89" s="25">
        <f t="shared" si="43"/>
        <v>-651816.72997583041</v>
      </c>
      <c r="K89" s="26">
        <f t="shared" si="43"/>
        <v>-671371.2318751053</v>
      </c>
    </row>
    <row r="90" spans="1:11" ht="13.15" customHeight="1">
      <c r="A90" s="24" t="s">
        <v>1747</v>
      </c>
      <c r="B90" s="25">
        <f>IF(AND('Part VII-Pro Forma'!$G$8="Yes",'Part VII-Pro Forma'!$G$9="Yes"),"Choose One!",IF('Part VII-Pro Forma'!$G$8="Yes",ROUND((-$K$8*(1+'Part VII-Pro Forma'!$B$6)^('Part VII-Pro Forma'!B83-1)),),IF('Part VII-Pro Forma'!$G$9="Yes",ROUND((-(SUM(B84:B87)*'Part VII-Pro Forma'!$K$9)),),"Choose mgt fee")))</f>
        <v>-61811</v>
      </c>
      <c r="C90" s="25">
        <f>IF(AND('Part VII-Pro Forma'!$G$8="Yes",'Part VII-Pro Forma'!$G$9="Yes"),"Choose One!",IF('Part VII-Pro Forma'!$G$8="Yes",ROUND((-$K$8*(1+'Part VII-Pro Forma'!$B$6)^('Part VII-Pro Forma'!C83-1)),),IF('Part VII-Pro Forma'!$G$9="Yes",ROUND((-(SUM(C84:C87)*'Part VII-Pro Forma'!$K$9)),),"Choose mgt fee")))</f>
        <v>-63665</v>
      </c>
      <c r="D90" s="25">
        <f>IF(AND('Part VII-Pro Forma'!$G$8="Yes",'Part VII-Pro Forma'!$G$9="Yes"),"Choose One!",IF('Part VII-Pro Forma'!$G$8="Yes",ROUND((-$K$8*(1+'Part VII-Pro Forma'!$B$6)^('Part VII-Pro Forma'!D83-1)),),IF('Part VII-Pro Forma'!$G$9="Yes",ROUND((-(SUM(D84:D87)*'Part VII-Pro Forma'!$K$9)),),"Choose mgt fee")))</f>
        <v>-65575</v>
      </c>
      <c r="E90" s="25">
        <f>IF(AND('Part VII-Pro Forma'!$G$8="Yes",'Part VII-Pro Forma'!$G$9="Yes"),"Choose One!",IF('Part VII-Pro Forma'!$G$8="Yes",ROUND((-$K$8*(1+'Part VII-Pro Forma'!$B$6)^('Part VII-Pro Forma'!E83-1)),),IF('Part VII-Pro Forma'!$G$9="Yes",ROUND((-(SUM(E84:E87)*'Part VII-Pro Forma'!$K$9)),),"Choose mgt fee")))</f>
        <v>-67542</v>
      </c>
      <c r="F90" s="25">
        <f>IF(AND('Part VII-Pro Forma'!$G$8="Yes",'Part VII-Pro Forma'!$G$9="Yes"),"Choose One!",IF('Part VII-Pro Forma'!$G$8="Yes",ROUND((-$K$8*(1+'Part VII-Pro Forma'!$B$6)^('Part VII-Pro Forma'!F83-1)),),IF('Part VII-Pro Forma'!$G$9="Yes",ROUND((-(SUM(F84:F87)*'Part VII-Pro Forma'!$K$9)),),"Choose mgt fee")))</f>
        <v>-69568</v>
      </c>
      <c r="G90" s="25">
        <f>IF(AND('Part VII-Pro Forma'!$G$8="Yes",'Part VII-Pro Forma'!$G$9="Yes"),"Choose One!",IF('Part VII-Pro Forma'!$G$8="Yes",ROUND((-$K$8*(1+'Part VII-Pro Forma'!$B$6)^('Part VII-Pro Forma'!G83-1)),),IF('Part VII-Pro Forma'!$G$9="Yes",ROUND((-(SUM(G84:G87)*'Part VII-Pro Forma'!$K$9)),),"Choose mgt fee")))</f>
        <v>-71655</v>
      </c>
      <c r="H90" s="25">
        <f>IF(AND('Part VII-Pro Forma'!$G$8="Yes",'Part VII-Pro Forma'!$G$9="Yes"),"Choose One!",IF('Part VII-Pro Forma'!$G$8="Yes",ROUND((-$K$8*(1+'Part VII-Pro Forma'!$B$6)^('Part VII-Pro Forma'!H83-1)),),IF('Part VII-Pro Forma'!$G$9="Yes",ROUND((-(SUM(H84:H87)*'Part VII-Pro Forma'!$K$9)),),"Choose mgt fee")))</f>
        <v>-73805</v>
      </c>
      <c r="I90" s="25">
        <f>IF(AND('Part VII-Pro Forma'!$G$8="Yes",'Part VII-Pro Forma'!$G$9="Yes"),"Choose One!",IF('Part VII-Pro Forma'!$G$8="Yes",ROUND((-$K$8*(1+'Part VII-Pro Forma'!$B$6)^('Part VII-Pro Forma'!I83-1)),),IF('Part VII-Pro Forma'!$G$9="Yes",ROUND((-(SUM(I84:I87)*'Part VII-Pro Forma'!$K$9)),),"Choose mgt fee")))</f>
        <v>-76019</v>
      </c>
      <c r="J90" s="25">
        <f>IF(AND('Part VII-Pro Forma'!$G$8="Yes",'Part VII-Pro Forma'!$G$9="Yes"),"Choose One!",IF('Part VII-Pro Forma'!$G$8="Yes",ROUND((-$K$8*(1+'Part VII-Pro Forma'!$B$6)^('Part VII-Pro Forma'!J83-1)),),IF('Part VII-Pro Forma'!$G$9="Yes",ROUND((-(SUM(J84:J87)*'Part VII-Pro Forma'!$K$9)),),"Choose mgt fee")))</f>
        <v>-78300</v>
      </c>
      <c r="K90" s="25">
        <f>IF(AND('Part VII-Pro Forma'!$G$8="Yes",'Part VII-Pro Forma'!$G$9="Yes"),"Choose One!",IF('Part VII-Pro Forma'!$G$8="Yes",ROUND((-$K$8*(1+'Part VII-Pro Forma'!$B$6)^('Part VII-Pro Forma'!K83-1)),),IF('Part VII-Pro Forma'!$G$9="Yes",ROUND((-(SUM(K84:K87)*'Part VII-Pro Forma'!$K$9)),),"Choose mgt fee")))</f>
        <v>-80649</v>
      </c>
    </row>
    <row r="91" spans="1:11" ht="13.15" customHeight="1">
      <c r="A91" s="24" t="s">
        <v>1863</v>
      </c>
      <c r="B91" s="25">
        <f t="shared" ref="B91:K91" si="44">$B$21*(1+$B$7)^(B83-1)</f>
        <v>-35670.696884720914</v>
      </c>
      <c r="C91" s="25">
        <f t="shared" si="44"/>
        <v>-36740.817791262532</v>
      </c>
      <c r="D91" s="25">
        <f t="shared" si="44"/>
        <v>-37843.042325000417</v>
      </c>
      <c r="E91" s="25">
        <f t="shared" si="44"/>
        <v>-38978.333594750431</v>
      </c>
      <c r="F91" s="25">
        <f t="shared" si="44"/>
        <v>-40147.683602592937</v>
      </c>
      <c r="G91" s="25">
        <f t="shared" si="44"/>
        <v>-41352.114110670722</v>
      </c>
      <c r="H91" s="25">
        <f t="shared" si="44"/>
        <v>-42592.677533990849</v>
      </c>
      <c r="I91" s="25">
        <f t="shared" si="44"/>
        <v>-43870.457860010574</v>
      </c>
      <c r="J91" s="25">
        <f t="shared" si="44"/>
        <v>-45186.571595810892</v>
      </c>
      <c r="K91" s="26">
        <f t="shared" si="44"/>
        <v>-46542.168743685208</v>
      </c>
    </row>
    <row r="92" spans="1:11" ht="13.15" customHeight="1">
      <c r="A92" s="24" t="s">
        <v>1864</v>
      </c>
      <c r="B92" s="25">
        <f t="shared" ref="B92:K92" si="45">SUM(B84:B91)</f>
        <v>41895.73253489026</v>
      </c>
      <c r="C92" s="25">
        <f t="shared" si="45"/>
        <v>36613.658759508624</v>
      </c>
      <c r="D92" s="25">
        <f t="shared" si="45"/>
        <v>31041.957255836787</v>
      </c>
      <c r="E92" s="25">
        <f t="shared" si="45"/>
        <v>25170.003481725762</v>
      </c>
      <c r="F92" s="25">
        <f t="shared" si="45"/>
        <v>18985.831844555651</v>
      </c>
      <c r="G92" s="25">
        <f t="shared" si="45"/>
        <v>12477.12442343813</v>
      </c>
      <c r="H92" s="25">
        <f t="shared" si="45"/>
        <v>5631.1993321577029</v>
      </c>
      <c r="I92" s="25">
        <f t="shared" si="45"/>
        <v>-1564.0012883406744</v>
      </c>
      <c r="J92" s="25">
        <f t="shared" si="45"/>
        <v>-9122.9236594629037</v>
      </c>
      <c r="K92" s="26">
        <f t="shared" si="45"/>
        <v>-17058.415148368775</v>
      </c>
    </row>
    <row r="93" spans="1:11" ht="13.15" customHeight="1">
      <c r="A93" s="24" t="str">
        <f t="shared" ref="A93:A98" si="46">$A58</f>
        <v>D/S USDA/HUD Mortgage</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6"/>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6"/>
        <v>D/S Mortgage B</v>
      </c>
      <c r="B95" s="1284">
        <f>IF('Part III A-Sources of Funds'!$M$33="", 0,-'Part III A-Sources of Funds'!$M$33)</f>
        <v>0</v>
      </c>
      <c r="C95" s="1284">
        <f>IF('Part III A-Sources of Funds'!$M$33="", 0,-'Part III A-Sources of Funds'!$M$33)</f>
        <v>0</v>
      </c>
      <c r="D95" s="1284">
        <f>IF('Part III A-Sources of Funds'!$M$33="", 0,-'Part III A-Sources of Funds'!$M$33)</f>
        <v>0</v>
      </c>
      <c r="E95" s="1284">
        <f>IF('Part III A-Sources of Funds'!$M$33="", 0,-'Part III A-Sources of Funds'!$M$33)</f>
        <v>0</v>
      </c>
      <c r="F95" s="1284">
        <f>IF('Part III A-Sources of Funds'!$M$33="", 0,-'Part III A-Sources of Funds'!$M$33)</f>
        <v>0</v>
      </c>
      <c r="G95" s="1284">
        <f>IF('Part III A-Sources of Funds'!$M$33="", 0,-'Part III A-Sources of Funds'!$M$33)</f>
        <v>0</v>
      </c>
      <c r="H95" s="1284">
        <f>IF('Part III A-Sources of Funds'!$M$33="", 0,-'Part III A-Sources of Funds'!$M$33)</f>
        <v>0</v>
      </c>
      <c r="I95" s="1284">
        <f>IF('Part III A-Sources of Funds'!$M$33="", 0,-'Part III A-Sources of Funds'!$M$33)</f>
        <v>0</v>
      </c>
      <c r="J95" s="1284">
        <f>IF('Part III A-Sources of Funds'!$M$33="", 0,-'Part III A-Sources of Funds'!$M$33)</f>
        <v>0</v>
      </c>
      <c r="K95" s="1284">
        <f>IF('Part III A-Sources of Funds'!$M$33="", 0,-'Part III A-Sources of Funds'!$M$33)</f>
        <v>0</v>
      </c>
    </row>
    <row r="96" spans="1:11" ht="13.15" customHeight="1">
      <c r="A96" s="24" t="str">
        <f t="shared" si="46"/>
        <v>D/S Mortgage C</v>
      </c>
      <c r="B96" s="1284"/>
      <c r="C96" s="1284"/>
      <c r="D96" s="1284"/>
      <c r="E96" s="1284"/>
      <c r="F96" s="1284"/>
      <c r="G96" s="1284"/>
      <c r="H96" s="1284"/>
      <c r="I96" s="1284"/>
      <c r="J96" s="1284"/>
      <c r="K96" s="1284"/>
    </row>
    <row r="97" spans="1:11" ht="13.15" customHeight="1">
      <c r="A97" s="24" t="str">
        <f t="shared" si="46"/>
        <v>D/S Other Source</v>
      </c>
      <c r="B97" s="1284">
        <f>IF('Part III A-Sources of Funds'!$M$35="", 0,-'Part III A-Sources of Funds'!$M$35)</f>
        <v>0</v>
      </c>
      <c r="C97" s="1284">
        <f>IF('Part III A-Sources of Funds'!$M$35="", 0,-'Part III A-Sources of Funds'!$M$35)</f>
        <v>0</v>
      </c>
      <c r="D97" s="1284">
        <f>IF('Part III A-Sources of Funds'!$M$35="", 0,-'Part III A-Sources of Funds'!$M$35)</f>
        <v>0</v>
      </c>
      <c r="E97" s="1284">
        <f>IF('Part III A-Sources of Funds'!$M$35="", 0,-'Part III A-Sources of Funds'!$M$35)</f>
        <v>0</v>
      </c>
      <c r="F97" s="1284">
        <f>IF('Part III A-Sources of Funds'!$M$35="", 0,-'Part III A-Sources of Funds'!$M$35)</f>
        <v>0</v>
      </c>
      <c r="G97" s="1284">
        <f>IF('Part III A-Sources of Funds'!$M$35="", 0,-'Part III A-Sources of Funds'!$M$35)</f>
        <v>0</v>
      </c>
      <c r="H97" s="1284">
        <f>IF('Part III A-Sources of Funds'!$M$35="", 0,-'Part III A-Sources of Funds'!$M$35)</f>
        <v>0</v>
      </c>
      <c r="I97" s="1284">
        <f>IF('Part III A-Sources of Funds'!$M$35="", 0,-'Part III A-Sources of Funds'!$M$35)</f>
        <v>0</v>
      </c>
      <c r="J97" s="1284">
        <f>IF('Part III A-Sources of Funds'!$M$35="", 0,-'Part III A-Sources of Funds'!$M$35)</f>
        <v>0</v>
      </c>
      <c r="K97" s="1284">
        <f>IF('Part III A-Sources of Funds'!$M$35="", 0,-'Part III A-Sources of Funds'!$M$35)</f>
        <v>0</v>
      </c>
    </row>
    <row r="98" spans="1:11" ht="13.15" customHeight="1">
      <c r="A98" s="24" t="str">
        <f t="shared" si="46"/>
        <v>D/S Grant from fdn / charity</v>
      </c>
      <c r="B98" s="1284">
        <f>IF('Part III A-Sources of Funds'!$M$36="", 0,-'Part III A-Sources of Funds'!$M$36)</f>
        <v>0</v>
      </c>
      <c r="C98" s="1284">
        <f>IF('Part III A-Sources of Funds'!$M$36="", 0,-'Part III A-Sources of Funds'!$M$36)</f>
        <v>0</v>
      </c>
      <c r="D98" s="1284">
        <f>IF('Part III A-Sources of Funds'!$M$36="", 0,-'Part III A-Sources of Funds'!$M$36)</f>
        <v>0</v>
      </c>
      <c r="E98" s="1284">
        <f>IF('Part III A-Sources of Funds'!$M$36="", 0,-'Part III A-Sources of Funds'!$M$36)</f>
        <v>0</v>
      </c>
      <c r="F98" s="1284">
        <f>IF('Part III A-Sources of Funds'!$M$36="", 0,-'Part III A-Sources of Funds'!$M$36)</f>
        <v>0</v>
      </c>
      <c r="G98" s="1284">
        <f>IF('Part III A-Sources of Funds'!$M$36="", 0,-'Part III A-Sources of Funds'!$M$36)</f>
        <v>0</v>
      </c>
      <c r="H98" s="1284">
        <f>IF('Part III A-Sources of Funds'!$M$36="", 0,-'Part III A-Sources of Funds'!$M$36)</f>
        <v>0</v>
      </c>
      <c r="I98" s="1284">
        <f>IF('Part III A-Sources of Funds'!$M$36="", 0,-'Part III A-Sources of Funds'!$M$36)</f>
        <v>0</v>
      </c>
      <c r="J98" s="1284">
        <f>IF('Part III A-Sources of Funds'!$M$36="", 0,-'Part III A-Sources of Funds'!$M$36)</f>
        <v>0</v>
      </c>
      <c r="K98" s="1284">
        <f>IF('Part III A-Sources of Funds'!$M$36="", 0,-'Part III A-Sources of Funds'!$M$36)</f>
        <v>0</v>
      </c>
    </row>
    <row r="99" spans="1:11" ht="13.15" customHeight="1">
      <c r="A99" s="24" t="s">
        <v>1337</v>
      </c>
      <c r="B99" s="1288"/>
      <c r="C99" s="1288"/>
      <c r="D99" s="1288"/>
      <c r="E99" s="1288"/>
      <c r="F99" s="1288"/>
      <c r="G99" s="1288"/>
      <c r="H99" s="1288"/>
      <c r="I99" s="1288"/>
      <c r="J99" s="1288"/>
      <c r="K99" s="1288"/>
    </row>
    <row r="100" spans="1:11" ht="13.15" customHeight="1">
      <c r="A100" s="24" t="s">
        <v>1808</v>
      </c>
      <c r="B100" s="1284">
        <f>+K65</f>
        <v>0</v>
      </c>
      <c r="C100" s="1284">
        <f t="shared" ref="C100:K100" si="47">+B100</f>
        <v>0</v>
      </c>
      <c r="D100" s="1284">
        <f t="shared" si="47"/>
        <v>0</v>
      </c>
      <c r="E100" s="1284">
        <f t="shared" si="47"/>
        <v>0</v>
      </c>
      <c r="F100" s="1284">
        <f t="shared" si="47"/>
        <v>0</v>
      </c>
      <c r="G100" s="1284">
        <f t="shared" si="47"/>
        <v>0</v>
      </c>
      <c r="H100" s="1284">
        <f t="shared" si="47"/>
        <v>0</v>
      </c>
      <c r="I100" s="1284">
        <f t="shared" si="47"/>
        <v>0</v>
      </c>
      <c r="J100" s="1284">
        <f t="shared" si="47"/>
        <v>0</v>
      </c>
      <c r="K100" s="1284">
        <f t="shared" si="47"/>
        <v>0</v>
      </c>
    </row>
    <row r="101" spans="1:11" ht="13.15" customHeight="1">
      <c r="A101" s="24" t="s">
        <v>1865</v>
      </c>
      <c r="B101" s="1284">
        <f>IF('Part III A-Sources of Funds'!$M$37="", 0,-'Part III A-Sources of Funds'!$M$37)</f>
        <v>0</v>
      </c>
      <c r="C101" s="1284">
        <f>IF('Part III A-Sources of Funds'!$M$37="", 0,-'Part III A-Sources of Funds'!$M$37)</f>
        <v>0</v>
      </c>
      <c r="D101" s="1284">
        <f>IF('Part III A-Sources of Funds'!$M$37="", 0,-'Part III A-Sources of Funds'!$M$37)</f>
        <v>0</v>
      </c>
      <c r="E101" s="1284">
        <f>IF('Part III A-Sources of Funds'!$M$37="", 0,-'Part III A-Sources of Funds'!$M$37)</f>
        <v>0</v>
      </c>
      <c r="F101" s="1284">
        <f>IF('Part III A-Sources of Funds'!$M$37="", 0,-'Part III A-Sources of Funds'!$M$37)</f>
        <v>0</v>
      </c>
      <c r="G101" s="1284">
        <f>IF('Part III A-Sources of Funds'!$M$37="", 0,-'Part III A-Sources of Funds'!$M$37)</f>
        <v>0</v>
      </c>
      <c r="H101" s="1284">
        <f>IF('Part III A-Sources of Funds'!$M$37="", 0,-'Part III A-Sources of Funds'!$M$37)</f>
        <v>0</v>
      </c>
      <c r="I101" s="1284">
        <f>IF('Part III A-Sources of Funds'!$M$37="", 0,-'Part III A-Sources of Funds'!$M$37)</f>
        <v>0</v>
      </c>
      <c r="J101" s="1284">
        <f>IF('Part III A-Sources of Funds'!$M$37="", 0,-'Part III A-Sources of Funds'!$M$37)</f>
        <v>0</v>
      </c>
      <c r="K101" s="1284">
        <f>IF('Part III A-Sources of Funds'!$M$37="", 0,-'Part III A-Sources of Funds'!$M$37)</f>
        <v>0</v>
      </c>
    </row>
    <row r="102" spans="1:11" ht="13.15" customHeight="1">
      <c r="A102" s="24" t="s">
        <v>1809</v>
      </c>
      <c r="B102" s="1286">
        <f>+K67</f>
        <v>0</v>
      </c>
      <c r="C102" s="1286">
        <f t="shared" ref="C102:K102" si="48">+B102</f>
        <v>0</v>
      </c>
      <c r="D102" s="1286">
        <f t="shared" si="48"/>
        <v>0</v>
      </c>
      <c r="E102" s="1286">
        <f t="shared" si="48"/>
        <v>0</v>
      </c>
      <c r="F102" s="1286">
        <f t="shared" si="48"/>
        <v>0</v>
      </c>
      <c r="G102" s="1286">
        <f t="shared" si="48"/>
        <v>0</v>
      </c>
      <c r="H102" s="1286">
        <f t="shared" si="48"/>
        <v>0</v>
      </c>
      <c r="I102" s="1286">
        <f t="shared" si="48"/>
        <v>0</v>
      </c>
      <c r="J102" s="1286">
        <f t="shared" si="48"/>
        <v>0</v>
      </c>
      <c r="K102" s="1286">
        <f t="shared" si="48"/>
        <v>0</v>
      </c>
    </row>
    <row r="103" spans="1:11" ht="13.15" customHeight="1">
      <c r="A103" s="24" t="s">
        <v>1810</v>
      </c>
      <c r="B103" s="25">
        <f t="shared" ref="B103:K103" si="49">SUM(B92:B102)</f>
        <v>41895.73253489026</v>
      </c>
      <c r="C103" s="25">
        <f t="shared" si="49"/>
        <v>36613.658759508624</v>
      </c>
      <c r="D103" s="25">
        <f t="shared" si="49"/>
        <v>31041.957255836787</v>
      </c>
      <c r="E103" s="25">
        <f t="shared" si="49"/>
        <v>25170.003481725762</v>
      </c>
      <c r="F103" s="25">
        <f t="shared" si="49"/>
        <v>18985.831844555651</v>
      </c>
      <c r="G103" s="25">
        <f t="shared" si="49"/>
        <v>12477.12442343813</v>
      </c>
      <c r="H103" s="25">
        <f t="shared" si="49"/>
        <v>5631.1993321577029</v>
      </c>
      <c r="I103" s="25">
        <f t="shared" si="49"/>
        <v>-1564.0012883406744</v>
      </c>
      <c r="J103" s="25">
        <f t="shared" si="49"/>
        <v>-9122.9236594629037</v>
      </c>
      <c r="K103" s="23">
        <f t="shared" si="49"/>
        <v>-17058.415148368775</v>
      </c>
    </row>
    <row r="104" spans="1:11" ht="13.15" customHeight="1">
      <c r="A104" s="24" t="str">
        <f t="shared" ref="A104:A109" si="50">$A69</f>
        <v>DCR First Mortgage</v>
      </c>
      <c r="B104" s="27" t="str">
        <f>IF(B93=0,"",-B92/B93)</f>
        <v/>
      </c>
      <c r="C104" s="27" t="str">
        <f t="shared" ref="C104:K104" si="51">IF(C93=0,"",-C92/C93)</f>
        <v/>
      </c>
      <c r="D104" s="27" t="str">
        <f t="shared" si="51"/>
        <v/>
      </c>
      <c r="E104" s="27" t="str">
        <f t="shared" si="51"/>
        <v/>
      </c>
      <c r="F104" s="27" t="str">
        <f t="shared" si="51"/>
        <v/>
      </c>
      <c r="G104" s="27" t="str">
        <f t="shared" si="51"/>
        <v/>
      </c>
      <c r="H104" s="27" t="str">
        <f t="shared" si="51"/>
        <v/>
      </c>
      <c r="I104" s="27" t="str">
        <f t="shared" si="51"/>
        <v/>
      </c>
      <c r="J104" s="27" t="str">
        <f t="shared" si="51"/>
        <v/>
      </c>
      <c r="K104" s="28" t="str">
        <f t="shared" si="51"/>
        <v/>
      </c>
    </row>
    <row r="105" spans="1:11" ht="13.15" customHeight="1">
      <c r="A105" s="24" t="str">
        <f t="shared" si="50"/>
        <v>DCR USDA/HUD Fee</v>
      </c>
      <c r="B105" s="27" t="str">
        <f>IF(OR(B94=0,AND(B94=0,B93=0)),"",-B92/(B93+B94))</f>
        <v/>
      </c>
      <c r="C105" s="27" t="str">
        <f t="shared" ref="C105:K105" si="52">IF(OR(C94=0,AND(C94=0,C93=0)),"",-C92/(C93+C94))</f>
        <v/>
      </c>
      <c r="D105" s="27" t="str">
        <f t="shared" si="52"/>
        <v/>
      </c>
      <c r="E105" s="27" t="str">
        <f t="shared" si="52"/>
        <v/>
      </c>
      <c r="F105" s="27" t="str">
        <f t="shared" si="52"/>
        <v/>
      </c>
      <c r="G105" s="27" t="str">
        <f t="shared" si="52"/>
        <v/>
      </c>
      <c r="H105" s="27" t="str">
        <f t="shared" si="52"/>
        <v/>
      </c>
      <c r="I105" s="27" t="str">
        <f t="shared" si="52"/>
        <v/>
      </c>
      <c r="J105" s="27" t="str">
        <f t="shared" si="52"/>
        <v/>
      </c>
      <c r="K105" s="28" t="str">
        <f t="shared" si="52"/>
        <v/>
      </c>
    </row>
    <row r="106" spans="1:11" ht="13.15" customHeight="1">
      <c r="A106" s="24" t="str">
        <f t="shared" si="50"/>
        <v>DCR Second Mortgage</v>
      </c>
      <c r="B106" s="27" t="str">
        <f>IF(OR(B95=0,AND(B95=0,B94=0,B93=0)),"",-B92/(B93+B94+B95))</f>
        <v/>
      </c>
      <c r="C106" s="27" t="str">
        <f t="shared" ref="C106:K106" si="53">IF(OR(C95=0,AND(C95=0,C94=0,C93=0)),"",-C92/(C93+C94+C95))</f>
        <v/>
      </c>
      <c r="D106" s="27" t="str">
        <f t="shared" si="53"/>
        <v/>
      </c>
      <c r="E106" s="27" t="str">
        <f t="shared" si="53"/>
        <v/>
      </c>
      <c r="F106" s="27" t="str">
        <f t="shared" si="53"/>
        <v/>
      </c>
      <c r="G106" s="27" t="str">
        <f t="shared" si="53"/>
        <v/>
      </c>
      <c r="H106" s="27" t="str">
        <f t="shared" si="53"/>
        <v/>
      </c>
      <c r="I106" s="27" t="str">
        <f t="shared" si="53"/>
        <v/>
      </c>
      <c r="J106" s="27" t="str">
        <f t="shared" si="53"/>
        <v/>
      </c>
      <c r="K106" s="28" t="str">
        <f t="shared" si="53"/>
        <v/>
      </c>
    </row>
    <row r="107" spans="1:11" ht="13.15" customHeight="1">
      <c r="A107" s="24" t="str">
        <f t="shared" si="50"/>
        <v>DCR Third Mortgage</v>
      </c>
      <c r="B107" s="27" t="str">
        <f>IF(OR(B96=0,AND(B93=0,B94=0,B95=0,B96=0)),"",-B92/(B93+B94+B95+B96))</f>
        <v/>
      </c>
      <c r="C107" s="27" t="str">
        <f t="shared" ref="C107:K107" si="54">IF(OR(C96=0,AND(C93=0,C94=0,C95=0,C96=0)),"",-C92/(C93+C94+C95+C96))</f>
        <v/>
      </c>
      <c r="D107" s="27" t="str">
        <f t="shared" si="54"/>
        <v/>
      </c>
      <c r="E107" s="27" t="str">
        <f t="shared" si="54"/>
        <v/>
      </c>
      <c r="F107" s="27" t="str">
        <f t="shared" si="54"/>
        <v/>
      </c>
      <c r="G107" s="27" t="str">
        <f t="shared" si="54"/>
        <v/>
      </c>
      <c r="H107" s="27" t="str">
        <f t="shared" si="54"/>
        <v/>
      </c>
      <c r="I107" s="27" t="str">
        <f t="shared" si="54"/>
        <v/>
      </c>
      <c r="J107" s="27" t="str">
        <f t="shared" si="54"/>
        <v/>
      </c>
      <c r="K107" s="28" t="str">
        <f t="shared" si="54"/>
        <v/>
      </c>
    </row>
    <row r="108" spans="1:11" ht="13.15" customHeight="1">
      <c r="A108" s="24" t="str">
        <f t="shared" si="50"/>
        <v>DCR Other Source</v>
      </c>
      <c r="B108" s="27" t="str">
        <f>IF(OR(B97=0,AND(B93=0,B94=0,B95=0,B96=0,B97=0)),"",-B92/(B93+B94+B95+B96+B97))</f>
        <v/>
      </c>
      <c r="C108" s="27" t="str">
        <f t="shared" ref="C108:K108" si="55">IF(OR(C97=0,AND(C93=0,C94=0,C95=0,C96=0,C97=0)),"",-C92/(C93+C94+C95+C96+C97))</f>
        <v/>
      </c>
      <c r="D108" s="27" t="str">
        <f t="shared" si="55"/>
        <v/>
      </c>
      <c r="E108" s="27" t="str">
        <f t="shared" si="55"/>
        <v/>
      </c>
      <c r="F108" s="27" t="str">
        <f t="shared" si="55"/>
        <v/>
      </c>
      <c r="G108" s="27" t="str">
        <f t="shared" si="55"/>
        <v/>
      </c>
      <c r="H108" s="27" t="str">
        <f t="shared" si="55"/>
        <v/>
      </c>
      <c r="I108" s="27" t="str">
        <f t="shared" si="55"/>
        <v/>
      </c>
      <c r="J108" s="27" t="str">
        <f t="shared" si="55"/>
        <v/>
      </c>
      <c r="K108" s="28" t="str">
        <f t="shared" si="55"/>
        <v/>
      </c>
    </row>
    <row r="109" spans="1:11" ht="13.15" customHeight="1">
      <c r="A109" s="24" t="str">
        <f t="shared" si="50"/>
        <v>DCR Other Source</v>
      </c>
      <c r="B109" s="27" t="str">
        <f>IF(OR(B98=0,AND(B93=0,B94=0,B95=0,B96=0,B97=0,B98=0)),"",-B92/(B93+B94+B95+B96+B97+B98))</f>
        <v/>
      </c>
      <c r="C109" s="27" t="str">
        <f t="shared" ref="C109:K109" si="56">IF(OR(C98=0,AND(C93=0,C94=0,C95=0,C96=0,C97=0,C98=0)),"",-C92/(C93+C94+C95+C96+C97+C98))</f>
        <v/>
      </c>
      <c r="D109" s="27" t="str">
        <f t="shared" si="56"/>
        <v/>
      </c>
      <c r="E109" s="27" t="str">
        <f t="shared" si="56"/>
        <v/>
      </c>
      <c r="F109" s="27" t="str">
        <f t="shared" si="56"/>
        <v/>
      </c>
      <c r="G109" s="27" t="str">
        <f t="shared" si="56"/>
        <v/>
      </c>
      <c r="H109" s="27" t="str">
        <f t="shared" si="56"/>
        <v/>
      </c>
      <c r="I109" s="27" t="str">
        <f t="shared" si="56"/>
        <v/>
      </c>
      <c r="J109" s="27" t="str">
        <f t="shared" si="56"/>
        <v/>
      </c>
      <c r="K109" s="28" t="str">
        <f t="shared" si="56"/>
        <v/>
      </c>
    </row>
    <row r="110" spans="1:11" ht="13.15" customHeight="1">
      <c r="A110" s="24" t="s">
        <v>1346</v>
      </c>
      <c r="B110" s="379">
        <f>IF(OR(B90="Choose mgt fee",B90="Choose One!"),"",(B84+B85+B86+B87+B88) / -(B89+B90+B91))</f>
        <v>1.0684535176411192</v>
      </c>
      <c r="C110" s="379">
        <f t="shared" ref="C110:K110" si="57">IF(OR(C90="Choose mgt fee",C90="Choose One!"),"",(C84+C85+C86+C87+C88) / -(C89+C90+C91))</f>
        <v>1.058080736405814</v>
      </c>
      <c r="D110" s="379">
        <f t="shared" si="57"/>
        <v>1.0478080272100352</v>
      </c>
      <c r="E110" s="379">
        <f t="shared" si="57"/>
        <v>1.0376355216237219</v>
      </c>
      <c r="F110" s="379">
        <f t="shared" si="57"/>
        <v>1.0275617781912967</v>
      </c>
      <c r="G110" s="379">
        <f t="shared" si="57"/>
        <v>1.0175855076158997</v>
      </c>
      <c r="H110" s="379">
        <f t="shared" si="57"/>
        <v>1.0077055540486619</v>
      </c>
      <c r="I110" s="379">
        <f t="shared" si="57"/>
        <v>0.99792220384309249</v>
      </c>
      <c r="J110" s="379">
        <f t="shared" si="57"/>
        <v>0.9882330906614617</v>
      </c>
      <c r="K110" s="380">
        <f t="shared" si="57"/>
        <v>0.97863859463562197</v>
      </c>
    </row>
    <row r="111" spans="1:11" ht="13.15" customHeight="1">
      <c r="A111" s="24" t="str">
        <f>IF('Part III A-Sources of Funds'!$E$32 = "Neither", "", "First Mortgage Balance")</f>
        <v>First Mortgage Balance</v>
      </c>
      <c r="B111" s="1287">
        <f>IF('Part III A-Sources of Funds'!$H$32="","",-FV('Part III A-Sources of Funds'!$J$32/12,12,B93/12,K76))</f>
        <v>0</v>
      </c>
      <c r="C111" s="1287">
        <f>IF('Part III A-Sources of Funds'!$H$32="","",-FV('Part III A-Sources of Funds'!$J$32/12,12,C93/12,B111))</f>
        <v>0</v>
      </c>
      <c r="D111" s="1287">
        <f>IF('Part III A-Sources of Funds'!$H$32="","",-FV('Part III A-Sources of Funds'!$J$32/12,12,D93/12,C111))</f>
        <v>0</v>
      </c>
      <c r="E111" s="1287">
        <f>IF('Part III A-Sources of Funds'!$H$32="","",-FV('Part III A-Sources of Funds'!$J$32/12,12,E93/12,D111))</f>
        <v>0</v>
      </c>
      <c r="F111" s="1287">
        <f>IF('Part III A-Sources of Funds'!$H$32="","",-FV('Part III A-Sources of Funds'!$J$32/12,12,F93/12,E111))</f>
        <v>0</v>
      </c>
      <c r="G111" s="1287">
        <f>IF('Part III A-Sources of Funds'!$H$32="","",-FV('Part III A-Sources of Funds'!$J$32/12,12,G93/12,F111))</f>
        <v>0</v>
      </c>
      <c r="H111" s="1287">
        <f>IF('Part III A-Sources of Funds'!$H$32="","",-FV('Part III A-Sources of Funds'!$J$32/12,12,H93/12,G111))</f>
        <v>0</v>
      </c>
      <c r="I111" s="1287">
        <f>IF('Part III A-Sources of Funds'!$H$32="","",-FV('Part III A-Sources of Funds'!$J$32/12,12,I93/12,H111))</f>
        <v>0</v>
      </c>
      <c r="J111" s="1287">
        <f>IF('Part III A-Sources of Funds'!$H$32="","",-FV('Part III A-Sources of Funds'!$J$32/12,12,J93/12,I111))</f>
        <v>0</v>
      </c>
      <c r="K111" s="1287">
        <f>IF('Part III A-Sources of Funds'!$H$32="","",-FV('Part III A-Sources of Funds'!$J$32/12,12,K93/12,J111))</f>
        <v>0</v>
      </c>
    </row>
    <row r="112" spans="1:11" ht="13.15" customHeight="1">
      <c r="A112" s="24" t="str">
        <f>IF('Part III A-Sources of Funds'!$E$32 = "Neither", "First Mortgage Balance", "Second Mortgage Balance")</f>
        <v>Second Mortgage Balance</v>
      </c>
      <c r="B112" s="1284">
        <f>IF('Part III A-Sources of Funds'!$H$33="","",-FV('Part III A-Sources of Funds'!$J$33/12,12,B95/12,K77))</f>
        <v>1086922.3048932771</v>
      </c>
      <c r="C112" s="1284">
        <f>IF('Part III A-Sources of Funds'!$H$33="","",-FV('Part III A-Sources of Funds'!$J$33/12,12,C95/12,B112))</f>
        <v>1131769.0489237504</v>
      </c>
      <c r="D112" s="1284">
        <f>IF('Part III A-Sources of Funds'!$H$33="","",-FV('Part III A-Sources of Funds'!$J$33/12,12,D95/12,C112))</f>
        <v>1178466.1832177048</v>
      </c>
      <c r="E112" s="1284">
        <f>IF('Part III A-Sources of Funds'!$H$33="","",-FV('Part III A-Sources of Funds'!$J$33/12,12,E95/12,D112))</f>
        <v>1227090.0554387488</v>
      </c>
      <c r="F112" s="1284">
        <f>IF('Part III A-Sources of Funds'!$H$33="","",-FV('Part III A-Sources of Funds'!$J$33/12,12,F95/12,E112))</f>
        <v>1277720.1633782526</v>
      </c>
      <c r="G112" s="1284">
        <f>IF('Part III A-Sources of Funds'!$H$33="","",-FV('Part III A-Sources of Funds'!$J$33/12,12,G95/12,F112))</f>
        <v>1330439.2849305752</v>
      </c>
      <c r="H112" s="1284">
        <f>IF('Part III A-Sources of Funds'!$H$33="","",-FV('Part III A-Sources of Funds'!$J$33/12,12,H95/12,G112))</f>
        <v>1385333.6134311077</v>
      </c>
      <c r="I112" s="1284">
        <f>IF('Part III A-Sources of Funds'!$H$33="","",-FV('Part III A-Sources of Funds'!$J$33/12,12,I95/12,H112))</f>
        <v>1442492.8985784079</v>
      </c>
      <c r="J112" s="1284">
        <f>IF('Part III A-Sources of Funds'!$H$33="","",-FV('Part III A-Sources of Funds'!$J$33/12,12,J95/12,I112))</f>
        <v>1502010.5931708226</v>
      </c>
      <c r="K112" s="1284">
        <f>IF('Part III A-Sources of Funds'!$H$33="","",-FV('Part III A-Sources of Funds'!$J$33/12,12,K95/12,J112))</f>
        <v>1563984.005897508</v>
      </c>
    </row>
    <row r="113" spans="1:11" ht="13.15" customHeight="1">
      <c r="A113" s="24" t="str">
        <f>IF('Part III A-Sources of Funds'!$E$32 = "Neither", "Second Mortgage Balance", "Third Mortgage Balance")</f>
        <v>Third Mortgage Balance</v>
      </c>
      <c r="B113" s="1284">
        <f>IF('Part III A-Sources of Funds'!$H$34="","",-FV('Part III A-Sources of Funds'!$J$34/12,12,B96/12,K78))</f>
        <v>44194.713935709282</v>
      </c>
      <c r="C113" s="1284">
        <f>IF('Part III A-Sources of Funds'!$H$34="","",-FV('Part III A-Sources of Funds'!$J$34/12,12,C96/12,B113))</f>
        <v>44638.692303327553</v>
      </c>
      <c r="D113" s="1284">
        <f>IF('Part III A-Sources of Funds'!$H$34="","",-FV('Part III A-Sources of Funds'!$J$34/12,12,D96/12,C113))</f>
        <v>45087.13086026167</v>
      </c>
      <c r="E113" s="1284">
        <f>IF('Part III A-Sources of Funds'!$H$34="","",-FV('Part III A-Sources of Funds'!$J$34/12,12,E96/12,D113))</f>
        <v>45540.074413399052</v>
      </c>
      <c r="F113" s="1284">
        <f>IF('Part III A-Sources of Funds'!$H$34="","",-FV('Part III A-Sources of Funds'!$J$34/12,12,F96/12,E113))</f>
        <v>45997.568219755354</v>
      </c>
      <c r="G113" s="1284">
        <f>IF('Part III A-Sources of Funds'!$H$34="","",-FV('Part III A-Sources of Funds'!$J$34/12,12,G96/12,F113))</f>
        <v>46459.657990996435</v>
      </c>
      <c r="H113" s="1284">
        <f>IF('Part III A-Sources of Funds'!$H$34="","",-FV('Part III A-Sources of Funds'!$J$34/12,12,H96/12,G113))</f>
        <v>46926.389898005771</v>
      </c>
      <c r="I113" s="1284">
        <f>IF('Part III A-Sources of Funds'!$H$34="","",-FV('Part III A-Sources of Funds'!$J$34/12,12,I96/12,H113))</f>
        <v>47397.810575497722</v>
      </c>
      <c r="J113" s="1284">
        <f>IF('Part III A-Sources of Funds'!$H$34="","",-FV('Part III A-Sources of Funds'!$J$34/12,12,J96/12,I113))</f>
        <v>47873.967126677169</v>
      </c>
      <c r="K113" s="1284">
        <f>IF('Part III A-Sources of Funds'!$H$34="","",-FV('Part III A-Sources of Funds'!$J$34/12,12,K96/12,J113))</f>
        <v>48354.907127945939</v>
      </c>
    </row>
    <row r="114" spans="1:11" ht="13.15" customHeight="1">
      <c r="A114" s="24" t="s">
        <v>1365</v>
      </c>
      <c r="B114" s="1284" t="str">
        <f>IF('Part III A-Sources of Funds'!$H$35="","",-FV('Part III A-Sources of Funds'!$J$35/12,12,B97/12,K79))</f>
        <v/>
      </c>
      <c r="C114" s="1284" t="str">
        <f>IF('Part III A-Sources of Funds'!$H$35="","",-FV('Part III A-Sources of Funds'!$J$35/12,12,C97/12,B114))</f>
        <v/>
      </c>
      <c r="D114" s="1284" t="str">
        <f>IF('Part III A-Sources of Funds'!$H$35="","",-FV('Part III A-Sources of Funds'!$J$35/12,12,D97/12,C114))</f>
        <v/>
      </c>
      <c r="E114" s="1284" t="str">
        <f>IF('Part III A-Sources of Funds'!$H$35="","",-FV('Part III A-Sources of Funds'!$J$35/12,12,E97/12,D114))</f>
        <v/>
      </c>
      <c r="F114" s="1284" t="str">
        <f>IF('Part III A-Sources of Funds'!$H$35="","",-FV('Part III A-Sources of Funds'!$J$35/12,12,F97/12,E114))</f>
        <v/>
      </c>
      <c r="G114" s="1284" t="str">
        <f>IF('Part III A-Sources of Funds'!$H$35="","",-FV('Part III A-Sources of Funds'!$J$35/12,12,G97/12,F114))</f>
        <v/>
      </c>
      <c r="H114" s="1284" t="str">
        <f>IF('Part III A-Sources of Funds'!$H$35="","",-FV('Part III A-Sources of Funds'!$J$35/12,12,H97/12,G114))</f>
        <v/>
      </c>
      <c r="I114" s="1284" t="str">
        <f>IF('Part III A-Sources of Funds'!$H$35="","",-FV('Part III A-Sources of Funds'!$J$35/12,12,I97/12,H114))</f>
        <v/>
      </c>
      <c r="J114" s="1284" t="str">
        <f>IF('Part III A-Sources of Funds'!$H$35="","",-FV('Part III A-Sources of Funds'!$J$35/12,12,J97/12,I114))</f>
        <v/>
      </c>
      <c r="K114" s="1284" t="str">
        <f>IF('Part III A-Sources of Funds'!$H$35="","",-FV('Part III A-Sources of Funds'!$J$35/12,12,K97/12,J114))</f>
        <v/>
      </c>
    </row>
    <row r="115" spans="1:11" ht="13.15" customHeight="1">
      <c r="A115" s="24" t="s">
        <v>1365</v>
      </c>
      <c r="B115" s="1284" t="str">
        <f>IF('Part III A-Sources of Funds'!$H$36="","",-FV('Part III A-Sources of Funds'!$J$36/12,12,B98/12,K80))</f>
        <v/>
      </c>
      <c r="C115" s="1284" t="str">
        <f>IF('Part III A-Sources of Funds'!$H$36="","",-FV('Part III A-Sources of Funds'!$J$36/12,12,C98/12,B115))</f>
        <v/>
      </c>
      <c r="D115" s="1284" t="str">
        <f>IF('Part III A-Sources of Funds'!$H$36="","",-FV('Part III A-Sources of Funds'!$J$36/12,12,D98/12,C115))</f>
        <v/>
      </c>
      <c r="E115" s="1284" t="str">
        <f>IF('Part III A-Sources of Funds'!$H$36="","",-FV('Part III A-Sources of Funds'!$J$36/12,12,E98/12,D115))</f>
        <v/>
      </c>
      <c r="F115" s="1284" t="str">
        <f>IF('Part III A-Sources of Funds'!$H$36="","",-FV('Part III A-Sources of Funds'!$J$36/12,12,F98/12,E115))</f>
        <v/>
      </c>
      <c r="G115" s="1284" t="str">
        <f>IF('Part III A-Sources of Funds'!$H$36="","",-FV('Part III A-Sources of Funds'!$J$36/12,12,G98/12,F115))</f>
        <v/>
      </c>
      <c r="H115" s="1284" t="str">
        <f>IF('Part III A-Sources of Funds'!$H$36="","",-FV('Part III A-Sources of Funds'!$J$36/12,12,H98/12,G115))</f>
        <v/>
      </c>
      <c r="I115" s="1284" t="str">
        <f>IF('Part III A-Sources of Funds'!$H$36="","",-FV('Part III A-Sources of Funds'!$J$36/12,12,I98/12,H115))</f>
        <v/>
      </c>
      <c r="J115" s="1284" t="str">
        <f>IF('Part III A-Sources of Funds'!$H$36="","",-FV('Part III A-Sources of Funds'!$J$36/12,12,J98/12,I115))</f>
        <v/>
      </c>
      <c r="K115" s="1284" t="str">
        <f>IF('Part III A-Sources of Funds'!$H$36="","",-FV('Part III A-Sources of Funds'!$J$36/12,12,K98/12,J115))</f>
        <v/>
      </c>
    </row>
    <row r="116" spans="1:11" ht="13.15" customHeight="1">
      <c r="A116" s="29" t="s">
        <v>1900</v>
      </c>
      <c r="B116" s="1286" t="str">
        <f>IF('Part III A-Sources of Funds'!$H$37="","",-FV('Part III A-Sources of Funds'!$J$37/12,12,B101/12,K81))</f>
        <v/>
      </c>
      <c r="C116" s="1286" t="str">
        <f>IF('Part III A-Sources of Funds'!$H$37="","",-FV('Part III A-Sources of Funds'!$J$37/12,12,C101/12,B116))</f>
        <v/>
      </c>
      <c r="D116" s="1286" t="str">
        <f>IF('Part III A-Sources of Funds'!$H$37="","",-FV('Part III A-Sources of Funds'!$J$37/12,12,D101/12,C116))</f>
        <v/>
      </c>
      <c r="E116" s="1286" t="str">
        <f>IF('Part III A-Sources of Funds'!$H$37="","",-FV('Part III A-Sources of Funds'!$J$37/12,12,E101/12,D116))</f>
        <v/>
      </c>
      <c r="F116" s="1286" t="str">
        <f>IF('Part III A-Sources of Funds'!$H$37="","",-FV('Part III A-Sources of Funds'!$J$37/12,12,F101/12,E116))</f>
        <v/>
      </c>
      <c r="G116" s="1286" t="str">
        <f>IF('Part III A-Sources of Funds'!$H$37="","",-FV('Part III A-Sources of Funds'!$J$37/12,12,G101/12,F116))</f>
        <v/>
      </c>
      <c r="H116" s="1286" t="str">
        <f>IF('Part III A-Sources of Funds'!$H$37="","",-FV('Part III A-Sources of Funds'!$J$37/12,12,H101/12,G116))</f>
        <v/>
      </c>
      <c r="I116" s="1286" t="str">
        <f>IF('Part III A-Sources of Funds'!$H$37="","",-FV('Part III A-Sources of Funds'!$J$37/12,12,I101/12,H116))</f>
        <v/>
      </c>
      <c r="J116" s="1286" t="str">
        <f>IF('Part III A-Sources of Funds'!$H$37="","",-FV('Part III A-Sources of Funds'!$J$37/12,12,J101/12,I116))</f>
        <v/>
      </c>
      <c r="K116" s="1286" t="str">
        <f>IF('Part III A-Sources of Funds'!$H$37="","",-FV('Part III A-Sources of Funds'!$J$37/12,12,K101/12,J116))</f>
        <v/>
      </c>
    </row>
    <row r="117" spans="1:11" ht="4.1500000000000004" customHeight="1">
      <c r="B117" s="20"/>
      <c r="C117" s="20"/>
      <c r="D117" s="20"/>
      <c r="E117" s="20"/>
      <c r="F117" s="20"/>
      <c r="G117" s="20"/>
      <c r="H117" s="20"/>
      <c r="I117" s="20"/>
      <c r="J117" s="20"/>
      <c r="K117" s="20"/>
    </row>
    <row r="118" spans="1:11" ht="14.45" customHeight="1">
      <c r="A118" s="16" t="s">
        <v>3753</v>
      </c>
      <c r="B118" s="18">
        <f>K83+1</f>
        <v>31</v>
      </c>
      <c r="C118" s="18">
        <f>B118+1</f>
        <v>32</v>
      </c>
      <c r="D118" s="18">
        <f>C118+1</f>
        <v>33</v>
      </c>
      <c r="E118" s="18">
        <f>D118+1</f>
        <v>34</v>
      </c>
      <c r="F118" s="18">
        <f>E118+1</f>
        <v>35</v>
      </c>
      <c r="G118" s="31"/>
      <c r="H118" s="31"/>
      <c r="I118" s="31"/>
      <c r="J118" s="31"/>
      <c r="K118" s="31"/>
    </row>
    <row r="119" spans="1:11" ht="13.15" customHeight="1">
      <c r="A119" s="21" t="s">
        <v>3643</v>
      </c>
      <c r="B119" s="22">
        <f>$B$14*(1+$B$5)^(B118-1)</f>
        <v>840326.86609722779</v>
      </c>
      <c r="C119" s="22">
        <f>$B$14*(1+$B$5)^(C118-1)</f>
        <v>857133.40341917204</v>
      </c>
      <c r="D119" s="22">
        <f>$B$14*(1+$B$5)^(D118-1)</f>
        <v>874276.07148755575</v>
      </c>
      <c r="E119" s="22">
        <f>$B$14*(1+$B$5)^(E118-1)</f>
        <v>891761.59291730693</v>
      </c>
      <c r="F119" s="23">
        <f>$B$14*(1+$B$5)^(F118-1)</f>
        <v>909596.82477565296</v>
      </c>
      <c r="G119" s="31"/>
      <c r="H119" s="31"/>
      <c r="I119" s="31"/>
      <c r="J119" s="31"/>
      <c r="K119" s="31"/>
    </row>
    <row r="120" spans="1:11" ht="13.15" customHeight="1">
      <c r="A120" s="24" t="s">
        <v>1633</v>
      </c>
      <c r="B120" s="25">
        <f>$B$15*(1+$B$5)^(B118-1)</f>
        <v>16806.537321944554</v>
      </c>
      <c r="C120" s="25">
        <f>$B$15*(1+$B$5)^(C118-1)</f>
        <v>17142.668068383442</v>
      </c>
      <c r="D120" s="25">
        <f>$B$15*(1+$B$5)^(D118-1)</f>
        <v>17485.521429751112</v>
      </c>
      <c r="E120" s="25">
        <f>$B$15*(1+$B$5)^(E118-1)</f>
        <v>17835.231858346138</v>
      </c>
      <c r="F120" s="26">
        <f>$B$15*(1+$B$5)^(F118-1)</f>
        <v>18191.936495513059</v>
      </c>
      <c r="G120" s="31"/>
      <c r="H120" s="31"/>
      <c r="I120" s="31"/>
      <c r="J120" s="31"/>
      <c r="K120" s="31"/>
    </row>
    <row r="121" spans="1:11" ht="13.15" customHeight="1">
      <c r="A121" s="24" t="s">
        <v>3644</v>
      </c>
      <c r="B121" s="25">
        <f>-(B119+B120)*$B$8</f>
        <v>-59999.338239342076</v>
      </c>
      <c r="C121" s="25">
        <f>-(C119+C120)*$B$8</f>
        <v>-61199.325004128892</v>
      </c>
      <c r="D121" s="25">
        <f>-(D119+D120)*$B$8</f>
        <v>-62423.31150421148</v>
      </c>
      <c r="E121" s="25">
        <f>-(E119+E120)*$B$8</f>
        <v>-63671.77773429572</v>
      </c>
      <c r="F121" s="26">
        <f>-(F119+F120)*$B$8</f>
        <v>-64945.213288981628</v>
      </c>
      <c r="G121" s="31"/>
      <c r="H121" s="31"/>
      <c r="I121" s="31"/>
      <c r="J121" s="31"/>
      <c r="K121" s="31"/>
    </row>
    <row r="122" spans="1:11" ht="13.15" customHeight="1">
      <c r="A122" s="24" t="s">
        <v>61</v>
      </c>
      <c r="B122" s="1289"/>
      <c r="C122" s="1289"/>
      <c r="D122" s="1289"/>
      <c r="E122" s="1289"/>
      <c r="F122" s="1289"/>
      <c r="G122" s="31"/>
      <c r="H122" s="31"/>
      <c r="I122" s="31"/>
      <c r="J122" s="31"/>
      <c r="K122" s="31"/>
    </row>
    <row r="123" spans="1:11" ht="13.15" customHeight="1">
      <c r="A123" s="24" t="s">
        <v>62</v>
      </c>
      <c r="B123" s="1289"/>
      <c r="C123" s="1289"/>
      <c r="D123" s="1289"/>
      <c r="E123" s="1289"/>
      <c r="F123" s="1289"/>
      <c r="G123" s="31"/>
      <c r="H123" s="31"/>
      <c r="I123" s="31"/>
      <c r="J123" s="31"/>
      <c r="K123" s="31"/>
    </row>
    <row r="124" spans="1:11" ht="13.15" customHeight="1">
      <c r="A124" s="24" t="s">
        <v>949</v>
      </c>
      <c r="B124" s="25">
        <f>$B$19*(1+$B$6)^(B118-1)</f>
        <v>-691512.3688313585</v>
      </c>
      <c r="C124" s="25">
        <f>$B$19*(1+$B$6)^(C118-1)</f>
        <v>-712257.73989629932</v>
      </c>
      <c r="D124" s="25">
        <f>$B$19*(1+$B$6)^(D118-1)</f>
        <v>-733625.4720931882</v>
      </c>
      <c r="E124" s="25">
        <f>$B$19*(1+$B$6)^(E118-1)</f>
        <v>-755634.23625598382</v>
      </c>
      <c r="F124" s="26">
        <f>$B$19*(1+$B$6)^(F118-1)</f>
        <v>-778303.2633436633</v>
      </c>
      <c r="G124" s="31"/>
      <c r="H124" s="31"/>
      <c r="I124" s="31"/>
      <c r="J124" s="31"/>
      <c r="K124" s="31"/>
    </row>
    <row r="125" spans="1:11" ht="13.15" customHeight="1">
      <c r="A125" s="24" t="s">
        <v>1747</v>
      </c>
      <c r="B125" s="25">
        <f>IF(AND('Part VII-Pro Forma'!$G$8="Yes",'Part VII-Pro Forma'!$G$9="Yes"),"Choose One!",IF('Part VII-Pro Forma'!$G$8="Yes",ROUND((-$K$8*(1+'Part VII-Pro Forma'!$B$6)^('Part VII-Pro Forma'!B118-1)),),IF('Part VII-Pro Forma'!$G$9="Yes",ROUND((-(SUM(B119:B122)*'Part VII-Pro Forma'!$K$9)),),"Choose mgt fee")))</f>
        <v>-83068</v>
      </c>
      <c r="C125" s="25">
        <f>IF(AND('Part VII-Pro Forma'!$G$8="Yes",'Part VII-Pro Forma'!$G$9="Yes"),"Choose One!",IF('Part VII-Pro Forma'!$G$8="Yes",ROUND((-$K$8*(1+'Part VII-Pro Forma'!$B$6)^('Part VII-Pro Forma'!C118-1)),),IF('Part VII-Pro Forma'!$G$9="Yes",ROUND((-(SUM(C119:C122)*'Part VII-Pro Forma'!$K$9)),),"Choose mgt fee")))</f>
        <v>-85560</v>
      </c>
      <c r="D125" s="25">
        <f>IF(AND('Part VII-Pro Forma'!$G$8="Yes",'Part VII-Pro Forma'!$G$9="Yes"),"Choose One!",IF('Part VII-Pro Forma'!$G$8="Yes",ROUND((-$K$8*(1+'Part VII-Pro Forma'!$B$6)^('Part VII-Pro Forma'!D118-1)),),IF('Part VII-Pro Forma'!$G$9="Yes",ROUND((-(SUM(D119:D122)*'Part VII-Pro Forma'!$K$9)),),"Choose mgt fee")))</f>
        <v>-88127</v>
      </c>
      <c r="E125" s="25">
        <f>IF(AND('Part VII-Pro Forma'!$G$8="Yes",'Part VII-Pro Forma'!$G$9="Yes"),"Choose One!",IF('Part VII-Pro Forma'!$G$8="Yes",ROUND((-$K$8*(1+'Part VII-Pro Forma'!$B$6)^('Part VII-Pro Forma'!E118-1)),),IF('Part VII-Pro Forma'!$G$9="Yes",ROUND((-(SUM(E119:E122)*'Part VII-Pro Forma'!$K$9)),),"Choose mgt fee")))</f>
        <v>-90771</v>
      </c>
      <c r="F125" s="25">
        <f>IF(AND('Part VII-Pro Forma'!$G$8="Yes",'Part VII-Pro Forma'!$G$9="Yes"),"Choose One!",IF('Part VII-Pro Forma'!$G$8="Yes",ROUND((-$K$8*(1+'Part VII-Pro Forma'!$B$6)^('Part VII-Pro Forma'!F118-1)),),IF('Part VII-Pro Forma'!$G$9="Yes",ROUND((-(SUM(F119:F122)*'Part VII-Pro Forma'!$K$9)),),"Choose mgt fee")))</f>
        <v>-93494</v>
      </c>
      <c r="G125" s="31"/>
      <c r="H125" s="31"/>
      <c r="I125" s="31"/>
      <c r="J125" s="31"/>
      <c r="K125" s="31"/>
    </row>
    <row r="126" spans="1:11" ht="13.15" customHeight="1">
      <c r="A126" s="24" t="s">
        <v>1863</v>
      </c>
      <c r="B126" s="25">
        <f>$B$21*(1+$B$7)^(B118-1)</f>
        <v>-47938.433805995766</v>
      </c>
      <c r="C126" s="25">
        <f>$B$21*(1+$B$7)^(C118-1)</f>
        <v>-49376.586820175646</v>
      </c>
      <c r="D126" s="25">
        <f>$B$21*(1+$B$7)^(D118-1)</f>
        <v>-50857.88442478091</v>
      </c>
      <c r="E126" s="25">
        <f>$B$21*(1+$B$7)^(E118-1)</f>
        <v>-52383.620957524334</v>
      </c>
      <c r="F126" s="26">
        <f>$B$21*(1+$B$7)^(F118-1)</f>
        <v>-53955.129586250056</v>
      </c>
      <c r="G126" s="31"/>
      <c r="H126" s="31"/>
      <c r="I126" s="31"/>
      <c r="J126" s="31"/>
      <c r="K126" s="31"/>
    </row>
    <row r="127" spans="1:11" ht="13.15" customHeight="1">
      <c r="A127" s="24" t="s">
        <v>1864</v>
      </c>
      <c r="B127" s="25">
        <f>SUM(B119:B126)</f>
        <v>-25384.737457523966</v>
      </c>
      <c r="C127" s="25">
        <f>SUM(C119:C126)</f>
        <v>-34117.580233048306</v>
      </c>
      <c r="D127" s="25">
        <f>SUM(D119:D126)</f>
        <v>-43272.075104873809</v>
      </c>
      <c r="E127" s="25">
        <f>SUM(E119:E126)</f>
        <v>-52863.810172150777</v>
      </c>
      <c r="F127" s="26">
        <f>SUM(F119:F126)</f>
        <v>-62908.84494772891</v>
      </c>
      <c r="G127" s="31"/>
      <c r="H127" s="31"/>
      <c r="I127" s="31"/>
      <c r="J127" s="31"/>
      <c r="K127" s="31"/>
    </row>
    <row r="128" spans="1:11" ht="13.15" customHeight="1">
      <c r="A128" s="24" t="str">
        <f t="shared" ref="A128:A133" si="58">$A93</f>
        <v>D/S USDA/HUD Mortgage</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8"/>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8"/>
        <v>D/S Mortgage B</v>
      </c>
      <c r="B130" s="1284">
        <f>IF('Part III A-Sources of Funds'!$M$33="", 0,-'Part III A-Sources of Funds'!$M$33)</f>
        <v>0</v>
      </c>
      <c r="C130" s="1284">
        <f>IF('Part III A-Sources of Funds'!$M$33="", 0,-'Part III A-Sources of Funds'!$M$33)</f>
        <v>0</v>
      </c>
      <c r="D130" s="1284">
        <f>IF('Part III A-Sources of Funds'!$M$33="", 0,-'Part III A-Sources of Funds'!$M$33)</f>
        <v>0</v>
      </c>
      <c r="E130" s="1284">
        <f>IF('Part III A-Sources of Funds'!$M$33="", 0,-'Part III A-Sources of Funds'!$M$33)</f>
        <v>0</v>
      </c>
      <c r="F130" s="1284">
        <f>IF('Part III A-Sources of Funds'!$M$33="", 0,-'Part III A-Sources of Funds'!$M$33)</f>
        <v>0</v>
      </c>
      <c r="G130" s="31"/>
      <c r="H130" s="31"/>
      <c r="I130" s="31"/>
      <c r="J130" s="31"/>
      <c r="K130" s="31"/>
    </row>
    <row r="131" spans="1:12" ht="13.15" customHeight="1">
      <c r="A131" s="24" t="str">
        <f t="shared" si="58"/>
        <v>D/S Mortgage C</v>
      </c>
      <c r="B131" s="1284"/>
      <c r="C131" s="1284"/>
      <c r="D131" s="1284"/>
      <c r="E131" s="1284"/>
      <c r="F131" s="1284"/>
      <c r="G131" s="31"/>
      <c r="H131" s="31"/>
      <c r="I131" s="31"/>
      <c r="J131" s="31"/>
      <c r="K131" s="31"/>
    </row>
    <row r="132" spans="1:12" ht="13.15" customHeight="1">
      <c r="A132" s="24" t="str">
        <f t="shared" si="58"/>
        <v>D/S Other Source</v>
      </c>
      <c r="B132" s="1284">
        <f>IF('Part III A-Sources of Funds'!$M$35="", 0,-'Part III A-Sources of Funds'!$M$35)</f>
        <v>0</v>
      </c>
      <c r="C132" s="1284">
        <f>IF('Part III A-Sources of Funds'!$M$35="", 0,-'Part III A-Sources of Funds'!$M$35)</f>
        <v>0</v>
      </c>
      <c r="D132" s="1284">
        <f>IF('Part III A-Sources of Funds'!$M$35="", 0,-'Part III A-Sources of Funds'!$M$35)</f>
        <v>0</v>
      </c>
      <c r="E132" s="1284">
        <f>IF('Part III A-Sources of Funds'!$M$35="", 0,-'Part III A-Sources of Funds'!$M$35)</f>
        <v>0</v>
      </c>
      <c r="F132" s="1284">
        <f>IF('Part III A-Sources of Funds'!$M$35="", 0,-'Part III A-Sources of Funds'!$M$35)</f>
        <v>0</v>
      </c>
      <c r="G132" s="31"/>
      <c r="H132" s="31"/>
      <c r="I132" s="31"/>
      <c r="J132" s="31"/>
      <c r="K132" s="31"/>
    </row>
    <row r="133" spans="1:12" ht="13.15" customHeight="1">
      <c r="A133" s="24" t="str">
        <f t="shared" si="58"/>
        <v>D/S Grant from fdn / charity</v>
      </c>
      <c r="B133" s="1284">
        <f>IF('Part III A-Sources of Funds'!$M$36="", 0,-'Part III A-Sources of Funds'!$M$36)</f>
        <v>0</v>
      </c>
      <c r="C133" s="1284">
        <f>IF('Part III A-Sources of Funds'!$M$36="", 0,-'Part III A-Sources of Funds'!$M$36)</f>
        <v>0</v>
      </c>
      <c r="D133" s="1284">
        <f>IF('Part III A-Sources of Funds'!$M$36="", 0,-'Part III A-Sources of Funds'!$M$36)</f>
        <v>0</v>
      </c>
      <c r="E133" s="1284">
        <f>IF('Part III A-Sources of Funds'!$M$36="", 0,-'Part III A-Sources of Funds'!$M$36)</f>
        <v>0</v>
      </c>
      <c r="F133" s="1284">
        <f>IF('Part III A-Sources of Funds'!$M$36="", 0,-'Part III A-Sources of Funds'!$M$36)</f>
        <v>0</v>
      </c>
      <c r="G133" s="31"/>
      <c r="H133" s="31"/>
      <c r="I133" s="31"/>
      <c r="J133" s="31"/>
      <c r="K133" s="31"/>
    </row>
    <row r="134" spans="1:12" ht="13.15" customHeight="1">
      <c r="A134" s="24" t="s">
        <v>1337</v>
      </c>
      <c r="B134" s="1288"/>
      <c r="C134" s="1288"/>
      <c r="D134" s="1288"/>
      <c r="E134" s="1288"/>
      <c r="F134" s="1288"/>
      <c r="G134" s="31"/>
      <c r="H134" s="31"/>
      <c r="I134" s="31"/>
      <c r="J134" s="31"/>
      <c r="K134" s="31"/>
    </row>
    <row r="135" spans="1:12" ht="13.15" customHeight="1">
      <c r="A135" s="24" t="s">
        <v>1808</v>
      </c>
      <c r="B135" s="1284">
        <f>+K100</f>
        <v>0</v>
      </c>
      <c r="C135" s="1284">
        <f>+B135</f>
        <v>0</v>
      </c>
      <c r="D135" s="1284">
        <f>+C135</f>
        <v>0</v>
      </c>
      <c r="E135" s="1284">
        <f>+D135</f>
        <v>0</v>
      </c>
      <c r="F135" s="1284">
        <f>+E135</f>
        <v>0</v>
      </c>
      <c r="G135" s="31"/>
      <c r="H135" s="31"/>
      <c r="I135" s="31"/>
      <c r="J135" s="31"/>
      <c r="K135" s="31"/>
    </row>
    <row r="136" spans="1:12" ht="13.15" customHeight="1">
      <c r="A136" s="24" t="s">
        <v>1865</v>
      </c>
      <c r="B136" s="1284">
        <f>IF('Part III A-Sources of Funds'!$M$37="", 0,-'Part III A-Sources of Funds'!$M$37)</f>
        <v>0</v>
      </c>
      <c r="C136" s="1284">
        <f>IF('Part III A-Sources of Funds'!$M$37="", 0,-'Part III A-Sources of Funds'!$M$37)</f>
        <v>0</v>
      </c>
      <c r="D136" s="1284">
        <f>IF('Part III A-Sources of Funds'!$M$37="", 0,-'Part III A-Sources of Funds'!$M$37)</f>
        <v>0</v>
      </c>
      <c r="E136" s="1284">
        <f>IF('Part III A-Sources of Funds'!$M$37="", 0,-'Part III A-Sources of Funds'!$M$37)</f>
        <v>0</v>
      </c>
      <c r="F136" s="1284">
        <f>IF('Part III A-Sources of Funds'!$M$37="", 0,-'Part III A-Sources of Funds'!$M$37)</f>
        <v>0</v>
      </c>
      <c r="G136" s="31"/>
      <c r="H136" s="31"/>
      <c r="I136" s="31"/>
      <c r="J136" s="31"/>
      <c r="K136" s="31"/>
    </row>
    <row r="137" spans="1:12" ht="13.15" customHeight="1">
      <c r="A137" s="24" t="s">
        <v>1809</v>
      </c>
      <c r="B137" s="1286">
        <f>+K102</f>
        <v>0</v>
      </c>
      <c r="C137" s="1286">
        <f>+B137</f>
        <v>0</v>
      </c>
      <c r="D137" s="1286">
        <f>+C137</f>
        <v>0</v>
      </c>
      <c r="E137" s="1286">
        <f>+D137</f>
        <v>0</v>
      </c>
      <c r="F137" s="1286">
        <f>+E137</f>
        <v>0</v>
      </c>
      <c r="G137" s="31"/>
      <c r="H137" s="31"/>
      <c r="I137" s="31"/>
      <c r="J137" s="31"/>
      <c r="K137" s="31"/>
    </row>
    <row r="138" spans="1:12" ht="13.15" customHeight="1">
      <c r="A138" s="24" t="s">
        <v>1810</v>
      </c>
      <c r="B138" s="25">
        <f>SUM(B127:B137)</f>
        <v>-25384.737457523966</v>
      </c>
      <c r="C138" s="25">
        <f>SUM(C127:C137)</f>
        <v>-34117.580233048306</v>
      </c>
      <c r="D138" s="25">
        <f>SUM(D127:D137)</f>
        <v>-43272.075104873809</v>
      </c>
      <c r="E138" s="25">
        <f>SUM(E127:E137)</f>
        <v>-52863.810172150777</v>
      </c>
      <c r="F138" s="26">
        <f>SUM(F127:F137)</f>
        <v>-62908.84494772891</v>
      </c>
      <c r="G138" s="31"/>
      <c r="H138" s="31"/>
      <c r="I138" s="31"/>
      <c r="J138" s="31"/>
      <c r="K138" s="31"/>
    </row>
    <row r="139" spans="1:12" ht="13.15" customHeight="1">
      <c r="A139" s="24" t="str">
        <f t="shared" ref="A139:A144" si="59">$A104</f>
        <v>DCR First Mortgage</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9"/>
        <v>DCR USDA/HUD Fee</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9"/>
        <v>DCR Second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9"/>
        <v>DCR Third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9"/>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9"/>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1346</v>
      </c>
      <c r="B145" s="379">
        <f>IF(OR(B125="Choose mgt fee",B125="Choose One!"),"",(B119+B120+B121+B122+B123) / -(B124+B125+B126))</f>
        <v>0.96913780283668971</v>
      </c>
      <c r="C145" s="379">
        <f>IF(OR(C125="Choose mgt fee",C125="Choose One!"),"",(C119+C120+C121+C122+C123) / -(C124+C125+C126))</f>
        <v>0.9597287432680528</v>
      </c>
      <c r="D145" s="379">
        <f>IF(OR(D125="Choose mgt fee",D125="Choose One!"),"",(D119+D120+D121+D122+D123) / -(D124+D125+D126))</f>
        <v>0.95041077064734247</v>
      </c>
      <c r="E145" s="379">
        <f>IF(OR(E125="Choose mgt fee",E125="Choose One!"),"",(E119+E120+E121+E122+E123) / -(E124+E125+E126))</f>
        <v>0.94118328264989504</v>
      </c>
      <c r="F145" s="380">
        <f>IF(OR(F125="Choose mgt fee",F125="Choose One!"),"",(F119+F120+F121+F122+F123) / -(F124+F125+F126))</f>
        <v>0.93204571176032425</v>
      </c>
      <c r="G145" s="31"/>
      <c r="H145" s="31"/>
      <c r="I145" s="31"/>
      <c r="J145" s="31"/>
      <c r="K145" s="31"/>
    </row>
    <row r="146" spans="1:14" ht="13.15" customHeight="1">
      <c r="A146" s="24" t="str">
        <f>IF('Part III A-Sources of Funds'!$E$32 = "Neither", "", "First Mortgage Balance")</f>
        <v>First Mortgage Balance</v>
      </c>
      <c r="B146" s="1287">
        <f>IF('Part III A-Sources of Funds'!$H$32="","",-FV('Part III A-Sources of Funds'!$J$32/12,12,B128/12,K111))</f>
        <v>0</v>
      </c>
      <c r="C146" s="1287">
        <f>IF('Part III A-Sources of Funds'!$H$32="","",-FV('Part III A-Sources of Funds'!$J$32/12,12,C128/12,B146))</f>
        <v>0</v>
      </c>
      <c r="D146" s="1287">
        <f>IF('Part III A-Sources of Funds'!$H$32="","",-FV('Part III A-Sources of Funds'!$J$32/12,12,D128/12,C146))</f>
        <v>0</v>
      </c>
      <c r="E146" s="1287">
        <f>IF('Part III A-Sources of Funds'!$H$32="","",-FV('Part III A-Sources of Funds'!$J$32/12,12,E128/12,D146))</f>
        <v>0</v>
      </c>
      <c r="F146" s="1287">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Second Mortgage Balance</v>
      </c>
      <c r="B147" s="1284">
        <f>IF('Part III A-Sources of Funds'!$H$33="","",-FV('Part III A-Sources of Funds'!$J$33/12,12,B130/12,K112))</f>
        <v>1628514.4604336552</v>
      </c>
      <c r="C147" s="1284">
        <f>IF('Part III A-Sources of Funds'!$H$33="","",-FV('Part III A-Sources of Funds'!$J$33/12,12,C130/12,B147))</f>
        <v>1695707.4611000309</v>
      </c>
      <c r="D147" s="1284">
        <f>IF('Part III A-Sources of Funds'!$H$33="","",-FV('Part III A-Sources of Funds'!$J$33/12,12,D130/12,C147))</f>
        <v>1765672.8653576828</v>
      </c>
      <c r="E147" s="1284">
        <f>IF('Part III A-Sources of Funds'!$H$33="","",-FV('Part III A-Sources of Funds'!$J$33/12,12,E130/12,D147))</f>
        <v>1838525.0634198282</v>
      </c>
      <c r="F147" s="1284">
        <f>IF('Part III A-Sources of Funds'!$H$33="","",-FV('Part III A-Sources of Funds'!$J$33/12,12,F130/12,E147))</f>
        <v>1914383.1652745828</v>
      </c>
      <c r="G147" s="31"/>
      <c r="H147" s="31"/>
      <c r="I147" s="31"/>
      <c r="J147" s="31"/>
      <c r="K147" s="31"/>
    </row>
    <row r="148" spans="1:14" ht="13.15" customHeight="1">
      <c r="A148" s="24" t="str">
        <f>IF('Part III A-Sources of Funds'!$E$32 = "Neither", "Second Mortgage Balance", "Third Mortgage Balance")</f>
        <v>Third Mortgage Balance</v>
      </c>
      <c r="B148" s="1284">
        <f>IF('Part III A-Sources of Funds'!$H$34="","",-FV('Part III A-Sources of Funds'!$J$34/12,12,B131/12,K113))</f>
        <v>48840.678633656535</v>
      </c>
      <c r="C148" s="1284">
        <f>IF('Part III A-Sources of Funds'!$H$34="","",-FV('Part III A-Sources of Funds'!$J$34/12,12,C131/12,B148))</f>
        <v>49331.330180913603</v>
      </c>
      <c r="D148" s="1284">
        <f>IF('Part III A-Sources of Funds'!$H$34="","",-FV('Part III A-Sources of Funds'!$J$34/12,12,D131/12,C148))</f>
        <v>49826.910794423653</v>
      </c>
      <c r="E148" s="1284">
        <f>IF('Part III A-Sources of Funds'!$H$34="","",-FV('Part III A-Sources of Funds'!$J$34/12,12,E131/12,D148))</f>
        <v>50327.469991393467</v>
      </c>
      <c r="F148" s="1284">
        <f>IF('Part III A-Sources of Funds'!$H$34="","",-FV('Part III A-Sources of Funds'!$J$34/12,12,F131/12,E148))</f>
        <v>50833.057786477759</v>
      </c>
      <c r="G148" s="31"/>
      <c r="H148" s="31"/>
      <c r="I148" s="31"/>
      <c r="J148" s="31"/>
      <c r="K148" s="31"/>
    </row>
    <row r="149" spans="1:14" ht="13.15" customHeight="1">
      <c r="A149" s="24" t="s">
        <v>1365</v>
      </c>
      <c r="B149" s="1284" t="str">
        <f>IF('Part III A-Sources of Funds'!$H$35="","",-FV('Part III A-Sources of Funds'!$J$35/12,12,B132/12,K114))</f>
        <v/>
      </c>
      <c r="C149" s="1284" t="str">
        <f>IF('Part III A-Sources of Funds'!$H$35="","",-FV('Part III A-Sources of Funds'!$J$35/12,12,C132/12,B149))</f>
        <v/>
      </c>
      <c r="D149" s="1284" t="str">
        <f>IF('Part III A-Sources of Funds'!$H$35="","",-FV('Part III A-Sources of Funds'!$J$35/12,12,D132/12,C149))</f>
        <v/>
      </c>
      <c r="E149" s="1284" t="str">
        <f>IF('Part III A-Sources of Funds'!$H$35="","",-FV('Part III A-Sources of Funds'!$J$35/12,12,E132/12,D149))</f>
        <v/>
      </c>
      <c r="F149" s="1284" t="str">
        <f>IF('Part III A-Sources of Funds'!$H$35="","",-FV('Part III A-Sources of Funds'!$J$35/12,12,F132/12,E149))</f>
        <v/>
      </c>
      <c r="G149" s="31"/>
      <c r="H149" s="31"/>
      <c r="I149" s="31"/>
      <c r="J149" s="31"/>
      <c r="K149" s="31"/>
    </row>
    <row r="150" spans="1:14" ht="13.15" customHeight="1">
      <c r="A150" s="24" t="s">
        <v>1365</v>
      </c>
      <c r="B150" s="1284" t="str">
        <f>IF('Part III A-Sources of Funds'!$H$36="","",-FV('Part III A-Sources of Funds'!$J$36/12,12,B133/12,K115))</f>
        <v/>
      </c>
      <c r="C150" s="1284" t="str">
        <f>IF('Part III A-Sources of Funds'!$H$36="","",-FV('Part III A-Sources of Funds'!$J$36/12,12,C133/12,B150))</f>
        <v/>
      </c>
      <c r="D150" s="1284" t="str">
        <f>IF('Part III A-Sources of Funds'!$H$36="","",-FV('Part III A-Sources of Funds'!$J$36/12,12,D133/12,C150))</f>
        <v/>
      </c>
      <c r="E150" s="1284" t="str">
        <f>IF('Part III A-Sources of Funds'!$H$36="","",-FV('Part III A-Sources of Funds'!$J$36/12,12,E133/12,D150))</f>
        <v/>
      </c>
      <c r="F150" s="1284" t="str">
        <f>IF('Part III A-Sources of Funds'!$H$36="","",-FV('Part III A-Sources of Funds'!$J$36/12,12,F133/12,E150))</f>
        <v/>
      </c>
      <c r="G150" s="31"/>
      <c r="H150" s="31"/>
      <c r="I150" s="31"/>
      <c r="J150" s="31"/>
      <c r="K150" s="31"/>
    </row>
    <row r="151" spans="1:14" ht="13.15" customHeight="1">
      <c r="A151" s="29" t="s">
        <v>1900</v>
      </c>
      <c r="B151" s="1286" t="str">
        <f>IF('Part III A-Sources of Funds'!$H$37="","",-FV('Part III A-Sources of Funds'!$J$37/12,12,B136/12,K116))</f>
        <v/>
      </c>
      <c r="C151" s="1286" t="str">
        <f>IF('Part III A-Sources of Funds'!$H$37="","",-FV('Part III A-Sources of Funds'!$J$37/12,12,C136/12,B151))</f>
        <v/>
      </c>
      <c r="D151" s="1286" t="str">
        <f>IF('Part III A-Sources of Funds'!$H$37="","",-FV('Part III A-Sources of Funds'!$J$37/12,12,D136/12,C151))</f>
        <v/>
      </c>
      <c r="E151" s="1286" t="str">
        <f>IF('Part III A-Sources of Funds'!$H$37="","",-FV('Part III A-Sources of Funds'!$J$37/12,12,E136/12,D151))</f>
        <v/>
      </c>
      <c r="F151" s="1286" t="str">
        <f>IF('Part III A-Sources of Funds'!$H$37="","",-FV('Part III A-Sources of Funds'!$J$37/12,12,F136/12,E151))</f>
        <v/>
      </c>
      <c r="G151" s="31"/>
      <c r="H151" s="31"/>
      <c r="I151" s="31"/>
      <c r="J151" s="31"/>
      <c r="K151" s="31"/>
    </row>
    <row r="152" spans="1:14" ht="4.1500000000000004" customHeight="1"/>
    <row r="153" spans="1:14" ht="12.4" customHeight="1">
      <c r="A153" s="16" t="s">
        <v>879</v>
      </c>
      <c r="B153" s="16"/>
      <c r="G153" s="16" t="s">
        <v>1655</v>
      </c>
    </row>
    <row r="154" spans="1:14" ht="12.4" customHeight="1">
      <c r="B154" s="37"/>
    </row>
    <row r="155" spans="1:14" ht="73.900000000000006" customHeight="1">
      <c r="A155" s="1290" t="s">
        <v>4074</v>
      </c>
      <c r="B155" s="1291"/>
      <c r="C155" s="1291"/>
      <c r="D155" s="1291"/>
      <c r="E155" s="1291"/>
      <c r="F155" s="1292"/>
      <c r="G155" s="1293"/>
      <c r="H155" s="1291"/>
      <c r="I155" s="1291"/>
      <c r="J155" s="1291"/>
      <c r="K155" s="1292"/>
    </row>
    <row r="156" spans="1:14" s="2" customFormat="1" ht="73.900000000000006" customHeight="1">
      <c r="A156" s="1294"/>
      <c r="B156" s="1295"/>
      <c r="C156" s="1295"/>
      <c r="D156" s="1295"/>
      <c r="E156" s="1295"/>
      <c r="F156" s="1296"/>
      <c r="G156" s="1297"/>
      <c r="H156" s="1295"/>
      <c r="I156" s="1295"/>
      <c r="J156" s="1295"/>
      <c r="K156" s="1296"/>
      <c r="L156" s="9"/>
      <c r="M156" s="9"/>
      <c r="N156" s="9"/>
    </row>
    <row r="157" spans="1:14" s="2" customFormat="1" ht="73.900000000000006" customHeight="1">
      <c r="A157" s="1294"/>
      <c r="B157" s="1295"/>
      <c r="C157" s="1295"/>
      <c r="D157" s="1295"/>
      <c r="E157" s="1295"/>
      <c r="F157" s="1296"/>
      <c r="G157" s="1297"/>
      <c r="H157" s="1295"/>
      <c r="I157" s="1295"/>
      <c r="J157" s="1295"/>
      <c r="K157" s="1296"/>
      <c r="L157" s="9"/>
      <c r="M157" s="9"/>
      <c r="N157" s="9"/>
    </row>
    <row r="158" spans="1:14" s="2" customFormat="1" ht="73.900000000000006" customHeight="1">
      <c r="A158" s="1298"/>
      <c r="B158" s="1299"/>
      <c r="C158" s="1299"/>
      <c r="D158" s="1299"/>
      <c r="E158" s="1299"/>
      <c r="F158" s="1300"/>
      <c r="G158" s="1301"/>
      <c r="H158" s="1299"/>
      <c r="I158" s="1299"/>
      <c r="J158" s="1299"/>
      <c r="K158" s="1300"/>
      <c r="L158" s="9"/>
      <c r="M158" s="9"/>
      <c r="N158" s="9"/>
    </row>
    <row r="159" spans="1:14" ht="11.25" customHeight="1"/>
    <row r="160" spans="1:14" ht="12.4" customHeight="1">
      <c r="B160" s="16"/>
    </row>
    <row r="161" spans="2:14" ht="12.4" customHeight="1">
      <c r="B161" s="37"/>
    </row>
    <row r="162" spans="2:14" ht="12.4" customHeight="1"/>
    <row r="163" spans="2:14" s="2" customFormat="1" ht="12.4" customHeight="1">
      <c r="L163" s="9"/>
      <c r="M163" s="9"/>
      <c r="N163" s="9"/>
    </row>
    <row r="164" spans="2:14" s="2" customFormat="1" ht="12.4" customHeight="1">
      <c r="L164" s="9"/>
      <c r="M164" s="9"/>
      <c r="N164" s="9"/>
    </row>
    <row r="165" spans="2:14" s="2" customFormat="1" ht="12.4" customHeight="1">
      <c r="L165" s="9"/>
      <c r="M165" s="9"/>
      <c r="N165" s="9"/>
    </row>
    <row r="166" spans="2:14" s="2" customFormat="1" ht="12.4" customHeight="1">
      <c r="L166" s="9"/>
      <c r="M166" s="9"/>
      <c r="N166" s="9"/>
    </row>
    <row r="167" spans="2:14" ht="12.4" customHeight="1"/>
    <row r="168" spans="2:14" s="2" customFormat="1" ht="12.4" customHeight="1">
      <c r="L168" s="9"/>
      <c r="M168" s="9"/>
      <c r="N168" s="9"/>
    </row>
    <row r="169" spans="2:14" s="2" customFormat="1" ht="12.4" customHeight="1">
      <c r="L169" s="9"/>
      <c r="M169" s="9"/>
      <c r="N169" s="9"/>
    </row>
    <row r="170" spans="2:14" ht="12.4" customHeight="1"/>
    <row r="171" spans="2:14" s="2" customFormat="1" ht="12.4" customHeight="1">
      <c r="L171" s="9"/>
      <c r="M171" s="9"/>
      <c r="N171" s="9"/>
    </row>
    <row r="172" spans="2:14" s="2" customFormat="1" ht="12.4" customHeight="1">
      <c r="L172" s="9"/>
      <c r="M172" s="9"/>
      <c r="N172" s="9"/>
    </row>
    <row r="173" spans="2:14" s="2" customFormat="1" ht="12.4" customHeight="1">
      <c r="L173" s="9"/>
      <c r="M173" s="9"/>
      <c r="N173" s="9"/>
    </row>
    <row r="174" spans="2:14" s="2" customFormat="1" ht="12.4" customHeight="1">
      <c r="L174" s="9"/>
      <c r="M174" s="9"/>
      <c r="N174" s="9"/>
    </row>
    <row r="175" spans="2:14" s="2" customFormat="1" ht="12.4" customHeight="1">
      <c r="L175" s="9"/>
      <c r="M175" s="9"/>
      <c r="N175" s="9"/>
    </row>
    <row r="176" spans="2:14" s="2" customFormat="1" ht="12.4" customHeight="1">
      <c r="L176" s="9"/>
      <c r="M176" s="9"/>
      <c r="N176" s="9"/>
    </row>
    <row r="177" spans="12:14" s="2" customFormat="1" ht="12.4" customHeight="1">
      <c r="L177" s="9"/>
      <c r="M177" s="9"/>
      <c r="N177" s="9"/>
    </row>
    <row r="178" spans="12:14" ht="12.4" customHeight="1"/>
    <row r="179" spans="12:14" s="2" customFormat="1" ht="12.4" customHeight="1">
      <c r="L179" s="9"/>
      <c r="M179" s="9"/>
      <c r="N179" s="9"/>
    </row>
    <row r="180" spans="12:14" s="2" customFormat="1" ht="12.4" customHeight="1">
      <c r="L180" s="9"/>
      <c r="M180" s="9"/>
      <c r="N180" s="9"/>
    </row>
    <row r="181" spans="12:14" s="2" customFormat="1" ht="12.4" customHeight="1">
      <c r="L181" s="9"/>
      <c r="M181" s="9"/>
      <c r="N181" s="9"/>
    </row>
    <row r="182" spans="12:14" s="2" customFormat="1" ht="12.4" customHeight="1">
      <c r="L182" s="9"/>
      <c r="M182" s="9"/>
      <c r="N182" s="9"/>
    </row>
    <row r="183" spans="12:14" s="2" customFormat="1" ht="12.4" customHeight="1">
      <c r="L183" s="9"/>
      <c r="M183" s="9"/>
      <c r="N183" s="9"/>
    </row>
    <row r="184" spans="12:14" s="2" customFormat="1" ht="12.4" customHeight="1">
      <c r="L184" s="9"/>
      <c r="M184" s="9"/>
      <c r="N184" s="9"/>
    </row>
    <row r="185" spans="12:14" s="2" customFormat="1" ht="12.4" customHeight="1">
      <c r="L185" s="9"/>
      <c r="M185" s="9"/>
      <c r="N185" s="9"/>
    </row>
    <row r="186" spans="12:14" s="2" customFormat="1" ht="12.4" customHeight="1">
      <c r="L186" s="9"/>
      <c r="M186" s="9"/>
      <c r="N186" s="9"/>
    </row>
    <row r="187" spans="12:14" s="2" customFormat="1" ht="12.4" customHeight="1">
      <c r="L187" s="9"/>
      <c r="M187" s="9"/>
      <c r="N187" s="9"/>
    </row>
    <row r="188" spans="12:14" s="2" customFormat="1" ht="12.4" customHeight="1">
      <c r="L188" s="9"/>
      <c r="M188" s="9"/>
      <c r="N188" s="9"/>
    </row>
    <row r="189" spans="12:14" s="2" customFormat="1" ht="12.4" customHeight="1">
      <c r="L189" s="9"/>
      <c r="M189" s="9"/>
      <c r="N189" s="9"/>
    </row>
    <row r="190" spans="12:14" ht="12.4" customHeight="1"/>
    <row r="191" spans="12:14" ht="12.4" customHeight="1"/>
    <row r="192" spans="12:14" ht="12.4" customHeight="1"/>
    <row r="193" ht="12.4"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disablePrompts="1"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zoomScale="90" zoomScaleNormal="90" zoomScaleSheetLayoutView="40" workbookViewId="0">
      <pane ySplit="1230" topLeftCell="A211" activePane="bottomLeft"/>
      <selection activeCell="E27" sqref="E27"/>
      <selection pane="bottomLeft" activeCell="A27" sqref="A27:Q27"/>
    </sheetView>
  </sheetViews>
  <sheetFormatPr defaultColWidth="9.140625" defaultRowHeight="12.75"/>
  <cols>
    <col min="1" max="1" width="3" style="45" customWidth="1"/>
    <col min="2" max="2" width="2.7109375" style="45" customWidth="1"/>
    <col min="3" max="3" width="2.28515625" style="45" customWidth="1"/>
    <col min="4" max="10" width="8.85546875" style="45" customWidth="1"/>
    <col min="11" max="11" width="7.7109375" style="45" customWidth="1"/>
    <col min="12" max="15" width="9.28515625" style="45" customWidth="1"/>
    <col min="16" max="16" width="8.85546875" style="45" customWidth="1"/>
    <col min="17" max="17" width="9" style="45" customWidth="1"/>
    <col min="18" max="16384" width="9.140625" style="45"/>
  </cols>
  <sheetData>
    <row r="1" spans="1:20" ht="13.9" customHeight="1">
      <c r="A1" s="887" t="str">
        <f>CONCATENATE("PART EIGHT - THRESHOLD CRITERIA","  -  ",'Part I-Project Information'!$O$4," ",'Part I-Project Information'!$F$22,", ",'Part I-Project Information'!F24,", ",'Part I-Project Information'!J25," County")</f>
        <v>PART EIGHT - THRESHOLD CRITERIA  -  2011-044 Brentwood Place Apartments, Forsyth, Monroe County</v>
      </c>
      <c r="B1" s="888"/>
      <c r="C1" s="888"/>
      <c r="D1" s="888"/>
      <c r="E1" s="888"/>
      <c r="F1" s="888"/>
      <c r="G1" s="888"/>
      <c r="H1" s="888"/>
      <c r="I1" s="888"/>
      <c r="J1" s="888"/>
      <c r="K1" s="888"/>
      <c r="L1" s="888"/>
      <c r="M1" s="888"/>
      <c r="N1" s="888"/>
      <c r="O1" s="888"/>
      <c r="P1" s="888"/>
      <c r="Q1" s="888"/>
    </row>
    <row r="2" spans="1:20" s="31" customFormat="1" ht="3.4" customHeight="1">
      <c r="S2" s="45"/>
      <c r="T2" s="45"/>
    </row>
    <row r="3" spans="1:20" ht="17.100000000000001" customHeight="1">
      <c r="A3" s="1025"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25"/>
      <c r="C3" s="1025"/>
      <c r="D3" s="1025"/>
      <c r="E3" s="1025"/>
      <c r="F3" s="1025"/>
      <c r="G3" s="1025"/>
      <c r="H3" s="1025"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25"/>
      <c r="J3" s="1025"/>
      <c r="K3" s="1025"/>
      <c r="L3" s="1025"/>
      <c r="M3" s="1025"/>
      <c r="N3" s="1026"/>
      <c r="O3" s="1027" t="s">
        <v>1531</v>
      </c>
      <c r="P3" s="1028"/>
      <c r="Q3" s="302" t="s">
        <v>2890</v>
      </c>
    </row>
    <row r="4" spans="1:20" ht="3.4" customHeight="1">
      <c r="A4" s="740"/>
      <c r="B4" s="1016"/>
      <c r="C4" s="1016"/>
      <c r="D4" s="1016"/>
      <c r="E4" s="740"/>
      <c r="F4" s="740"/>
      <c r="G4" s="740"/>
      <c r="H4" s="740"/>
      <c r="I4" s="740"/>
      <c r="J4" s="740"/>
      <c r="K4" s="740"/>
      <c r="L4" s="740"/>
      <c r="M4" s="740"/>
      <c r="N4" s="740"/>
      <c r="P4" s="740"/>
      <c r="Q4" s="740"/>
    </row>
    <row r="5" spans="1:20" ht="10.9" hidden="1" customHeight="1">
      <c r="A5" s="740"/>
      <c r="B5" s="740"/>
      <c r="C5" s="740"/>
      <c r="D5" s="740"/>
      <c r="E5" s="740"/>
      <c r="F5" s="740"/>
      <c r="G5" s="740"/>
      <c r="H5" s="740"/>
      <c r="I5" s="740"/>
      <c r="J5" s="740"/>
      <c r="K5" s="740"/>
      <c r="L5" s="740"/>
      <c r="M5" s="740"/>
      <c r="N5" s="740"/>
      <c r="P5" s="740"/>
      <c r="Q5" s="740"/>
    </row>
    <row r="6" spans="1:20" ht="15" customHeight="1">
      <c r="A6" s="173" t="s">
        <v>865</v>
      </c>
      <c r="P6" s="1020"/>
      <c r="Q6" s="1021"/>
    </row>
    <row r="7" spans="1:20" ht="12.6" customHeight="1">
      <c r="A7" s="174" t="s">
        <v>367</v>
      </c>
      <c r="C7" s="175"/>
      <c r="D7" s="175"/>
    </row>
    <row r="8" spans="1:20" ht="24.6" customHeight="1">
      <c r="A8" s="1022" t="s">
        <v>2119</v>
      </c>
      <c r="B8" s="1023"/>
      <c r="C8" s="1023"/>
      <c r="D8" s="1023"/>
      <c r="E8" s="1023"/>
      <c r="F8" s="1023"/>
      <c r="G8" s="1023"/>
      <c r="H8" s="1023"/>
      <c r="I8" s="1023"/>
      <c r="J8" s="1023"/>
      <c r="K8" s="1023"/>
      <c r="L8" s="1023"/>
      <c r="M8" s="1023"/>
      <c r="N8" s="1023"/>
      <c r="O8" s="1023"/>
      <c r="P8" s="1023"/>
      <c r="Q8" s="1024"/>
      <c r="R8" s="1029" t="s">
        <v>3112</v>
      </c>
      <c r="S8" s="1029"/>
    </row>
    <row r="9" spans="1:20" ht="24.6" customHeight="1">
      <c r="A9" s="1017" t="s">
        <v>289</v>
      </c>
      <c r="B9" s="1018"/>
      <c r="C9" s="1018"/>
      <c r="D9" s="1018"/>
      <c r="E9" s="1018"/>
      <c r="F9" s="1018"/>
      <c r="G9" s="1018"/>
      <c r="H9" s="1018"/>
      <c r="I9" s="1018"/>
      <c r="J9" s="1018"/>
      <c r="K9" s="1018"/>
      <c r="L9" s="1018"/>
      <c r="M9" s="1018"/>
      <c r="N9" s="1018"/>
      <c r="O9" s="1018"/>
      <c r="P9" s="1018"/>
      <c r="Q9" s="1019"/>
      <c r="R9" s="1029"/>
      <c r="S9" s="1029"/>
    </row>
    <row r="10" spans="1:20" ht="24.6" customHeight="1">
      <c r="A10" s="1017" t="s">
        <v>2115</v>
      </c>
      <c r="B10" s="1018"/>
      <c r="C10" s="1018"/>
      <c r="D10" s="1018"/>
      <c r="E10" s="1018"/>
      <c r="F10" s="1018"/>
      <c r="G10" s="1018"/>
      <c r="H10" s="1018"/>
      <c r="I10" s="1018"/>
      <c r="J10" s="1018"/>
      <c r="K10" s="1018"/>
      <c r="L10" s="1018"/>
      <c r="M10" s="1018"/>
      <c r="N10" s="1018"/>
      <c r="O10" s="1018"/>
      <c r="P10" s="1018"/>
      <c r="Q10" s="1019"/>
      <c r="R10" s="1029"/>
      <c r="S10" s="1029"/>
    </row>
    <row r="11" spans="1:20" ht="24.6" customHeight="1">
      <c r="A11" s="1017" t="s">
        <v>2116</v>
      </c>
      <c r="B11" s="1018"/>
      <c r="C11" s="1018"/>
      <c r="D11" s="1018"/>
      <c r="E11" s="1018"/>
      <c r="F11" s="1018"/>
      <c r="G11" s="1018"/>
      <c r="H11" s="1018"/>
      <c r="I11" s="1018"/>
      <c r="J11" s="1018"/>
      <c r="K11" s="1018"/>
      <c r="L11" s="1018"/>
      <c r="M11" s="1018"/>
      <c r="N11" s="1018"/>
      <c r="O11" s="1018"/>
      <c r="P11" s="1018"/>
      <c r="Q11" s="1019"/>
      <c r="R11" s="1029"/>
      <c r="S11" s="1029"/>
    </row>
    <row r="12" spans="1:20" ht="24.6" customHeight="1">
      <c r="A12" s="1017" t="s">
        <v>2117</v>
      </c>
      <c r="B12" s="1018"/>
      <c r="C12" s="1018"/>
      <c r="D12" s="1018"/>
      <c r="E12" s="1018"/>
      <c r="F12" s="1018"/>
      <c r="G12" s="1018"/>
      <c r="H12" s="1018"/>
      <c r="I12" s="1018"/>
      <c r="J12" s="1018"/>
      <c r="K12" s="1018"/>
      <c r="L12" s="1018"/>
      <c r="M12" s="1018"/>
      <c r="N12" s="1018"/>
      <c r="O12" s="1018"/>
      <c r="P12" s="1018"/>
      <c r="Q12" s="1019"/>
      <c r="R12" s="743"/>
      <c r="S12" s="743"/>
    </row>
    <row r="13" spans="1:20" ht="24.6" customHeight="1">
      <c r="A13" s="1017" t="s">
        <v>2118</v>
      </c>
      <c r="B13" s="1018"/>
      <c r="C13" s="1018"/>
      <c r="D13" s="1018"/>
      <c r="E13" s="1018"/>
      <c r="F13" s="1018"/>
      <c r="G13" s="1018"/>
      <c r="H13" s="1018"/>
      <c r="I13" s="1018"/>
      <c r="J13" s="1018"/>
      <c r="K13" s="1018"/>
      <c r="L13" s="1018"/>
      <c r="M13" s="1018"/>
      <c r="N13" s="1018"/>
      <c r="O13" s="1018"/>
      <c r="P13" s="1018"/>
      <c r="Q13" s="1019"/>
      <c r="R13" s="743"/>
      <c r="S13" s="743"/>
    </row>
    <row r="14" spans="1:20" ht="24.6" customHeight="1">
      <c r="A14" s="1017" t="s">
        <v>2120</v>
      </c>
      <c r="B14" s="1018"/>
      <c r="C14" s="1018"/>
      <c r="D14" s="1018"/>
      <c r="E14" s="1018"/>
      <c r="F14" s="1018"/>
      <c r="G14" s="1018"/>
      <c r="H14" s="1018"/>
      <c r="I14" s="1018"/>
      <c r="J14" s="1018"/>
      <c r="K14" s="1018"/>
      <c r="L14" s="1018"/>
      <c r="M14" s="1018"/>
      <c r="N14" s="1018"/>
      <c r="O14" s="1018"/>
      <c r="P14" s="1018"/>
      <c r="Q14" s="1019"/>
    </row>
    <row r="15" spans="1:20" ht="24.6" customHeight="1">
      <c r="A15" s="1017" t="s">
        <v>3099</v>
      </c>
      <c r="B15" s="1018"/>
      <c r="C15" s="1018"/>
      <c r="D15" s="1018"/>
      <c r="E15" s="1018"/>
      <c r="F15" s="1018"/>
      <c r="G15" s="1018"/>
      <c r="H15" s="1018"/>
      <c r="I15" s="1018"/>
      <c r="J15" s="1018"/>
      <c r="K15" s="1018"/>
      <c r="L15" s="1018"/>
      <c r="M15" s="1018"/>
      <c r="N15" s="1018"/>
      <c r="O15" s="1018"/>
      <c r="P15" s="1018"/>
      <c r="Q15" s="1019"/>
      <c r="R15" s="1029" t="s">
        <v>3112</v>
      </c>
      <c r="S15" s="1029"/>
    </row>
    <row r="16" spans="1:20" ht="24.6" customHeight="1">
      <c r="A16" s="1017" t="s">
        <v>3100</v>
      </c>
      <c r="B16" s="1018"/>
      <c r="C16" s="1018"/>
      <c r="D16" s="1018"/>
      <c r="E16" s="1018"/>
      <c r="F16" s="1018"/>
      <c r="G16" s="1018"/>
      <c r="H16" s="1018"/>
      <c r="I16" s="1018"/>
      <c r="J16" s="1018"/>
      <c r="K16" s="1018"/>
      <c r="L16" s="1018"/>
      <c r="M16" s="1018"/>
      <c r="N16" s="1018"/>
      <c r="O16" s="1018"/>
      <c r="P16" s="1018"/>
      <c r="Q16" s="1019"/>
      <c r="R16" s="1029"/>
      <c r="S16" s="1029"/>
    </row>
    <row r="17" spans="1:19" ht="24.6" customHeight="1">
      <c r="A17" s="1017" t="s">
        <v>3101</v>
      </c>
      <c r="B17" s="1018"/>
      <c r="C17" s="1018"/>
      <c r="D17" s="1018"/>
      <c r="E17" s="1018"/>
      <c r="F17" s="1018"/>
      <c r="G17" s="1018"/>
      <c r="H17" s="1018"/>
      <c r="I17" s="1018"/>
      <c r="J17" s="1018"/>
      <c r="K17" s="1018"/>
      <c r="L17" s="1018"/>
      <c r="M17" s="1018"/>
      <c r="N17" s="1018"/>
      <c r="O17" s="1018"/>
      <c r="P17" s="1018"/>
      <c r="Q17" s="1019"/>
      <c r="R17" s="1029"/>
      <c r="S17" s="1029"/>
    </row>
    <row r="18" spans="1:19" ht="24.6" customHeight="1">
      <c r="A18" s="1017" t="s">
        <v>3102</v>
      </c>
      <c r="B18" s="1018"/>
      <c r="C18" s="1018"/>
      <c r="D18" s="1018"/>
      <c r="E18" s="1018"/>
      <c r="F18" s="1018"/>
      <c r="G18" s="1018"/>
      <c r="H18" s="1018"/>
      <c r="I18" s="1018"/>
      <c r="J18" s="1018"/>
      <c r="K18" s="1018"/>
      <c r="L18" s="1018"/>
      <c r="M18" s="1018"/>
      <c r="N18" s="1018"/>
      <c r="O18" s="1018"/>
      <c r="P18" s="1018"/>
      <c r="Q18" s="1019"/>
      <c r="R18" s="1029"/>
      <c r="S18" s="1029"/>
    </row>
    <row r="19" spans="1:19" ht="24.6" customHeight="1">
      <c r="A19" s="1017" t="s">
        <v>3103</v>
      </c>
      <c r="B19" s="1018"/>
      <c r="C19" s="1018"/>
      <c r="D19" s="1018"/>
      <c r="E19" s="1018"/>
      <c r="F19" s="1018"/>
      <c r="G19" s="1018"/>
      <c r="H19" s="1018"/>
      <c r="I19" s="1018"/>
      <c r="J19" s="1018"/>
      <c r="K19" s="1018"/>
      <c r="L19" s="1018"/>
      <c r="M19" s="1018"/>
      <c r="N19" s="1018"/>
      <c r="O19" s="1018"/>
      <c r="P19" s="1018"/>
      <c r="Q19" s="1019"/>
      <c r="R19" s="743"/>
      <c r="S19" s="743"/>
    </row>
    <row r="20" spans="1:19" ht="24.6" customHeight="1">
      <c r="A20" s="1017" t="s">
        <v>3104</v>
      </c>
      <c r="B20" s="1018"/>
      <c r="C20" s="1018"/>
      <c r="D20" s="1018"/>
      <c r="E20" s="1018"/>
      <c r="F20" s="1018"/>
      <c r="G20" s="1018"/>
      <c r="H20" s="1018"/>
      <c r="I20" s="1018"/>
      <c r="J20" s="1018"/>
      <c r="K20" s="1018"/>
      <c r="L20" s="1018"/>
      <c r="M20" s="1018"/>
      <c r="N20" s="1018"/>
      <c r="O20" s="1018"/>
      <c r="P20" s="1018"/>
      <c r="Q20" s="1019"/>
      <c r="R20" s="743"/>
      <c r="S20" s="743"/>
    </row>
    <row r="21" spans="1:19" ht="24.6" customHeight="1">
      <c r="A21" s="1017" t="s">
        <v>3105</v>
      </c>
      <c r="B21" s="1018"/>
      <c r="C21" s="1018"/>
      <c r="D21" s="1018"/>
      <c r="E21" s="1018"/>
      <c r="F21" s="1018"/>
      <c r="G21" s="1018"/>
      <c r="H21" s="1018"/>
      <c r="I21" s="1018"/>
      <c r="J21" s="1018"/>
      <c r="K21" s="1018"/>
      <c r="L21" s="1018"/>
      <c r="M21" s="1018"/>
      <c r="N21" s="1018"/>
      <c r="O21" s="1018"/>
      <c r="P21" s="1018"/>
      <c r="Q21" s="1019"/>
    </row>
    <row r="22" spans="1:19" ht="24.6" customHeight="1">
      <c r="A22" s="1017" t="s">
        <v>3106</v>
      </c>
      <c r="B22" s="1018"/>
      <c r="C22" s="1018"/>
      <c r="D22" s="1018"/>
      <c r="E22" s="1018"/>
      <c r="F22" s="1018"/>
      <c r="G22" s="1018"/>
      <c r="H22" s="1018"/>
      <c r="I22" s="1018"/>
      <c r="J22" s="1018"/>
      <c r="K22" s="1018"/>
      <c r="L22" s="1018"/>
      <c r="M22" s="1018"/>
      <c r="N22" s="1018"/>
      <c r="O22" s="1018"/>
      <c r="P22" s="1018"/>
      <c r="Q22" s="1019"/>
      <c r="R22" s="1029" t="s">
        <v>3112</v>
      </c>
      <c r="S22" s="1029"/>
    </row>
    <row r="23" spans="1:19" ht="24.6" customHeight="1">
      <c r="A23" s="1017" t="s">
        <v>3107</v>
      </c>
      <c r="B23" s="1018"/>
      <c r="C23" s="1018"/>
      <c r="D23" s="1018"/>
      <c r="E23" s="1018"/>
      <c r="F23" s="1018"/>
      <c r="G23" s="1018"/>
      <c r="H23" s="1018"/>
      <c r="I23" s="1018"/>
      <c r="J23" s="1018"/>
      <c r="K23" s="1018"/>
      <c r="L23" s="1018"/>
      <c r="M23" s="1018"/>
      <c r="N23" s="1018"/>
      <c r="O23" s="1018"/>
      <c r="P23" s="1018"/>
      <c r="Q23" s="1019"/>
      <c r="R23" s="1029"/>
      <c r="S23" s="1029"/>
    </row>
    <row r="24" spans="1:19" ht="24.6" customHeight="1">
      <c r="A24" s="1017" t="s">
        <v>3108</v>
      </c>
      <c r="B24" s="1018"/>
      <c r="C24" s="1018"/>
      <c r="D24" s="1018"/>
      <c r="E24" s="1018"/>
      <c r="F24" s="1018"/>
      <c r="G24" s="1018"/>
      <c r="H24" s="1018"/>
      <c r="I24" s="1018"/>
      <c r="J24" s="1018"/>
      <c r="K24" s="1018"/>
      <c r="L24" s="1018"/>
      <c r="M24" s="1018"/>
      <c r="N24" s="1018"/>
      <c r="O24" s="1018"/>
      <c r="P24" s="1018"/>
      <c r="Q24" s="1019"/>
      <c r="R24" s="1029"/>
      <c r="S24" s="1029"/>
    </row>
    <row r="25" spans="1:19" ht="24.6" customHeight="1">
      <c r="A25" s="1017" t="s">
        <v>3109</v>
      </c>
      <c r="B25" s="1018"/>
      <c r="C25" s="1018"/>
      <c r="D25" s="1018"/>
      <c r="E25" s="1018"/>
      <c r="F25" s="1018"/>
      <c r="G25" s="1018"/>
      <c r="H25" s="1018"/>
      <c r="I25" s="1018"/>
      <c r="J25" s="1018"/>
      <c r="K25" s="1018"/>
      <c r="L25" s="1018"/>
      <c r="M25" s="1018"/>
      <c r="N25" s="1018"/>
      <c r="O25" s="1018"/>
      <c r="P25" s="1018"/>
      <c r="Q25" s="1019"/>
      <c r="R25" s="1029"/>
      <c r="S25" s="1029"/>
    </row>
    <row r="26" spans="1:19" ht="24.6" customHeight="1">
      <c r="A26" s="1017" t="s">
        <v>3110</v>
      </c>
      <c r="B26" s="1018"/>
      <c r="C26" s="1018"/>
      <c r="D26" s="1018"/>
      <c r="E26" s="1018"/>
      <c r="F26" s="1018"/>
      <c r="G26" s="1018"/>
      <c r="H26" s="1018"/>
      <c r="I26" s="1018"/>
      <c r="J26" s="1018"/>
      <c r="K26" s="1018"/>
      <c r="L26" s="1018"/>
      <c r="M26" s="1018"/>
      <c r="N26" s="1018"/>
      <c r="O26" s="1018"/>
      <c r="P26" s="1018"/>
      <c r="Q26" s="1019"/>
      <c r="R26" s="743"/>
      <c r="S26" s="743"/>
    </row>
    <row r="27" spans="1:19" ht="24.6" customHeight="1">
      <c r="A27" s="1042" t="s">
        <v>3111</v>
      </c>
      <c r="B27" s="1043"/>
      <c r="C27" s="1043"/>
      <c r="D27" s="1043"/>
      <c r="E27" s="1043"/>
      <c r="F27" s="1043"/>
      <c r="G27" s="1043"/>
      <c r="H27" s="1043"/>
      <c r="I27" s="1043"/>
      <c r="J27" s="1043"/>
      <c r="K27" s="1043"/>
      <c r="L27" s="1043"/>
      <c r="M27" s="1043"/>
      <c r="N27" s="1043"/>
      <c r="O27" s="1043"/>
      <c r="P27" s="1043"/>
      <c r="Q27" s="1044"/>
      <c r="R27" s="743"/>
      <c r="S27" s="743"/>
    </row>
    <row r="28" spans="1:19" ht="6" customHeight="1"/>
    <row r="29" spans="1:19" ht="13.9" customHeight="1">
      <c r="A29" s="176">
        <v>1</v>
      </c>
      <c r="B29" s="177" t="s">
        <v>102</v>
      </c>
      <c r="C29" s="178"/>
      <c r="D29" s="118"/>
      <c r="E29" s="118"/>
      <c r="F29" s="118"/>
      <c r="G29" s="118"/>
      <c r="I29" s="179"/>
      <c r="J29" s="179"/>
      <c r="K29" s="179"/>
      <c r="L29" s="740"/>
      <c r="M29" s="740"/>
      <c r="O29" s="180" t="s">
        <v>2923</v>
      </c>
      <c r="P29" s="989"/>
      <c r="Q29" s="990"/>
    </row>
    <row r="30" spans="1:19" ht="3.4" customHeight="1"/>
    <row r="31" spans="1:19" ht="12.4" customHeight="1">
      <c r="B31" s="192" t="s">
        <v>3060</v>
      </c>
      <c r="C31" s="65" t="s">
        <v>1078</v>
      </c>
      <c r="E31" s="40"/>
      <c r="F31" s="40"/>
      <c r="G31" s="40"/>
      <c r="H31" s="40"/>
      <c r="I31" s="52"/>
      <c r="J31" s="42"/>
      <c r="K31" s="52"/>
      <c r="L31" s="42"/>
      <c r="M31" s="42"/>
      <c r="O31" s="83" t="s">
        <v>924</v>
      </c>
      <c r="P31" s="1166" t="s">
        <v>3923</v>
      </c>
      <c r="Q31" s="234"/>
    </row>
    <row r="32" spans="1:19" ht="12.4" customHeight="1">
      <c r="B32" s="57" t="s">
        <v>3063</v>
      </c>
      <c r="C32" s="65" t="s">
        <v>1079</v>
      </c>
      <c r="E32" s="40"/>
      <c r="F32" s="40"/>
      <c r="G32" s="40"/>
      <c r="H32" s="40"/>
      <c r="J32" s="1218" t="s">
        <v>3262</v>
      </c>
      <c r="K32" s="1219"/>
      <c r="L32" s="1219"/>
      <c r="M32" s="1219"/>
      <c r="N32" s="1220"/>
      <c r="O32" s="83"/>
      <c r="P32" s="83"/>
      <c r="Q32" s="83"/>
    </row>
    <row r="33" spans="1:31" ht="11.25" customHeight="1">
      <c r="B33" s="84" t="s">
        <v>2921</v>
      </c>
      <c r="C33" s="84"/>
      <c r="D33" s="84"/>
      <c r="E33" s="84"/>
      <c r="F33" s="84"/>
      <c r="G33" s="179"/>
      <c r="H33" s="179"/>
      <c r="I33" s="179"/>
      <c r="J33" s="179"/>
      <c r="K33" s="740"/>
      <c r="L33" s="740"/>
      <c r="M33" s="740"/>
      <c r="N33" s="740"/>
      <c r="O33" s="740"/>
      <c r="P33" s="63"/>
      <c r="S33" s="217"/>
      <c r="T33" s="217"/>
    </row>
    <row r="34" spans="1:31" ht="12.4" customHeight="1">
      <c r="A34" s="1152" t="s">
        <v>3950</v>
      </c>
      <c r="B34" s="1153"/>
      <c r="C34" s="1153"/>
      <c r="D34" s="1153"/>
      <c r="E34" s="1153"/>
      <c r="F34" s="1153"/>
      <c r="G34" s="1153"/>
      <c r="H34" s="1153"/>
      <c r="I34" s="1153"/>
      <c r="J34" s="1153"/>
      <c r="K34" s="1153"/>
      <c r="L34" s="1153"/>
      <c r="M34" s="1153"/>
      <c r="N34" s="1153"/>
      <c r="O34" s="1153"/>
      <c r="P34" s="1153"/>
      <c r="Q34" s="1154"/>
      <c r="R34" s="1029" t="s">
        <v>1933</v>
      </c>
      <c r="S34" s="1029"/>
      <c r="T34" s="217"/>
      <c r="U34" s="185"/>
      <c r="V34" s="185"/>
      <c r="W34" s="185"/>
      <c r="X34" s="185"/>
      <c r="Y34" s="185"/>
      <c r="Z34" s="185"/>
      <c r="AA34" s="185"/>
      <c r="AB34" s="185"/>
      <c r="AC34" s="185"/>
      <c r="AD34" s="185"/>
      <c r="AE34" s="186"/>
    </row>
    <row r="35" spans="1:31" ht="12.4" customHeight="1">
      <c r="A35" s="1163" t="s">
        <v>3951</v>
      </c>
      <c r="B35" s="1164"/>
      <c r="C35" s="1164"/>
      <c r="D35" s="1164"/>
      <c r="E35" s="1164"/>
      <c r="F35" s="1164"/>
      <c r="G35" s="1164"/>
      <c r="H35" s="1164"/>
      <c r="I35" s="1164"/>
      <c r="J35" s="1164"/>
      <c r="K35" s="1164"/>
      <c r="L35" s="1164"/>
      <c r="M35" s="1164"/>
      <c r="N35" s="1164"/>
      <c r="O35" s="1164"/>
      <c r="P35" s="1164"/>
      <c r="Q35" s="1165"/>
      <c r="R35" s="1029"/>
      <c r="S35" s="1029"/>
      <c r="T35" s="217"/>
    </row>
    <row r="36" spans="1:31" ht="12.4"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2922</v>
      </c>
      <c r="C37" s="188"/>
      <c r="D37" s="742"/>
      <c r="E37" s="742"/>
      <c r="F37" s="742"/>
      <c r="G37" s="742"/>
      <c r="H37" s="742"/>
      <c r="I37" s="742"/>
      <c r="J37" s="742"/>
      <c r="K37" s="742"/>
      <c r="L37" s="742"/>
      <c r="M37" s="742"/>
      <c r="N37" s="742"/>
      <c r="O37" s="742"/>
      <c r="P37" s="742"/>
    </row>
    <row r="38" spans="1:31" ht="12.4" customHeight="1">
      <c r="A38" s="991"/>
      <c r="B38" s="992"/>
      <c r="C38" s="992"/>
      <c r="D38" s="992"/>
      <c r="E38" s="992"/>
      <c r="F38" s="992"/>
      <c r="G38" s="992"/>
      <c r="H38" s="992"/>
      <c r="I38" s="992"/>
      <c r="J38" s="992"/>
      <c r="K38" s="992"/>
      <c r="L38" s="992"/>
      <c r="M38" s="992"/>
      <c r="N38" s="992"/>
      <c r="O38" s="992"/>
      <c r="P38" s="992"/>
      <c r="Q38" s="993"/>
      <c r="R38" s="1029" t="s">
        <v>1933</v>
      </c>
      <c r="S38" s="1029"/>
    </row>
    <row r="39" spans="1:31" ht="12.4" customHeight="1">
      <c r="A39" s="1011"/>
      <c r="B39" s="1012"/>
      <c r="C39" s="1012"/>
      <c r="D39" s="1012"/>
      <c r="E39" s="1012"/>
      <c r="F39" s="1012"/>
      <c r="G39" s="1012"/>
      <c r="H39" s="1012"/>
      <c r="I39" s="1012"/>
      <c r="J39" s="1012"/>
      <c r="K39" s="1012"/>
      <c r="L39" s="1012"/>
      <c r="M39" s="1012"/>
      <c r="N39" s="1012"/>
      <c r="O39" s="1012"/>
      <c r="P39" s="1012"/>
      <c r="Q39" s="1013"/>
      <c r="R39" s="1029"/>
      <c r="S39" s="1029"/>
    </row>
    <row r="40" spans="1:31" ht="12.4" customHeight="1">
      <c r="A40" s="1011"/>
      <c r="B40" s="1012"/>
      <c r="C40" s="1012"/>
      <c r="D40" s="1012"/>
      <c r="E40" s="1012"/>
      <c r="F40" s="1012"/>
      <c r="G40" s="1012"/>
      <c r="H40" s="1012"/>
      <c r="I40" s="1012"/>
      <c r="J40" s="1012"/>
      <c r="K40" s="1012"/>
      <c r="L40" s="1012"/>
      <c r="M40" s="1012"/>
      <c r="N40" s="1012"/>
      <c r="O40" s="1012"/>
      <c r="P40" s="1012"/>
      <c r="Q40" s="1013"/>
      <c r="R40" s="1029"/>
      <c r="S40" s="1029"/>
    </row>
    <row r="41" spans="1:31" ht="12.4" customHeight="1">
      <c r="A41" s="1011"/>
      <c r="B41" s="1012"/>
      <c r="C41" s="1012"/>
      <c r="D41" s="1012"/>
      <c r="E41" s="1012"/>
      <c r="F41" s="1012"/>
      <c r="G41" s="1012"/>
      <c r="H41" s="1012"/>
      <c r="I41" s="1012"/>
      <c r="J41" s="1012"/>
      <c r="K41" s="1012"/>
      <c r="L41" s="1012"/>
      <c r="M41" s="1012"/>
      <c r="N41" s="1012"/>
      <c r="O41" s="1012"/>
      <c r="P41" s="1012"/>
      <c r="Q41" s="1013"/>
    </row>
    <row r="42" spans="1:31" ht="12.4" customHeight="1">
      <c r="A42" s="1011"/>
      <c r="B42" s="1012"/>
      <c r="C42" s="1012"/>
      <c r="D42" s="1012"/>
      <c r="E42" s="1012"/>
      <c r="F42" s="1012"/>
      <c r="G42" s="1012"/>
      <c r="H42" s="1012"/>
      <c r="I42" s="1012"/>
      <c r="J42" s="1012"/>
      <c r="K42" s="1012"/>
      <c r="L42" s="1012"/>
      <c r="M42" s="1012"/>
      <c r="N42" s="1012"/>
      <c r="O42" s="1012"/>
      <c r="P42" s="1012"/>
      <c r="Q42" s="1013"/>
    </row>
    <row r="43" spans="1:31" ht="12.4" customHeight="1">
      <c r="A43" s="995"/>
      <c r="B43" s="996"/>
      <c r="C43" s="996"/>
      <c r="D43" s="996"/>
      <c r="E43" s="996"/>
      <c r="F43" s="996"/>
      <c r="G43" s="996"/>
      <c r="H43" s="996"/>
      <c r="I43" s="996"/>
      <c r="J43" s="996"/>
      <c r="K43" s="996"/>
      <c r="L43" s="996"/>
      <c r="M43" s="996"/>
      <c r="N43" s="996"/>
      <c r="O43" s="996"/>
      <c r="P43" s="996"/>
      <c r="Q43" s="997"/>
    </row>
    <row r="44" spans="1:31" ht="3.4" customHeight="1">
      <c r="B44" s="179"/>
      <c r="C44" s="742"/>
      <c r="D44" s="742"/>
      <c r="E44" s="742"/>
      <c r="F44" s="742"/>
      <c r="G44" s="742"/>
      <c r="H44" s="742"/>
      <c r="I44" s="742"/>
      <c r="J44" s="742"/>
      <c r="K44" s="742"/>
      <c r="L44" s="742"/>
      <c r="M44" s="742"/>
      <c r="N44" s="742"/>
      <c r="O44" s="742"/>
      <c r="P44" s="742"/>
      <c r="Q44" s="740"/>
    </row>
    <row r="45" spans="1:31" ht="13.9" customHeight="1">
      <c r="A45" s="744">
        <v>2</v>
      </c>
      <c r="B45" s="5" t="s">
        <v>2085</v>
      </c>
      <c r="C45" s="5"/>
      <c r="D45" s="5"/>
      <c r="E45" s="742"/>
      <c r="F45" s="742"/>
      <c r="G45" s="742"/>
      <c r="H45" s="742"/>
      <c r="K45" s="742"/>
      <c r="L45" s="742"/>
      <c r="M45" s="742"/>
      <c r="O45" s="180" t="s">
        <v>2923</v>
      </c>
      <c r="P45" s="989"/>
      <c r="Q45" s="990"/>
    </row>
    <row r="46" spans="1:31" ht="3.4" customHeight="1"/>
    <row r="47" spans="1:31" ht="11.45" customHeight="1">
      <c r="A47" s="189"/>
      <c r="C47" s="190" t="s">
        <v>113</v>
      </c>
      <c r="D47" s="190"/>
      <c r="E47" s="190"/>
      <c r="F47" s="190"/>
      <c r="G47" s="190"/>
      <c r="H47" s="190"/>
      <c r="J47" s="1221" t="str">
        <f>'Part I-Project Information'!$H$65</f>
        <v>Family</v>
      </c>
      <c r="K47" s="1222"/>
      <c r="L47" s="1223"/>
      <c r="M47" s="742"/>
      <c r="N47" s="742"/>
      <c r="P47" s="1166" t="s">
        <v>3919</v>
      </c>
      <c r="Q47" s="234"/>
    </row>
    <row r="48" spans="1:31" ht="11.25" customHeight="1">
      <c r="B48" s="131" t="s">
        <v>2921</v>
      </c>
      <c r="D48" s="131"/>
      <c r="E48" s="131"/>
      <c r="F48" s="131"/>
      <c r="G48" s="131"/>
      <c r="H48" s="50"/>
      <c r="I48" s="179"/>
      <c r="J48" s="179"/>
      <c r="K48" s="187" t="s">
        <v>2922</v>
      </c>
      <c r="L48" s="740"/>
      <c r="M48" s="740"/>
      <c r="N48" s="740"/>
      <c r="O48" s="740"/>
      <c r="P48" s="740"/>
      <c r="Q48" s="63"/>
    </row>
    <row r="49" spans="1:31" ht="11.45" customHeight="1">
      <c r="A49" s="1159" t="s">
        <v>3952</v>
      </c>
      <c r="B49" s="1160"/>
      <c r="C49" s="1160"/>
      <c r="D49" s="1160"/>
      <c r="E49" s="1160"/>
      <c r="F49" s="1160"/>
      <c r="G49" s="1160"/>
      <c r="H49" s="1160"/>
      <c r="I49" s="1160"/>
      <c r="J49" s="1161"/>
      <c r="K49" s="998"/>
      <c r="L49" s="999"/>
      <c r="M49" s="999"/>
      <c r="N49" s="999"/>
      <c r="O49" s="999"/>
      <c r="P49" s="999"/>
      <c r="Q49" s="1000"/>
      <c r="U49" s="185"/>
      <c r="V49" s="185"/>
      <c r="W49" s="185"/>
      <c r="X49" s="185"/>
      <c r="Y49" s="185"/>
      <c r="Z49" s="185"/>
      <c r="AA49" s="185"/>
      <c r="AB49" s="185"/>
      <c r="AC49" s="185"/>
      <c r="AD49" s="185"/>
      <c r="AE49" s="186"/>
    </row>
    <row r="50" spans="1:31" ht="3.4" customHeight="1">
      <c r="A50" s="740"/>
      <c r="B50" s="179"/>
      <c r="C50" s="742"/>
      <c r="D50" s="742"/>
      <c r="E50" s="742"/>
      <c r="F50" s="742"/>
      <c r="G50" s="742"/>
      <c r="H50" s="742"/>
      <c r="I50" s="742"/>
      <c r="J50" s="742"/>
      <c r="K50" s="742"/>
      <c r="L50" s="742"/>
      <c r="M50" s="742"/>
      <c r="N50" s="742"/>
      <c r="O50" s="742"/>
      <c r="P50" s="742"/>
      <c r="Q50" s="740"/>
    </row>
    <row r="51" spans="1:31" ht="13.9" customHeight="1">
      <c r="A51" s="744">
        <v>3</v>
      </c>
      <c r="B51" s="744" t="s">
        <v>682</v>
      </c>
      <c r="C51" s="153"/>
      <c r="D51" s="742"/>
      <c r="E51" s="742"/>
      <c r="F51" s="742"/>
      <c r="G51" s="742"/>
      <c r="H51" s="742"/>
      <c r="I51" s="742"/>
      <c r="J51" s="742"/>
      <c r="K51" s="742"/>
      <c r="L51" s="742"/>
      <c r="M51" s="742"/>
      <c r="O51" s="180" t="s">
        <v>2923</v>
      </c>
      <c r="P51" s="989"/>
      <c r="Q51" s="990"/>
    </row>
    <row r="52" spans="1:31" ht="3.4" customHeight="1"/>
    <row r="53" spans="1:31" ht="12.6" customHeight="1">
      <c r="B53" s="192" t="s">
        <v>3060</v>
      </c>
      <c r="C53" s="1014" t="s">
        <v>400</v>
      </c>
      <c r="D53" s="1014"/>
      <c r="E53" s="1014"/>
      <c r="F53" s="1014"/>
      <c r="G53" s="1014"/>
      <c r="H53" s="1014"/>
      <c r="I53" s="1014"/>
      <c r="J53" s="1014"/>
      <c r="K53" s="1014"/>
      <c r="L53" s="1014"/>
      <c r="M53" s="1014"/>
      <c r="O53" s="193"/>
      <c r="P53" s="1166" t="s">
        <v>3942</v>
      </c>
      <c r="Q53" s="234"/>
    </row>
    <row r="54" spans="1:31" ht="12.4" customHeight="1">
      <c r="B54" s="57" t="s">
        <v>3063</v>
      </c>
      <c r="C54" s="40" t="s">
        <v>2230</v>
      </c>
      <c r="D54" s="40"/>
      <c r="E54" s="40"/>
      <c r="F54" s="40"/>
      <c r="G54" s="40"/>
      <c r="H54" s="40"/>
      <c r="I54" s="40"/>
      <c r="J54" s="40"/>
      <c r="K54" s="40"/>
      <c r="L54" s="40"/>
      <c r="M54" s="40"/>
      <c r="O54" s="40"/>
      <c r="P54" s="40"/>
      <c r="Q54" s="40"/>
    </row>
    <row r="55" spans="1:31" ht="10.9" customHeight="1">
      <c r="A55" s="194"/>
      <c r="B55" s="52"/>
      <c r="C55" s="83" t="s">
        <v>2765</v>
      </c>
      <c r="D55" s="40" t="s">
        <v>883</v>
      </c>
      <c r="E55" s="739"/>
      <c r="F55" s="739"/>
      <c r="G55" s="739"/>
      <c r="H55" s="42"/>
      <c r="I55" s="52"/>
      <c r="J55" s="52"/>
      <c r="K55" s="52"/>
      <c r="L55" s="42"/>
      <c r="M55" s="42"/>
      <c r="O55" s="83" t="s">
        <v>2765</v>
      </c>
      <c r="P55" s="1166" t="s">
        <v>3919</v>
      </c>
      <c r="Q55" s="234"/>
    </row>
    <row r="56" spans="1:31" ht="10.9" customHeight="1">
      <c r="A56" s="194"/>
      <c r="B56" s="52"/>
      <c r="C56" s="83" t="s">
        <v>2766</v>
      </c>
      <c r="D56" s="40" t="s">
        <v>2846</v>
      </c>
      <c r="E56" s="739"/>
      <c r="F56" s="739"/>
      <c r="G56" s="739"/>
      <c r="H56" s="42"/>
      <c r="I56" s="52"/>
      <c r="J56" s="52"/>
      <c r="O56" s="83" t="s">
        <v>2766</v>
      </c>
      <c r="P56" s="1166"/>
      <c r="Q56" s="234"/>
    </row>
    <row r="57" spans="1:31" ht="10.9" customHeight="1">
      <c r="A57" s="194"/>
      <c r="B57" s="52"/>
      <c r="C57" s="83" t="s">
        <v>2767</v>
      </c>
      <c r="D57" s="40" t="s">
        <v>401</v>
      </c>
      <c r="E57" s="739"/>
      <c r="J57" s="83"/>
      <c r="K57" s="83" t="s">
        <v>2767</v>
      </c>
      <c r="L57" s="1224"/>
      <c r="M57" s="1225"/>
      <c r="N57" s="1225"/>
      <c r="O57" s="1225"/>
      <c r="P57" s="1226"/>
      <c r="Q57" s="234"/>
    </row>
    <row r="58" spans="1:31" ht="11.25" customHeight="1">
      <c r="B58" s="131" t="s">
        <v>2921</v>
      </c>
      <c r="D58" s="131"/>
      <c r="E58" s="131"/>
      <c r="F58" s="131"/>
      <c r="G58" s="131"/>
      <c r="H58" s="50"/>
      <c r="I58" s="179"/>
      <c r="J58" s="179"/>
      <c r="K58" s="179"/>
      <c r="L58" s="740"/>
      <c r="M58" s="740"/>
      <c r="N58" s="740"/>
      <c r="O58" s="740"/>
      <c r="P58" s="740"/>
      <c r="Q58" s="63"/>
    </row>
    <row r="59" spans="1:31" ht="12.4" customHeight="1">
      <c r="A59" s="1152" t="s">
        <v>4020</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4"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2922</v>
      </c>
      <c r="C61" s="188"/>
      <c r="D61" s="742"/>
      <c r="E61" s="742"/>
      <c r="F61" s="742"/>
      <c r="G61" s="742"/>
      <c r="H61" s="742"/>
      <c r="I61" s="742"/>
      <c r="J61" s="742"/>
      <c r="K61" s="742"/>
      <c r="L61" s="742"/>
      <c r="M61" s="742"/>
      <c r="N61" s="742"/>
      <c r="O61" s="742"/>
      <c r="P61" s="742"/>
      <c r="Q61" s="742"/>
    </row>
    <row r="62" spans="1:31" ht="12.4" customHeight="1">
      <c r="A62" s="991"/>
      <c r="B62" s="992"/>
      <c r="C62" s="992"/>
      <c r="D62" s="992"/>
      <c r="E62" s="992"/>
      <c r="F62" s="992"/>
      <c r="G62" s="992"/>
      <c r="H62" s="992"/>
      <c r="I62" s="992"/>
      <c r="J62" s="992"/>
      <c r="K62" s="992"/>
      <c r="L62" s="992"/>
      <c r="M62" s="992"/>
      <c r="N62" s="992"/>
      <c r="O62" s="992"/>
      <c r="P62" s="992"/>
      <c r="Q62" s="993"/>
    </row>
    <row r="63" spans="1:31" ht="12.4"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40"/>
      <c r="B64" s="179"/>
      <c r="C64" s="742"/>
      <c r="D64" s="742"/>
      <c r="E64" s="742"/>
      <c r="F64" s="742"/>
      <c r="G64" s="742"/>
      <c r="H64" s="742"/>
      <c r="I64" s="742"/>
      <c r="J64" s="742"/>
      <c r="K64" s="742"/>
      <c r="L64" s="742"/>
      <c r="M64" s="742"/>
      <c r="N64" s="742"/>
      <c r="O64" s="742"/>
      <c r="P64" s="742"/>
      <c r="Q64" s="740"/>
    </row>
    <row r="65" spans="1:31" ht="13.9" customHeight="1">
      <c r="A65" s="744">
        <v>4</v>
      </c>
      <c r="B65" s="744" t="s">
        <v>3702</v>
      </c>
      <c r="C65" s="744"/>
      <c r="D65" s="742"/>
      <c r="E65" s="742"/>
      <c r="F65" s="742"/>
      <c r="G65" s="742"/>
      <c r="H65" s="742"/>
      <c r="I65" s="742"/>
      <c r="J65" s="742"/>
      <c r="K65" s="742"/>
      <c r="O65" s="180" t="s">
        <v>2923</v>
      </c>
      <c r="P65" s="989"/>
      <c r="Q65" s="990"/>
    </row>
    <row r="66" spans="1:31" ht="3.4" customHeight="1"/>
    <row r="67" spans="1:31" ht="12.4" customHeight="1">
      <c r="B67" s="57" t="s">
        <v>3060</v>
      </c>
      <c r="C67" s="195" t="s">
        <v>3729</v>
      </c>
      <c r="D67" s="182"/>
      <c r="E67" s="182"/>
      <c r="F67" s="182"/>
      <c r="G67" s="182"/>
      <c r="H67" s="182"/>
      <c r="I67" s="52"/>
      <c r="J67" s="52"/>
      <c r="K67" s="52"/>
      <c r="L67" s="62" t="s">
        <v>3060</v>
      </c>
      <c r="M67" s="1224" t="s">
        <v>3999</v>
      </c>
      <c r="N67" s="1225"/>
      <c r="O67" s="1225"/>
      <c r="P67" s="1227"/>
      <c r="Q67" s="234"/>
    </row>
    <row r="68" spans="1:31" ht="12.4" customHeight="1">
      <c r="B68" s="57" t="s">
        <v>3063</v>
      </c>
      <c r="C68" s="65" t="s">
        <v>3118</v>
      </c>
      <c r="D68" s="182"/>
      <c r="E68" s="182"/>
      <c r="F68" s="182"/>
      <c r="L68" s="62" t="s">
        <v>3063</v>
      </c>
      <c r="M68" s="1224" t="s">
        <v>4002</v>
      </c>
      <c r="N68" s="1225"/>
      <c r="O68" s="1225"/>
      <c r="P68" s="1227"/>
      <c r="Q68" s="234"/>
    </row>
    <row r="69" spans="1:31" ht="12.4" customHeight="1">
      <c r="B69" s="57" t="s">
        <v>1239</v>
      </c>
      <c r="C69" s="65" t="s">
        <v>3730</v>
      </c>
      <c r="D69" s="182"/>
      <c r="E69" s="182"/>
      <c r="F69" s="182"/>
      <c r="L69" s="62" t="s">
        <v>1239</v>
      </c>
      <c r="M69" s="1224" t="s">
        <v>4000</v>
      </c>
      <c r="N69" s="1225"/>
      <c r="O69" s="1225"/>
      <c r="P69" s="1227"/>
      <c r="Q69" s="351"/>
    </row>
    <row r="70" spans="1:31" ht="12.4" customHeight="1">
      <c r="B70" s="57" t="s">
        <v>3212</v>
      </c>
      <c r="C70" s="65" t="s">
        <v>3731</v>
      </c>
      <c r="D70" s="182"/>
      <c r="E70" s="182"/>
      <c r="F70" s="182"/>
      <c r="L70" s="62" t="s">
        <v>3212</v>
      </c>
      <c r="M70" s="1224" t="s">
        <v>4001</v>
      </c>
      <c r="N70" s="1225"/>
      <c r="O70" s="1225"/>
      <c r="P70" s="1227"/>
      <c r="Q70" s="234"/>
    </row>
    <row r="71" spans="1:31" ht="22.15" customHeight="1">
      <c r="B71" s="192" t="s">
        <v>2763</v>
      </c>
      <c r="C71" s="1002" t="s">
        <v>3556</v>
      </c>
      <c r="D71" s="1004"/>
      <c r="E71" s="1004"/>
      <c r="F71" s="1004"/>
      <c r="G71" s="1004"/>
      <c r="H71" s="1004"/>
      <c r="I71" s="1004"/>
      <c r="J71" s="1004"/>
      <c r="K71" s="1004"/>
      <c r="L71" s="739"/>
      <c r="M71" s="739"/>
      <c r="O71" s="62" t="s">
        <v>2763</v>
      </c>
      <c r="P71" s="1166" t="s">
        <v>3919</v>
      </c>
      <c r="Q71" s="234"/>
    </row>
    <row r="72" spans="1:31" ht="12.4" customHeight="1">
      <c r="B72" s="57"/>
      <c r="C72" s="65"/>
      <c r="D72" s="713" t="s">
        <v>3593</v>
      </c>
      <c r="E72" s="40" t="s">
        <v>952</v>
      </c>
      <c r="F72" s="40"/>
      <c r="G72" s="65"/>
      <c r="H72" s="713" t="s">
        <v>3593</v>
      </c>
      <c r="I72" s="40" t="s">
        <v>952</v>
      </c>
      <c r="J72" s="40"/>
      <c r="K72" s="65"/>
      <c r="L72" s="713" t="s">
        <v>3593</v>
      </c>
      <c r="M72" s="40" t="s">
        <v>952</v>
      </c>
      <c r="N72" s="40"/>
      <c r="O72" s="65"/>
      <c r="P72" s="62"/>
      <c r="Q72" s="62"/>
    </row>
    <row r="73" spans="1:31" ht="12.4" customHeight="1">
      <c r="B73" s="57"/>
      <c r="C73" s="65">
        <v>1</v>
      </c>
      <c r="D73" s="1228" t="s">
        <v>3962</v>
      </c>
      <c r="E73" s="1229"/>
      <c r="F73" s="1230"/>
      <c r="G73" s="65">
        <v>4</v>
      </c>
      <c r="H73" s="1228"/>
      <c r="I73" s="1229"/>
      <c r="J73" s="1230"/>
      <c r="K73" s="65">
        <v>7</v>
      </c>
      <c r="L73" s="1228"/>
      <c r="M73" s="1229"/>
      <c r="N73" s="1230"/>
      <c r="O73" s="65"/>
      <c r="P73" s="62"/>
      <c r="Q73" s="62"/>
    </row>
    <row r="74" spans="1:31" ht="12.4" customHeight="1">
      <c r="B74" s="57"/>
      <c r="C74" s="65">
        <v>2</v>
      </c>
      <c r="D74" s="1228"/>
      <c r="E74" s="1229"/>
      <c r="F74" s="1230"/>
      <c r="G74" s="65">
        <v>5</v>
      </c>
      <c r="H74" s="1228"/>
      <c r="I74" s="1229"/>
      <c r="J74" s="1230"/>
      <c r="K74" s="65">
        <v>8</v>
      </c>
      <c r="L74" s="1228"/>
      <c r="M74" s="1229"/>
      <c r="N74" s="1230"/>
      <c r="O74" s="65"/>
      <c r="P74" s="62"/>
      <c r="Q74" s="62"/>
    </row>
    <row r="75" spans="1:31" ht="12.4" customHeight="1">
      <c r="B75" s="57"/>
      <c r="C75" s="65">
        <v>3</v>
      </c>
      <c r="D75" s="1228"/>
      <c r="E75" s="1229"/>
      <c r="F75" s="1230"/>
      <c r="G75" s="65">
        <v>6</v>
      </c>
      <c r="H75" s="1228"/>
      <c r="I75" s="1229"/>
      <c r="J75" s="1230"/>
      <c r="K75" s="65">
        <v>9</v>
      </c>
      <c r="L75" s="1228"/>
      <c r="M75" s="1229"/>
      <c r="N75" s="1230"/>
      <c r="O75" s="65"/>
      <c r="P75" s="62"/>
      <c r="Q75" s="62"/>
    </row>
    <row r="76" spans="1:31" ht="12.4" customHeight="1">
      <c r="B76" s="57" t="s">
        <v>2764</v>
      </c>
      <c r="C76" s="65" t="s">
        <v>1</v>
      </c>
      <c r="D76" s="182"/>
      <c r="E76" s="182"/>
      <c r="F76" s="182"/>
      <c r="G76" s="182"/>
      <c r="H76" s="182"/>
      <c r="I76" s="52"/>
      <c r="J76" s="52"/>
      <c r="K76" s="182"/>
      <c r="L76" s="739"/>
      <c r="M76" s="739"/>
      <c r="O76" s="62" t="s">
        <v>2764</v>
      </c>
      <c r="P76" s="1166" t="s">
        <v>3919</v>
      </c>
      <c r="Q76" s="234"/>
    </row>
    <row r="77" spans="1:31" ht="11.25" customHeight="1">
      <c r="B77" s="191" t="s">
        <v>2921</v>
      </c>
      <c r="D77" s="191"/>
      <c r="E77" s="191"/>
      <c r="F77" s="191"/>
      <c r="G77" s="191"/>
      <c r="H77" s="50"/>
      <c r="I77" s="179"/>
      <c r="J77" s="179"/>
      <c r="K77" s="179"/>
      <c r="L77" s="740"/>
      <c r="M77" s="740"/>
      <c r="N77" s="740"/>
      <c r="O77" s="740"/>
      <c r="P77" s="740"/>
      <c r="Q77" s="63"/>
    </row>
    <row r="78" spans="1:31" ht="34.5" customHeight="1">
      <c r="A78" s="1152" t="s">
        <v>4021</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t="s">
        <v>4003</v>
      </c>
      <c r="B79" s="1156"/>
      <c r="C79" s="1156"/>
      <c r="D79" s="1156"/>
      <c r="E79" s="1156"/>
      <c r="F79" s="1156"/>
      <c r="G79" s="1156"/>
      <c r="H79" s="1156"/>
      <c r="I79" s="1156"/>
      <c r="J79" s="1156"/>
      <c r="K79" s="1156"/>
      <c r="L79" s="1156"/>
      <c r="M79" s="1156"/>
      <c r="N79" s="1156"/>
      <c r="O79" s="1156"/>
      <c r="P79" s="1156"/>
      <c r="Q79" s="1157"/>
    </row>
    <row r="80" spans="1:31" ht="11.25" customHeight="1">
      <c r="B80" s="187" t="s">
        <v>2922</v>
      </c>
      <c r="C80" s="188"/>
      <c r="D80" s="742"/>
      <c r="E80" s="742"/>
      <c r="F80" s="742"/>
      <c r="G80" s="742"/>
      <c r="H80" s="742"/>
      <c r="I80" s="742"/>
      <c r="J80" s="742"/>
      <c r="K80" s="742"/>
      <c r="L80" s="742"/>
      <c r="M80" s="742"/>
      <c r="N80" s="742"/>
      <c r="O80" s="742"/>
      <c r="P80" s="742"/>
      <c r="Q80" s="742"/>
    </row>
    <row r="81" spans="1:17" ht="22.9" customHeight="1">
      <c r="A81" s="991"/>
      <c r="B81" s="992"/>
      <c r="C81" s="992"/>
      <c r="D81" s="992"/>
      <c r="E81" s="992"/>
      <c r="F81" s="992"/>
      <c r="G81" s="992"/>
      <c r="H81" s="992"/>
      <c r="I81" s="992"/>
      <c r="J81" s="992"/>
      <c r="K81" s="992"/>
      <c r="L81" s="992"/>
      <c r="M81" s="992"/>
      <c r="N81" s="992"/>
      <c r="O81" s="992"/>
      <c r="P81" s="992"/>
      <c r="Q81" s="993"/>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4">
        <v>5</v>
      </c>
      <c r="B83" s="744" t="s">
        <v>291</v>
      </c>
      <c r="C83" s="744"/>
      <c r="D83" s="742"/>
      <c r="E83" s="742"/>
      <c r="F83" s="742"/>
      <c r="G83" s="742"/>
      <c r="H83" s="742"/>
      <c r="I83" s="742"/>
      <c r="J83" s="742"/>
      <c r="K83" s="742"/>
      <c r="L83" s="742"/>
      <c r="M83" s="742"/>
      <c r="O83" s="180" t="s">
        <v>2923</v>
      </c>
      <c r="P83" s="989"/>
      <c r="Q83" s="990"/>
    </row>
    <row r="84" spans="1:17" ht="3.4" customHeight="1"/>
    <row r="85" spans="1:17" ht="12.4" customHeight="1">
      <c r="B85" s="57" t="s">
        <v>3060</v>
      </c>
      <c r="C85" s="65" t="s">
        <v>730</v>
      </c>
      <c r="D85" s="65"/>
      <c r="E85" s="65"/>
      <c r="F85" s="65"/>
      <c r="G85" s="65"/>
      <c r="H85" s="65"/>
      <c r="I85" s="65"/>
      <c r="J85" s="65"/>
      <c r="K85" s="65"/>
      <c r="L85" s="65"/>
      <c r="M85" s="65"/>
      <c r="O85" s="62" t="s">
        <v>3060</v>
      </c>
      <c r="P85" s="1166" t="s">
        <v>3923</v>
      </c>
      <c r="Q85" s="234"/>
    </row>
    <row r="86" spans="1:17" ht="12.4" customHeight="1">
      <c r="B86" s="57" t="s">
        <v>3063</v>
      </c>
      <c r="C86" s="65" t="s">
        <v>2006</v>
      </c>
      <c r="D86" s="65"/>
      <c r="E86" s="65"/>
      <c r="F86" s="65"/>
      <c r="G86" s="65"/>
      <c r="H86" s="65"/>
      <c r="I86" s="65"/>
      <c r="J86" s="65"/>
      <c r="K86" s="65"/>
      <c r="L86" s="40"/>
      <c r="M86" s="40"/>
      <c r="O86" s="62" t="s">
        <v>3063</v>
      </c>
      <c r="P86" s="1166" t="s">
        <v>3919</v>
      </c>
      <c r="Q86" s="234"/>
    </row>
    <row r="87" spans="1:17" ht="12.4" customHeight="1">
      <c r="A87" s="181"/>
      <c r="B87" s="46"/>
      <c r="D87" s="49" t="s">
        <v>850</v>
      </c>
      <c r="E87" s="52"/>
      <c r="F87" s="52"/>
      <c r="G87" s="52"/>
      <c r="H87" s="52"/>
      <c r="I87" s="52"/>
      <c r="K87" s="49" t="s">
        <v>851</v>
      </c>
      <c r="M87" s="1231" t="s">
        <v>4022</v>
      </c>
      <c r="N87" s="1232"/>
      <c r="O87" s="1232"/>
      <c r="P87" s="1233"/>
      <c r="Q87" s="234"/>
    </row>
    <row r="88" spans="1:17" ht="22.9" customHeight="1">
      <c r="A88" s="194"/>
      <c r="B88" s="179"/>
      <c r="C88" s="203" t="s">
        <v>2765</v>
      </c>
      <c r="D88" s="975" t="s">
        <v>679</v>
      </c>
      <c r="E88" s="1119"/>
      <c r="F88" s="1119"/>
      <c r="G88" s="1119"/>
      <c r="H88" s="1119"/>
      <c r="I88" s="1119"/>
      <c r="J88" s="1119"/>
      <c r="K88" s="1119"/>
      <c r="L88" s="1119"/>
      <c r="M88" s="1119"/>
      <c r="N88" s="1119"/>
      <c r="O88" s="203" t="s">
        <v>2765</v>
      </c>
      <c r="P88" s="1166" t="s">
        <v>3923</v>
      </c>
      <c r="Q88" s="234"/>
    </row>
    <row r="89" spans="1:17" ht="12.4" customHeight="1">
      <c r="A89" s="194"/>
      <c r="B89" s="179"/>
      <c r="C89" s="83" t="s">
        <v>2766</v>
      </c>
      <c r="D89" s="65" t="s">
        <v>187</v>
      </c>
      <c r="E89" s="65"/>
      <c r="F89" s="65"/>
      <c r="G89" s="65"/>
      <c r="H89" s="65"/>
      <c r="I89" s="65"/>
      <c r="J89" s="65"/>
      <c r="K89" s="65"/>
      <c r="L89" s="65"/>
      <c r="M89" s="65"/>
      <c r="O89" s="83" t="s">
        <v>2766</v>
      </c>
      <c r="P89" s="1166" t="s">
        <v>3919</v>
      </c>
      <c r="Q89" s="234"/>
    </row>
    <row r="90" spans="1:17" ht="12.4" customHeight="1">
      <c r="A90" s="194"/>
      <c r="B90" s="179"/>
      <c r="C90" s="83" t="s">
        <v>2767</v>
      </c>
      <c r="D90" s="65" t="s">
        <v>188</v>
      </c>
      <c r="E90" s="65"/>
      <c r="F90" s="65"/>
      <c r="G90" s="65"/>
      <c r="H90" s="65"/>
      <c r="I90" s="65"/>
      <c r="J90" s="65"/>
      <c r="K90" s="65"/>
      <c r="L90" s="65"/>
      <c r="M90" s="65"/>
      <c r="O90" s="83" t="s">
        <v>2767</v>
      </c>
      <c r="P90" s="1166"/>
      <c r="Q90" s="234"/>
    </row>
    <row r="91" spans="1:17" ht="12.4" customHeight="1">
      <c r="B91" s="57" t="s">
        <v>1239</v>
      </c>
      <c r="C91" s="65" t="s">
        <v>191</v>
      </c>
      <c r="D91" s="65"/>
      <c r="E91" s="65"/>
      <c r="F91" s="65"/>
      <c r="G91" s="65"/>
      <c r="H91" s="65"/>
      <c r="I91" s="65"/>
      <c r="J91" s="65"/>
      <c r="K91" s="65"/>
      <c r="L91" s="65"/>
      <c r="M91" s="65"/>
      <c r="O91" s="62" t="s">
        <v>1239</v>
      </c>
      <c r="P91" s="1166"/>
      <c r="Q91" s="234"/>
    </row>
    <row r="92" spans="1:17" ht="12.4" customHeight="1">
      <c r="B92" s="57" t="s">
        <v>3212</v>
      </c>
      <c r="C92" s="65" t="s">
        <v>2149</v>
      </c>
      <c r="D92" s="65"/>
      <c r="E92" s="65"/>
      <c r="G92" s="65"/>
      <c r="I92" s="65"/>
      <c r="K92" s="65"/>
      <c r="L92" s="40"/>
      <c r="M92" s="40"/>
      <c r="N92" s="40"/>
      <c r="O92" s="40"/>
      <c r="P92" s="40"/>
      <c r="Q92" s="40"/>
    </row>
    <row r="93" spans="1:17" ht="12.4" customHeight="1">
      <c r="B93" s="57"/>
      <c r="C93" s="83" t="s">
        <v>2765</v>
      </c>
      <c r="D93" s="65" t="s">
        <v>2150</v>
      </c>
      <c r="E93" s="65"/>
      <c r="F93" s="65"/>
      <c r="G93" s="65"/>
      <c r="H93" s="65"/>
      <c r="I93" s="65"/>
      <c r="J93" s="65"/>
      <c r="K93" s="65"/>
      <c r="L93" s="40"/>
      <c r="M93" s="40"/>
      <c r="O93" s="83" t="s">
        <v>2765</v>
      </c>
      <c r="P93" s="1166" t="s">
        <v>3923</v>
      </c>
      <c r="Q93" s="234"/>
    </row>
    <row r="94" spans="1:17" ht="12.4" customHeight="1">
      <c r="B94" s="57"/>
      <c r="C94" s="83" t="s">
        <v>2766</v>
      </c>
      <c r="D94" s="65" t="s">
        <v>2151</v>
      </c>
      <c r="E94" s="65"/>
      <c r="F94" s="65"/>
      <c r="G94" s="65"/>
      <c r="H94" s="65"/>
      <c r="I94" s="65"/>
      <c r="J94" s="65"/>
      <c r="K94" s="65"/>
      <c r="L94" s="40"/>
      <c r="M94" s="40"/>
      <c r="O94" s="83" t="s">
        <v>2766</v>
      </c>
      <c r="P94" s="1166" t="s">
        <v>3923</v>
      </c>
      <c r="Q94" s="234"/>
    </row>
    <row r="95" spans="1:17" ht="12.4" customHeight="1">
      <c r="B95" s="57"/>
      <c r="C95" s="83" t="s">
        <v>2767</v>
      </c>
      <c r="D95" s="65" t="s">
        <v>2152</v>
      </c>
      <c r="E95" s="65"/>
      <c r="F95" s="65"/>
      <c r="G95" s="65"/>
      <c r="H95" s="65"/>
      <c r="I95" s="65"/>
      <c r="J95" s="65"/>
      <c r="K95" s="65"/>
      <c r="L95" s="40"/>
      <c r="M95" s="40"/>
      <c r="O95" s="83" t="s">
        <v>2767</v>
      </c>
      <c r="P95" s="1166" t="s">
        <v>3923</v>
      </c>
      <c r="Q95" s="234"/>
    </row>
    <row r="96" spans="1:17" ht="11.25" customHeight="1">
      <c r="B96" s="191" t="s">
        <v>2921</v>
      </c>
      <c r="D96" s="191"/>
      <c r="E96" s="191"/>
      <c r="F96" s="191"/>
      <c r="G96" s="191"/>
      <c r="H96" s="50"/>
      <c r="I96" s="179"/>
      <c r="J96" s="179"/>
      <c r="K96" s="179"/>
      <c r="L96" s="740"/>
      <c r="M96" s="740"/>
      <c r="N96" s="740"/>
      <c r="O96" s="740"/>
      <c r="P96" s="740"/>
      <c r="Q96" s="63"/>
    </row>
    <row r="97" spans="1:31" ht="13.15" customHeight="1">
      <c r="A97" s="1152" t="s">
        <v>4023</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t="s">
        <v>4059</v>
      </c>
      <c r="B98" s="1156"/>
      <c r="C98" s="1156"/>
      <c r="D98" s="1156"/>
      <c r="E98" s="1156"/>
      <c r="F98" s="1156"/>
      <c r="G98" s="1156"/>
      <c r="H98" s="1156"/>
      <c r="I98" s="1156"/>
      <c r="J98" s="1156"/>
      <c r="K98" s="1156"/>
      <c r="L98" s="1156"/>
      <c r="M98" s="1156"/>
      <c r="N98" s="1156"/>
      <c r="O98" s="1156"/>
      <c r="P98" s="1156"/>
      <c r="Q98" s="1157"/>
    </row>
    <row r="99" spans="1:31" ht="11.25" customHeight="1">
      <c r="B99" s="187" t="s">
        <v>2922</v>
      </c>
      <c r="C99" s="188"/>
      <c r="D99" s="742"/>
      <c r="E99" s="742"/>
      <c r="F99" s="742"/>
      <c r="G99" s="742"/>
      <c r="H99" s="742"/>
      <c r="I99" s="742"/>
      <c r="J99" s="742"/>
      <c r="K99" s="742"/>
      <c r="L99" s="742"/>
      <c r="M99" s="742"/>
      <c r="N99" s="742"/>
      <c r="O99" s="742"/>
      <c r="P99" s="742"/>
      <c r="Q99" s="742"/>
    </row>
    <row r="100" spans="1:31" ht="13.15" customHeight="1">
      <c r="A100" s="991"/>
      <c r="B100" s="992"/>
      <c r="C100" s="992"/>
      <c r="D100" s="992"/>
      <c r="E100" s="992"/>
      <c r="F100" s="992"/>
      <c r="G100" s="992"/>
      <c r="H100" s="992"/>
      <c r="I100" s="992"/>
      <c r="J100" s="992"/>
      <c r="K100" s="992"/>
      <c r="L100" s="992"/>
      <c r="M100" s="992"/>
      <c r="N100" s="992"/>
      <c r="O100" s="992"/>
      <c r="P100" s="992"/>
      <c r="Q100" s="993"/>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40"/>
      <c r="B102" s="179"/>
      <c r="C102" s="742"/>
      <c r="D102" s="742"/>
      <c r="E102" s="742"/>
      <c r="F102" s="742"/>
      <c r="G102" s="742"/>
      <c r="H102" s="742"/>
      <c r="I102" s="742"/>
      <c r="J102" s="742"/>
      <c r="K102" s="742"/>
      <c r="L102" s="742"/>
      <c r="M102" s="742"/>
      <c r="N102" s="742"/>
      <c r="O102" s="742"/>
      <c r="P102" s="742"/>
      <c r="Q102" s="740"/>
    </row>
    <row r="103" spans="1:31" ht="13.9" customHeight="1">
      <c r="A103" s="744">
        <v>6</v>
      </c>
      <c r="B103" s="744" t="s">
        <v>331</v>
      </c>
      <c r="C103" s="50"/>
      <c r="D103" s="742"/>
      <c r="E103" s="742"/>
      <c r="F103" s="742"/>
      <c r="G103" s="742"/>
      <c r="H103" s="742"/>
      <c r="I103" s="742"/>
      <c r="J103" s="742"/>
      <c r="K103" s="742"/>
      <c r="L103" s="742"/>
      <c r="M103" s="742"/>
      <c r="O103" s="180" t="s">
        <v>2923</v>
      </c>
      <c r="P103" s="989"/>
      <c r="Q103" s="990"/>
    </row>
    <row r="104" spans="1:31" ht="6.6" customHeight="1"/>
    <row r="105" spans="1:31" ht="12.4" customHeight="1">
      <c r="B105" s="57" t="s">
        <v>3060</v>
      </c>
      <c r="C105" s="65" t="s">
        <v>202</v>
      </c>
      <c r="D105" s="182"/>
      <c r="E105" s="182"/>
      <c r="F105" s="182"/>
      <c r="G105" s="182"/>
      <c r="H105" s="182"/>
      <c r="I105" s="52"/>
      <c r="J105" s="52"/>
      <c r="K105" s="52"/>
      <c r="L105" s="62" t="s">
        <v>3060</v>
      </c>
      <c r="M105" s="1224" t="s">
        <v>3953</v>
      </c>
      <c r="N105" s="1225"/>
      <c r="O105" s="1225"/>
      <c r="P105" s="1226"/>
      <c r="Q105" s="234"/>
    </row>
    <row r="106" spans="1:31" ht="12.4" customHeight="1">
      <c r="B106" s="57" t="s">
        <v>3063</v>
      </c>
      <c r="C106" s="65" t="s">
        <v>2292</v>
      </c>
      <c r="D106" s="182"/>
      <c r="E106" s="182"/>
      <c r="F106" s="182"/>
      <c r="G106" s="182"/>
      <c r="H106" s="182"/>
      <c r="I106" s="52"/>
      <c r="J106" s="52"/>
      <c r="K106" s="182"/>
      <c r="L106" s="182"/>
      <c r="M106" s="739"/>
      <c r="O106" s="62" t="s">
        <v>3063</v>
      </c>
      <c r="P106" s="1166" t="s">
        <v>3923</v>
      </c>
      <c r="Q106" s="351"/>
    </row>
    <row r="107" spans="1:31" ht="12.4" customHeight="1">
      <c r="B107" s="57" t="s">
        <v>1239</v>
      </c>
      <c r="C107" s="65" t="s">
        <v>205</v>
      </c>
      <c r="D107" s="182"/>
      <c r="E107" s="182"/>
      <c r="F107" s="182"/>
      <c r="G107" s="182"/>
      <c r="H107" s="182"/>
      <c r="I107" s="52"/>
      <c r="J107" s="52"/>
      <c r="K107" s="182"/>
      <c r="L107" s="739"/>
      <c r="M107" s="739"/>
      <c r="O107" s="62" t="s">
        <v>1239</v>
      </c>
      <c r="P107" s="1166" t="s">
        <v>3919</v>
      </c>
      <c r="Q107" s="234"/>
    </row>
    <row r="108" spans="1:31" ht="12.4" customHeight="1">
      <c r="B108" s="189"/>
      <c r="C108" s="65" t="s">
        <v>2843</v>
      </c>
      <c r="D108" s="52"/>
      <c r="E108" s="52"/>
      <c r="F108" s="52"/>
      <c r="G108" s="52"/>
      <c r="H108" s="65"/>
      <c r="I108" s="52"/>
      <c r="J108" s="52"/>
      <c r="K108" s="182"/>
      <c r="L108" s="739"/>
      <c r="M108" s="739"/>
      <c r="P108" s="1234">
        <v>57</v>
      </c>
      <c r="Q108" s="351"/>
    </row>
    <row r="109" spans="1:31" ht="12.4" customHeight="1">
      <c r="B109" s="189"/>
      <c r="C109" s="65" t="s">
        <v>2090</v>
      </c>
      <c r="D109" s="52"/>
      <c r="E109" s="52"/>
      <c r="F109" s="52"/>
      <c r="G109" s="52"/>
      <c r="H109" s="65"/>
      <c r="I109" s="52"/>
      <c r="J109" s="52"/>
      <c r="K109" s="182"/>
      <c r="L109" s="739"/>
      <c r="M109" s="739"/>
      <c r="N109" s="739"/>
      <c r="O109" s="739"/>
    </row>
    <row r="110" spans="1:31" ht="11.45" customHeight="1">
      <c r="B110" s="740"/>
      <c r="C110" s="1235" t="s">
        <v>4060</v>
      </c>
      <c r="D110" s="1236"/>
      <c r="E110" s="1236"/>
      <c r="F110" s="1236"/>
      <c r="G110" s="1236"/>
      <c r="H110" s="1236"/>
      <c r="I110" s="1236"/>
      <c r="J110" s="1236"/>
      <c r="K110" s="1236"/>
      <c r="L110" s="1236"/>
      <c r="M110" s="1236"/>
      <c r="N110" s="1236"/>
      <c r="O110" s="1237"/>
      <c r="P110" s="742"/>
      <c r="Q110" s="740"/>
    </row>
    <row r="111" spans="1:31" ht="12.4" customHeight="1">
      <c r="B111" s="57" t="s">
        <v>3212</v>
      </c>
      <c r="C111" s="65" t="s">
        <v>1945</v>
      </c>
      <c r="D111" s="182"/>
      <c r="E111" s="182"/>
      <c r="F111" s="182"/>
      <c r="G111" s="182"/>
      <c r="H111" s="182"/>
      <c r="I111" s="52"/>
      <c r="J111" s="52"/>
      <c r="K111" s="182"/>
      <c r="L111" s="739"/>
      <c r="M111" s="739"/>
      <c r="N111" s="739"/>
      <c r="O111" s="62" t="s">
        <v>3212</v>
      </c>
    </row>
    <row r="112" spans="1:31" ht="12.4" customHeight="1">
      <c r="B112" s="57"/>
      <c r="C112" s="83" t="s">
        <v>2765</v>
      </c>
      <c r="D112" s="65" t="s">
        <v>203</v>
      </c>
      <c r="E112" s="182"/>
      <c r="F112" s="182"/>
      <c r="G112" s="182"/>
      <c r="H112" s="182"/>
      <c r="I112" s="52"/>
      <c r="J112" s="52"/>
      <c r="K112" s="182"/>
      <c r="L112" s="739"/>
      <c r="M112" s="739"/>
      <c r="O112" s="83" t="s">
        <v>2765</v>
      </c>
      <c r="P112" s="1166" t="s">
        <v>3923</v>
      </c>
      <c r="Q112" s="234"/>
    </row>
    <row r="113" spans="1:17" ht="12.4" customHeight="1">
      <c r="B113" s="57"/>
      <c r="C113" s="83" t="s">
        <v>2766</v>
      </c>
      <c r="D113" s="65" t="s">
        <v>1946</v>
      </c>
      <c r="E113" s="182"/>
      <c r="F113" s="182"/>
      <c r="G113" s="182"/>
      <c r="H113" s="52"/>
      <c r="I113" s="52"/>
      <c r="J113" s="52"/>
      <c r="K113" s="182"/>
      <c r="L113" s="739"/>
      <c r="M113" s="739"/>
      <c r="O113" s="83" t="s">
        <v>2766</v>
      </c>
      <c r="P113" s="1234" t="s">
        <v>3923</v>
      </c>
      <c r="Q113" s="351"/>
    </row>
    <row r="114" spans="1:17" ht="12.4" customHeight="1">
      <c r="B114" s="57"/>
      <c r="C114" s="83"/>
      <c r="D114" s="65" t="s">
        <v>2970</v>
      </c>
      <c r="E114" s="52"/>
      <c r="F114" s="52"/>
      <c r="G114" s="52"/>
      <c r="H114" s="65"/>
      <c r="I114" s="52"/>
      <c r="J114" s="52"/>
      <c r="K114" s="182"/>
      <c r="L114" s="739"/>
      <c r="M114" s="739"/>
      <c r="O114" s="739"/>
      <c r="P114" s="1238"/>
      <c r="Q114" s="457"/>
    </row>
    <row r="115" spans="1:17" ht="12.4" customHeight="1">
      <c r="B115" s="57"/>
      <c r="C115" s="83"/>
      <c r="D115" s="65" t="s">
        <v>3662</v>
      </c>
      <c r="E115" s="52"/>
      <c r="F115" s="52"/>
      <c r="G115" s="52"/>
      <c r="H115" s="65"/>
      <c r="I115" s="52"/>
      <c r="J115" s="52"/>
      <c r="K115" s="182"/>
      <c r="L115" s="739"/>
      <c r="M115" s="739"/>
      <c r="O115" s="739"/>
      <c r="P115" s="1234"/>
      <c r="Q115" s="351"/>
    </row>
    <row r="116" spans="1:17" ht="12.4" customHeight="1">
      <c r="B116" s="57"/>
      <c r="C116" s="83"/>
      <c r="D116" s="65" t="s">
        <v>3244</v>
      </c>
      <c r="E116" s="52"/>
      <c r="F116" s="52"/>
      <c r="G116" s="52"/>
      <c r="H116" s="65"/>
      <c r="I116" s="52"/>
      <c r="J116" s="52"/>
      <c r="K116" s="182"/>
      <c r="L116" s="739"/>
      <c r="M116" s="739"/>
      <c r="O116" s="739"/>
      <c r="P116" s="1234"/>
      <c r="Q116" s="351"/>
    </row>
    <row r="117" spans="1:17" ht="12.4" customHeight="1">
      <c r="B117" s="57"/>
      <c r="C117" s="83" t="s">
        <v>2767</v>
      </c>
      <c r="D117" s="65" t="s">
        <v>1947</v>
      </c>
      <c r="E117" s="182"/>
      <c r="F117" s="182"/>
      <c r="G117" s="182"/>
      <c r="H117" s="65"/>
      <c r="I117" s="52"/>
      <c r="J117" s="52"/>
      <c r="K117" s="182"/>
      <c r="L117" s="739"/>
      <c r="M117" s="739"/>
      <c r="O117" s="83" t="s">
        <v>2767</v>
      </c>
      <c r="P117" s="1166" t="s">
        <v>3923</v>
      </c>
      <c r="Q117" s="234"/>
    </row>
    <row r="118" spans="1:17" ht="12.4" customHeight="1">
      <c r="B118" s="57"/>
      <c r="C118" s="83"/>
      <c r="D118" s="65" t="s">
        <v>1408</v>
      </c>
      <c r="E118" s="52"/>
      <c r="F118" s="52"/>
      <c r="G118" s="52"/>
      <c r="H118" s="65"/>
      <c r="I118" s="52"/>
      <c r="J118" s="52"/>
      <c r="K118" s="182"/>
      <c r="L118" s="739"/>
      <c r="M118" s="739"/>
      <c r="O118" s="739"/>
      <c r="P118" s="1239"/>
      <c r="Q118" s="352"/>
    </row>
    <row r="119" spans="1:17" ht="12.4" customHeight="1">
      <c r="B119" s="57"/>
      <c r="C119" s="83"/>
      <c r="D119" s="65" t="s">
        <v>3245</v>
      </c>
      <c r="E119" s="52"/>
      <c r="F119" s="52"/>
      <c r="G119" s="52"/>
      <c r="H119" s="65"/>
      <c r="I119" s="52"/>
      <c r="J119" s="52"/>
      <c r="K119" s="182"/>
      <c r="L119" s="739"/>
      <c r="M119" s="739"/>
      <c r="O119" s="739"/>
      <c r="P119" s="1234"/>
      <c r="Q119" s="351"/>
    </row>
    <row r="120" spans="1:17" ht="12.4" customHeight="1">
      <c r="B120" s="57"/>
      <c r="C120" s="83"/>
      <c r="D120" s="65" t="s">
        <v>3244</v>
      </c>
      <c r="E120" s="52"/>
      <c r="F120" s="52"/>
      <c r="G120" s="52"/>
      <c r="H120" s="65"/>
      <c r="I120" s="52"/>
      <c r="J120" s="52"/>
      <c r="K120" s="182"/>
      <c r="L120" s="739"/>
      <c r="M120" s="739"/>
      <c r="O120" s="739"/>
      <c r="P120" s="1234"/>
      <c r="Q120" s="351"/>
    </row>
    <row r="121" spans="1:17" ht="12.4" customHeight="1">
      <c r="B121" s="46"/>
      <c r="C121" s="83" t="s">
        <v>3571</v>
      </c>
      <c r="D121" s="65" t="s">
        <v>727</v>
      </c>
      <c r="E121" s="182"/>
      <c r="F121" s="182"/>
      <c r="G121" s="182"/>
      <c r="H121" s="182"/>
      <c r="I121" s="52"/>
      <c r="J121" s="52"/>
      <c r="K121" s="182"/>
      <c r="L121" s="739"/>
      <c r="M121" s="739"/>
      <c r="O121" s="83" t="s">
        <v>3571</v>
      </c>
      <c r="P121" s="1166" t="s">
        <v>3919</v>
      </c>
      <c r="Q121" s="234"/>
    </row>
    <row r="122" spans="1:17" ht="12.4" customHeight="1">
      <c r="B122" s="57" t="s">
        <v>2763</v>
      </c>
      <c r="C122" s="196" t="s">
        <v>3658</v>
      </c>
      <c r="D122" s="182"/>
      <c r="E122" s="182"/>
      <c r="F122" s="182"/>
      <c r="G122" s="182"/>
      <c r="H122" s="182"/>
      <c r="I122" s="52"/>
      <c r="J122" s="52"/>
      <c r="K122" s="182"/>
      <c r="L122" s="739"/>
      <c r="M122" s="739"/>
      <c r="N122" s="739"/>
      <c r="O122" s="62" t="s">
        <v>2763</v>
      </c>
      <c r="P122" s="1166"/>
      <c r="Q122" s="234"/>
    </row>
    <row r="123" spans="1:17" ht="12.4" customHeight="1">
      <c r="B123" s="57"/>
      <c r="C123" s="83" t="s">
        <v>2765</v>
      </c>
      <c r="D123" s="65" t="s">
        <v>3659</v>
      </c>
      <c r="E123" s="182"/>
      <c r="F123" s="1166" t="s">
        <v>3923</v>
      </c>
      <c r="G123" s="234"/>
      <c r="H123" s="83" t="s">
        <v>2767</v>
      </c>
      <c r="I123" s="65" t="s">
        <v>2306</v>
      </c>
      <c r="J123" s="1166" t="s">
        <v>3923</v>
      </c>
      <c r="K123" s="234"/>
      <c r="L123" s="83" t="s">
        <v>2304</v>
      </c>
      <c r="M123" s="65" t="s">
        <v>3621</v>
      </c>
      <c r="N123" s="1166" t="s">
        <v>3923</v>
      </c>
      <c r="O123" s="234"/>
    </row>
    <row r="124" spans="1:17" ht="12.4" customHeight="1">
      <c r="B124" s="46"/>
      <c r="C124" s="83" t="s">
        <v>2766</v>
      </c>
      <c r="D124" s="65" t="s">
        <v>3774</v>
      </c>
      <c r="E124" s="182"/>
      <c r="F124" s="1166" t="s">
        <v>3923</v>
      </c>
      <c r="G124" s="234"/>
      <c r="H124" s="83" t="s">
        <v>3571</v>
      </c>
      <c r="I124" s="65" t="s">
        <v>2307</v>
      </c>
      <c r="J124" s="1166" t="s">
        <v>3923</v>
      </c>
      <c r="K124" s="234"/>
      <c r="L124" s="83" t="s">
        <v>2305</v>
      </c>
      <c r="M124" s="65" t="s">
        <v>2308</v>
      </c>
      <c r="N124" s="1166" t="s">
        <v>3923</v>
      </c>
      <c r="O124" s="234"/>
    </row>
    <row r="125" spans="1:17" ht="12.4" customHeight="1">
      <c r="B125" s="46"/>
      <c r="C125" s="83" t="s">
        <v>112</v>
      </c>
      <c r="D125" s="65" t="s">
        <v>53</v>
      </c>
      <c r="E125" s="182"/>
      <c r="F125" s="182"/>
      <c r="G125" s="182"/>
      <c r="H125" s="182"/>
      <c r="J125" s="1224" t="s">
        <v>3923</v>
      </c>
      <c r="K125" s="1225"/>
      <c r="L125" s="1225"/>
      <c r="M125" s="1225"/>
      <c r="N125" s="1225"/>
      <c r="O125" s="1226"/>
    </row>
    <row r="126" spans="1:17" ht="12.4" customHeight="1">
      <c r="B126" s="57" t="s">
        <v>2764</v>
      </c>
      <c r="C126" s="65" t="s">
        <v>1984</v>
      </c>
      <c r="D126" s="182"/>
      <c r="E126" s="182"/>
      <c r="F126" s="182"/>
      <c r="G126" s="182"/>
      <c r="H126" s="182"/>
      <c r="I126" s="52"/>
      <c r="J126" s="52"/>
      <c r="K126" s="182"/>
      <c r="L126" s="182"/>
      <c r="M126" s="739"/>
      <c r="O126" s="62" t="s">
        <v>2764</v>
      </c>
      <c r="P126" s="1166" t="s">
        <v>3919</v>
      </c>
      <c r="Q126" s="234"/>
    </row>
    <row r="127" spans="1:17" ht="12.4" customHeight="1">
      <c r="A127" s="194"/>
      <c r="B127" s="52"/>
      <c r="C127" s="83" t="s">
        <v>2765</v>
      </c>
      <c r="D127" s="65" t="s">
        <v>1080</v>
      </c>
      <c r="E127" s="182"/>
      <c r="F127" s="182"/>
      <c r="G127" s="182"/>
      <c r="H127" s="182"/>
      <c r="O127" s="83" t="s">
        <v>2765</v>
      </c>
      <c r="P127" s="1166" t="s">
        <v>3923</v>
      </c>
      <c r="Q127" s="234"/>
    </row>
    <row r="128" spans="1:17" ht="12.4" customHeight="1">
      <c r="A128" s="194"/>
      <c r="B128" s="179"/>
      <c r="C128" s="83" t="s">
        <v>2766</v>
      </c>
      <c r="D128" s="65" t="s">
        <v>726</v>
      </c>
      <c r="E128" s="65"/>
      <c r="F128" s="65"/>
      <c r="G128" s="65"/>
      <c r="H128" s="65"/>
      <c r="I128" s="52"/>
      <c r="J128" s="52"/>
      <c r="K128" s="65"/>
      <c r="L128" s="65"/>
      <c r="M128" s="65"/>
      <c r="O128" s="83" t="s">
        <v>2766</v>
      </c>
      <c r="P128" s="1166" t="s">
        <v>3919</v>
      </c>
      <c r="Q128" s="234"/>
    </row>
    <row r="129" spans="1:31" ht="12.4" customHeight="1">
      <c r="A129" s="194"/>
      <c r="B129" s="179"/>
      <c r="C129" s="83" t="s">
        <v>2767</v>
      </c>
      <c r="D129" s="65" t="s">
        <v>1032</v>
      </c>
      <c r="E129" s="65"/>
      <c r="F129" s="65"/>
      <c r="G129" s="65"/>
      <c r="H129" s="65"/>
      <c r="I129" s="52"/>
      <c r="J129" s="52"/>
      <c r="K129" s="65"/>
      <c r="L129" s="65"/>
      <c r="M129" s="65"/>
      <c r="O129" s="83" t="s">
        <v>2767</v>
      </c>
      <c r="P129" s="1166" t="s">
        <v>3919</v>
      </c>
      <c r="Q129" s="234"/>
    </row>
    <row r="130" spans="1:31" ht="12.4" customHeight="1">
      <c r="B130" s="57" t="s">
        <v>3020</v>
      </c>
      <c r="C130" s="65" t="s">
        <v>2782</v>
      </c>
      <c r="D130" s="182"/>
      <c r="E130" s="182"/>
      <c r="F130" s="182"/>
      <c r="G130" s="182"/>
      <c r="H130" s="182"/>
      <c r="I130" s="52"/>
      <c r="J130" s="52"/>
      <c r="K130" s="182"/>
      <c r="L130" s="182"/>
      <c r="M130" s="739"/>
      <c r="O130" s="62" t="s">
        <v>3020</v>
      </c>
      <c r="P130" s="1166" t="s">
        <v>1581</v>
      </c>
      <c r="Q130" s="234"/>
    </row>
    <row r="131" spans="1:31" ht="4.9000000000000004" customHeight="1"/>
    <row r="132" spans="1:31" ht="11.25" customHeight="1">
      <c r="B132" s="191" t="s">
        <v>2921</v>
      </c>
      <c r="D132" s="191"/>
      <c r="E132" s="191"/>
      <c r="F132" s="191"/>
      <c r="G132" s="191"/>
      <c r="H132" s="50"/>
      <c r="I132" s="179"/>
      <c r="J132" s="179"/>
      <c r="K132" s="179"/>
      <c r="L132" s="740"/>
      <c r="M132" s="740"/>
      <c r="N132" s="740"/>
      <c r="O132" s="740"/>
      <c r="P132" s="740"/>
      <c r="Q132" s="63"/>
    </row>
    <row r="133" spans="1:31" ht="12.75" customHeight="1">
      <c r="A133" s="1152" t="s">
        <v>3954</v>
      </c>
      <c r="B133" s="1153"/>
      <c r="C133" s="1153"/>
      <c r="D133" s="1153"/>
      <c r="E133" s="1153"/>
      <c r="F133" s="1153"/>
      <c r="G133" s="1153"/>
      <c r="H133" s="1153"/>
      <c r="I133" s="1153"/>
      <c r="J133" s="1153"/>
      <c r="K133" s="1153"/>
      <c r="L133" s="1153"/>
      <c r="M133" s="1153"/>
      <c r="N133" s="1153"/>
      <c r="O133" s="1153"/>
      <c r="P133" s="1153"/>
      <c r="Q133" s="1154"/>
      <c r="R133" s="1029" t="s">
        <v>1933</v>
      </c>
      <c r="S133" s="1029"/>
      <c r="U133" s="185"/>
      <c r="V133" s="185"/>
      <c r="W133" s="185"/>
      <c r="X133" s="185"/>
      <c r="Y133" s="185"/>
      <c r="Z133" s="185"/>
      <c r="AA133" s="185"/>
      <c r="AB133" s="185"/>
      <c r="AC133" s="185"/>
      <c r="AD133" s="185"/>
      <c r="AE133" s="186"/>
    </row>
    <row r="134" spans="1:31" ht="36.75" customHeight="1">
      <c r="A134" s="1163" t="s">
        <v>4024</v>
      </c>
      <c r="B134" s="1164"/>
      <c r="C134" s="1164"/>
      <c r="D134" s="1164"/>
      <c r="E134" s="1164"/>
      <c r="F134" s="1164"/>
      <c r="G134" s="1164"/>
      <c r="H134" s="1164"/>
      <c r="I134" s="1164"/>
      <c r="J134" s="1164"/>
      <c r="K134" s="1164"/>
      <c r="L134" s="1164"/>
      <c r="M134" s="1164"/>
      <c r="N134" s="1164"/>
      <c r="O134" s="1164"/>
      <c r="P134" s="1164"/>
      <c r="Q134" s="1165"/>
      <c r="R134" s="1029"/>
      <c r="S134" s="1029"/>
    </row>
    <row r="135" spans="1:31" ht="12.4" customHeight="1">
      <c r="A135" s="1155"/>
      <c r="B135" s="1156"/>
      <c r="C135" s="1156"/>
      <c r="D135" s="1156"/>
      <c r="E135" s="1156"/>
      <c r="F135" s="1156"/>
      <c r="G135" s="1156"/>
      <c r="H135" s="1156"/>
      <c r="I135" s="1156"/>
      <c r="J135" s="1156"/>
      <c r="K135" s="1156"/>
      <c r="L135" s="1156"/>
      <c r="M135" s="1156"/>
      <c r="N135" s="1156"/>
      <c r="O135" s="1156"/>
      <c r="P135" s="1156"/>
      <c r="Q135" s="1157"/>
      <c r="R135" s="1029"/>
      <c r="S135" s="1029"/>
    </row>
    <row r="136" spans="1:31" ht="11.25" customHeight="1">
      <c r="B136" s="187" t="s">
        <v>2922</v>
      </c>
      <c r="C136" s="188"/>
      <c r="D136" s="742"/>
      <c r="E136" s="742"/>
      <c r="F136" s="742"/>
      <c r="G136" s="742"/>
      <c r="H136" s="742"/>
      <c r="I136" s="742"/>
      <c r="J136" s="742"/>
      <c r="K136" s="742"/>
      <c r="L136" s="742"/>
      <c r="M136" s="742"/>
      <c r="N136" s="742"/>
      <c r="O136" s="742"/>
      <c r="P136" s="742"/>
      <c r="Q136" s="742"/>
    </row>
    <row r="137" spans="1:31" ht="12.4" customHeight="1">
      <c r="A137" s="991"/>
      <c r="B137" s="992"/>
      <c r="C137" s="992"/>
      <c r="D137" s="992"/>
      <c r="E137" s="992"/>
      <c r="F137" s="992"/>
      <c r="G137" s="992"/>
      <c r="H137" s="992"/>
      <c r="I137" s="992"/>
      <c r="J137" s="992"/>
      <c r="K137" s="992"/>
      <c r="L137" s="992"/>
      <c r="M137" s="992"/>
      <c r="N137" s="992"/>
      <c r="O137" s="992"/>
      <c r="P137" s="992"/>
      <c r="Q137" s="993"/>
      <c r="R137" s="1029" t="s">
        <v>1933</v>
      </c>
      <c r="S137" s="1029"/>
    </row>
    <row r="138" spans="1:31" ht="12.4" customHeight="1">
      <c r="A138" s="1011"/>
      <c r="B138" s="1012"/>
      <c r="C138" s="1012"/>
      <c r="D138" s="1012"/>
      <c r="E138" s="1012"/>
      <c r="F138" s="1012"/>
      <c r="G138" s="1012"/>
      <c r="H138" s="1012"/>
      <c r="I138" s="1012"/>
      <c r="J138" s="1012"/>
      <c r="K138" s="1012"/>
      <c r="L138" s="1012"/>
      <c r="M138" s="1012"/>
      <c r="N138" s="1012"/>
      <c r="O138" s="1012"/>
      <c r="P138" s="1012"/>
      <c r="Q138" s="1013"/>
      <c r="R138" s="1029"/>
      <c r="S138" s="1029"/>
    </row>
    <row r="139" spans="1:31" ht="12.4" customHeight="1">
      <c r="A139" s="995"/>
      <c r="B139" s="996"/>
      <c r="C139" s="996"/>
      <c r="D139" s="996"/>
      <c r="E139" s="996"/>
      <c r="F139" s="996"/>
      <c r="G139" s="996"/>
      <c r="H139" s="996"/>
      <c r="I139" s="996"/>
      <c r="J139" s="996"/>
      <c r="K139" s="996"/>
      <c r="L139" s="996"/>
      <c r="M139" s="996"/>
      <c r="N139" s="996"/>
      <c r="O139" s="996"/>
      <c r="P139" s="996"/>
      <c r="Q139" s="997"/>
      <c r="R139" s="1029"/>
      <c r="S139" s="1029"/>
    </row>
    <row r="140" spans="1:31" ht="8.65" customHeight="1">
      <c r="A140" s="740"/>
      <c r="B140" s="179"/>
      <c r="C140" s="742"/>
      <c r="D140" s="742"/>
      <c r="E140" s="742"/>
      <c r="F140" s="742"/>
      <c r="G140" s="742"/>
      <c r="H140" s="742"/>
      <c r="I140" s="742"/>
      <c r="J140" s="742"/>
      <c r="K140" s="742"/>
      <c r="L140" s="742"/>
      <c r="M140" s="742"/>
      <c r="N140" s="742"/>
      <c r="O140" s="742"/>
      <c r="P140" s="742"/>
      <c r="Q140" s="740"/>
    </row>
    <row r="141" spans="1:31" ht="13.9" customHeight="1">
      <c r="A141" s="744">
        <v>7</v>
      </c>
      <c r="B141" s="744" t="s">
        <v>1601</v>
      </c>
      <c r="C141" s="744"/>
      <c r="D141" s="742"/>
      <c r="E141" s="742"/>
      <c r="F141" s="742"/>
      <c r="G141" s="742"/>
      <c r="H141" s="742"/>
      <c r="I141" s="742"/>
      <c r="J141" s="742"/>
      <c r="K141" s="742"/>
      <c r="O141" s="180" t="s">
        <v>2923</v>
      </c>
      <c r="P141" s="989"/>
      <c r="Q141" s="990"/>
    </row>
    <row r="142" spans="1:31" ht="10.9" customHeight="1">
      <c r="B142" s="57" t="s">
        <v>3060</v>
      </c>
      <c r="C142" s="65" t="s">
        <v>3120</v>
      </c>
      <c r="D142" s="65"/>
      <c r="E142" s="65"/>
      <c r="F142" s="65"/>
      <c r="G142" s="65"/>
      <c r="H142" s="65"/>
      <c r="N142" s="65"/>
      <c r="O142" s="62" t="s">
        <v>3060</v>
      </c>
      <c r="P142" s="1166" t="s">
        <v>3919</v>
      </c>
      <c r="Q142" s="234"/>
    </row>
    <row r="143" spans="1:31" ht="12.4" customHeight="1">
      <c r="A143" s="189"/>
      <c r="B143" s="57" t="s">
        <v>3063</v>
      </c>
      <c r="C143" s="190" t="s">
        <v>204</v>
      </c>
      <c r="D143" s="190"/>
      <c r="E143" s="190"/>
      <c r="F143" s="190"/>
      <c r="G143" s="190"/>
      <c r="H143" s="190"/>
      <c r="M143" s="62" t="s">
        <v>3063</v>
      </c>
      <c r="N143" s="1240" t="s">
        <v>3943</v>
      </c>
      <c r="O143" s="1241"/>
      <c r="P143" s="1033"/>
      <c r="Q143" s="1034"/>
    </row>
    <row r="144" spans="1:31" ht="12.4" customHeight="1">
      <c r="A144" s="189"/>
      <c r="B144" s="57" t="s">
        <v>1239</v>
      </c>
      <c r="C144" s="190" t="s">
        <v>1033</v>
      </c>
      <c r="D144" s="190"/>
      <c r="E144" s="190"/>
      <c r="F144" s="190"/>
      <c r="G144" s="190"/>
      <c r="H144" s="190"/>
      <c r="J144" s="62" t="s">
        <v>1239</v>
      </c>
      <c r="K144" s="1242" t="s">
        <v>3967</v>
      </c>
      <c r="L144" s="1243"/>
      <c r="M144" s="1243"/>
      <c r="N144" s="1243"/>
      <c r="O144" s="1244"/>
      <c r="P144" s="1166" t="s">
        <v>3919</v>
      </c>
      <c r="Q144" s="234"/>
    </row>
    <row r="145" spans="1:31" ht="12.4" customHeight="1">
      <c r="B145" s="191" t="s">
        <v>2921</v>
      </c>
      <c r="D145" s="191"/>
      <c r="E145" s="191"/>
      <c r="F145" s="191"/>
      <c r="G145" s="191"/>
      <c r="H145" s="50"/>
      <c r="I145" s="179"/>
      <c r="J145" s="179"/>
      <c r="K145" s="179"/>
      <c r="L145" s="740"/>
      <c r="M145" s="740"/>
      <c r="N145" s="740"/>
      <c r="O145" s="740"/>
      <c r="P145" s="740"/>
      <c r="Q145" s="63"/>
    </row>
    <row r="146" spans="1:31" ht="11.45" customHeight="1">
      <c r="A146" s="1152" t="s">
        <v>4025</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4" customHeight="1">
      <c r="B148" s="187" t="s">
        <v>2922</v>
      </c>
      <c r="C148" s="188"/>
      <c r="D148" s="742"/>
      <c r="E148" s="742"/>
      <c r="F148" s="742"/>
      <c r="G148" s="742"/>
      <c r="H148" s="742"/>
      <c r="I148" s="742"/>
      <c r="J148" s="742"/>
      <c r="K148" s="742"/>
      <c r="L148" s="742"/>
      <c r="M148" s="742"/>
      <c r="N148" s="742"/>
      <c r="O148" s="742"/>
      <c r="P148" s="742"/>
      <c r="Q148" s="742"/>
    </row>
    <row r="149" spans="1:31" ht="11.45" customHeight="1">
      <c r="A149" s="991"/>
      <c r="B149" s="992"/>
      <c r="C149" s="992"/>
      <c r="D149" s="992"/>
      <c r="E149" s="992"/>
      <c r="F149" s="992"/>
      <c r="G149" s="992"/>
      <c r="H149" s="992"/>
      <c r="I149" s="992"/>
      <c r="J149" s="992"/>
      <c r="K149" s="992"/>
      <c r="L149" s="992"/>
      <c r="M149" s="992"/>
      <c r="N149" s="992"/>
      <c r="O149" s="992"/>
      <c r="P149" s="992"/>
      <c r="Q149" s="993"/>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4" customHeight="1">
      <c r="A151" s="740"/>
      <c r="B151" s="179"/>
      <c r="C151" s="742"/>
      <c r="D151" s="742"/>
      <c r="E151" s="742"/>
      <c r="F151" s="742"/>
      <c r="G151" s="742"/>
      <c r="H151" s="742"/>
      <c r="I151" s="742"/>
      <c r="J151" s="742"/>
      <c r="K151" s="742"/>
      <c r="L151" s="742"/>
      <c r="M151" s="742"/>
      <c r="Q151" s="740"/>
    </row>
    <row r="152" spans="1:31" ht="13.9" customHeight="1">
      <c r="A152" s="744">
        <v>8</v>
      </c>
      <c r="B152" s="744" t="s">
        <v>683</v>
      </c>
      <c r="C152" s="744"/>
      <c r="D152" s="742"/>
      <c r="E152" s="742"/>
      <c r="F152" s="742"/>
      <c r="G152" s="742"/>
      <c r="H152" s="742"/>
      <c r="I152" s="742"/>
      <c r="J152" s="742"/>
      <c r="K152" s="742"/>
      <c r="L152" s="742"/>
      <c r="M152" s="742"/>
      <c r="O152" s="180" t="s">
        <v>2923</v>
      </c>
      <c r="P152" s="989"/>
      <c r="Q152" s="990"/>
    </row>
    <row r="153" spans="1:31" ht="12.4" customHeight="1">
      <c r="B153" s="192" t="s">
        <v>3060</v>
      </c>
      <c r="C153" s="190" t="s">
        <v>109</v>
      </c>
      <c r="D153" s="190"/>
      <c r="E153" s="190"/>
      <c r="F153" s="190"/>
      <c r="G153" s="190"/>
      <c r="H153" s="190"/>
      <c r="I153" s="190"/>
      <c r="J153" s="190"/>
      <c r="K153" s="190"/>
      <c r="L153" s="197"/>
      <c r="M153" s="197"/>
      <c r="N153" s="197"/>
      <c r="O153" s="221" t="s">
        <v>3060</v>
      </c>
      <c r="P153" s="1166" t="s">
        <v>3919</v>
      </c>
      <c r="Q153" s="234"/>
    </row>
    <row r="154" spans="1:31" ht="22.15" customHeight="1">
      <c r="B154" s="192" t="s">
        <v>3063</v>
      </c>
      <c r="C154" s="1002" t="s">
        <v>3790</v>
      </c>
      <c r="D154" s="1002"/>
      <c r="E154" s="1002"/>
      <c r="F154" s="1002"/>
      <c r="G154" s="1002"/>
      <c r="H154" s="1002"/>
      <c r="I154" s="1002"/>
      <c r="J154" s="1002"/>
      <c r="K154" s="1002"/>
      <c r="L154" s="1002"/>
      <c r="M154" s="1002"/>
      <c r="N154" s="1002"/>
      <c r="O154" s="221" t="s">
        <v>3063</v>
      </c>
      <c r="P154" s="1166" t="s">
        <v>3919</v>
      </c>
      <c r="Q154" s="234"/>
    </row>
    <row r="155" spans="1:31" ht="12.4" customHeight="1">
      <c r="B155" s="191" t="s">
        <v>2921</v>
      </c>
      <c r="D155" s="191"/>
      <c r="E155" s="191"/>
      <c r="F155" s="191"/>
      <c r="G155" s="191"/>
      <c r="H155" s="50"/>
      <c r="I155" s="179"/>
      <c r="J155" s="179"/>
      <c r="K155" s="179"/>
      <c r="L155" s="740"/>
      <c r="M155" s="740"/>
      <c r="N155" s="740"/>
      <c r="O155" s="740"/>
      <c r="P155" s="740"/>
      <c r="Q155" s="63"/>
    </row>
    <row r="156" spans="1:31" ht="60" customHeight="1">
      <c r="A156" s="1152" t="s">
        <v>4026</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5.2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4" customHeight="1">
      <c r="B158" s="187" t="s">
        <v>2922</v>
      </c>
      <c r="C158" s="188"/>
      <c r="D158" s="742"/>
      <c r="E158" s="742"/>
      <c r="F158" s="742"/>
      <c r="G158" s="742"/>
      <c r="H158" s="742"/>
      <c r="I158" s="742"/>
      <c r="J158" s="742"/>
      <c r="K158" s="742"/>
      <c r="L158" s="742"/>
      <c r="M158" s="742"/>
      <c r="N158" s="742"/>
      <c r="O158" s="742"/>
      <c r="P158" s="742"/>
      <c r="Q158" s="742"/>
    </row>
    <row r="159" spans="1:31" ht="11.45" customHeight="1">
      <c r="A159" s="991"/>
      <c r="B159" s="992"/>
      <c r="C159" s="992"/>
      <c r="D159" s="992"/>
      <c r="E159" s="992"/>
      <c r="F159" s="992"/>
      <c r="G159" s="992"/>
      <c r="H159" s="992"/>
      <c r="I159" s="992"/>
      <c r="J159" s="992"/>
      <c r="K159" s="992"/>
      <c r="L159" s="992"/>
      <c r="M159" s="992"/>
      <c r="N159" s="992"/>
      <c r="O159" s="992"/>
      <c r="P159" s="992"/>
      <c r="Q159" s="993"/>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4" customHeight="1">
      <c r="B161" s="179"/>
      <c r="C161" s="742"/>
      <c r="D161" s="742"/>
      <c r="E161" s="742"/>
      <c r="F161" s="742"/>
      <c r="G161" s="742"/>
      <c r="H161" s="742"/>
      <c r="I161" s="742"/>
      <c r="J161" s="742"/>
      <c r="K161" s="742"/>
      <c r="L161" s="742"/>
      <c r="M161" s="742"/>
      <c r="N161" s="742"/>
      <c r="O161" s="742"/>
      <c r="P161" s="742"/>
      <c r="Q161" s="740"/>
    </row>
    <row r="162" spans="1:31" ht="13.9" customHeight="1">
      <c r="A162" s="198">
        <v>9</v>
      </c>
      <c r="B162" s="1009" t="s">
        <v>332</v>
      </c>
      <c r="C162" s="1009"/>
      <c r="D162" s="1009"/>
      <c r="O162" s="180" t="s">
        <v>2923</v>
      </c>
      <c r="P162" s="989"/>
      <c r="Q162" s="990"/>
    </row>
    <row r="163" spans="1:31" ht="12.4" customHeight="1">
      <c r="B163" s="192" t="s">
        <v>3060</v>
      </c>
      <c r="C163" s="197" t="s">
        <v>697</v>
      </c>
      <c r="D163" s="197"/>
      <c r="E163" s="197"/>
      <c r="F163" s="197"/>
      <c r="G163" s="197"/>
      <c r="H163" s="197"/>
      <c r="I163" s="197"/>
      <c r="J163" s="197"/>
      <c r="K163" s="197"/>
      <c r="L163" s="197"/>
      <c r="M163" s="197"/>
      <c r="O163" s="221" t="s">
        <v>3060</v>
      </c>
      <c r="P163" s="1166" t="s">
        <v>3919</v>
      </c>
      <c r="Q163" s="234"/>
    </row>
    <row r="164" spans="1:31" ht="12.4" customHeight="1">
      <c r="B164" s="192" t="s">
        <v>3063</v>
      </c>
      <c r="C164" s="190" t="s">
        <v>722</v>
      </c>
      <c r="D164" s="190"/>
      <c r="E164" s="190"/>
      <c r="F164" s="190"/>
      <c r="G164" s="190"/>
      <c r="H164" s="190"/>
      <c r="I164" s="190"/>
      <c r="J164" s="190"/>
      <c r="K164" s="190"/>
      <c r="L164" s="190"/>
      <c r="M164" s="190"/>
      <c r="O164" s="221" t="s">
        <v>3063</v>
      </c>
      <c r="P164" s="1166" t="s">
        <v>3919</v>
      </c>
      <c r="Q164" s="234"/>
    </row>
    <row r="165" spans="1:31" ht="12.4" customHeight="1">
      <c r="B165" s="192" t="s">
        <v>1239</v>
      </c>
      <c r="C165" s="197" t="s">
        <v>929</v>
      </c>
      <c r="D165" s="197"/>
      <c r="E165" s="197"/>
      <c r="F165" s="197"/>
      <c r="G165" s="197"/>
      <c r="H165" s="197"/>
      <c r="I165" s="197"/>
      <c r="J165" s="197"/>
      <c r="K165" s="197"/>
      <c r="L165" s="197"/>
      <c r="M165" s="197"/>
      <c r="O165" s="221" t="s">
        <v>1239</v>
      </c>
      <c r="P165" s="1166" t="s">
        <v>3919</v>
      </c>
      <c r="Q165" s="234"/>
    </row>
    <row r="166" spans="1:31" ht="12.4" customHeight="1">
      <c r="B166" s="192" t="s">
        <v>3212</v>
      </c>
      <c r="C166" s="197" t="s">
        <v>930</v>
      </c>
      <c r="D166" s="197"/>
      <c r="E166" s="197"/>
      <c r="F166" s="197"/>
      <c r="G166" s="197"/>
      <c r="H166" s="197"/>
      <c r="I166" s="197"/>
      <c r="J166" s="197"/>
      <c r="K166" s="197"/>
      <c r="L166" s="197"/>
      <c r="M166" s="197"/>
      <c r="O166" s="221" t="s">
        <v>3212</v>
      </c>
      <c r="P166" s="1166" t="s">
        <v>3919</v>
      </c>
      <c r="Q166" s="234"/>
    </row>
    <row r="167" spans="1:31" ht="12.4" customHeight="1">
      <c r="B167" s="192" t="s">
        <v>2763</v>
      </c>
      <c r="C167" s="197" t="s">
        <v>3594</v>
      </c>
      <c r="D167" s="197"/>
      <c r="E167" s="197"/>
      <c r="F167" s="197"/>
      <c r="G167" s="197"/>
      <c r="H167" s="197"/>
      <c r="I167" s="197"/>
      <c r="J167" s="197"/>
      <c r="K167" s="197"/>
      <c r="L167" s="197"/>
      <c r="M167" s="197"/>
      <c r="O167" s="221" t="s">
        <v>2763</v>
      </c>
      <c r="P167" s="1166" t="s">
        <v>3919</v>
      </c>
      <c r="Q167" s="234"/>
    </row>
    <row r="168" spans="1:31" ht="12.4" customHeight="1">
      <c r="B168" s="191" t="s">
        <v>2921</v>
      </c>
      <c r="D168" s="191"/>
      <c r="E168" s="191"/>
      <c r="F168" s="191"/>
      <c r="G168" s="191"/>
      <c r="H168" s="50"/>
      <c r="I168" s="179"/>
      <c r="J168" s="179"/>
      <c r="K168" s="179"/>
      <c r="L168" s="740"/>
      <c r="M168" s="740"/>
      <c r="N168" s="740"/>
      <c r="O168" s="740"/>
      <c r="P168" s="740"/>
      <c r="Q168" s="63"/>
    </row>
    <row r="169" spans="1:31" ht="11.45" customHeight="1">
      <c r="A169" s="1152" t="s">
        <v>4027</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4" customHeight="1">
      <c r="B171" s="187" t="s">
        <v>2922</v>
      </c>
      <c r="C171" s="188"/>
      <c r="D171" s="742"/>
      <c r="E171" s="742"/>
      <c r="F171" s="742"/>
      <c r="G171" s="742"/>
      <c r="H171" s="742"/>
      <c r="I171" s="742"/>
      <c r="J171" s="742"/>
      <c r="K171" s="742"/>
      <c r="L171" s="742"/>
      <c r="M171" s="742"/>
      <c r="N171" s="742"/>
      <c r="O171" s="742"/>
      <c r="P171" s="742"/>
      <c r="Q171" s="742"/>
    </row>
    <row r="172" spans="1:31" ht="11.45" customHeight="1">
      <c r="A172" s="991"/>
      <c r="B172" s="992"/>
      <c r="C172" s="992"/>
      <c r="D172" s="992"/>
      <c r="E172" s="992"/>
      <c r="F172" s="992"/>
      <c r="G172" s="992"/>
      <c r="H172" s="992"/>
      <c r="I172" s="992"/>
      <c r="J172" s="992"/>
      <c r="K172" s="992"/>
      <c r="L172" s="992"/>
      <c r="M172" s="992"/>
      <c r="N172" s="992"/>
      <c r="O172" s="992"/>
      <c r="P172" s="992"/>
      <c r="Q172" s="993"/>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4" customHeight="1">
      <c r="A174" s="740"/>
      <c r="B174" s="179"/>
      <c r="C174" s="742"/>
      <c r="D174" s="742"/>
      <c r="E174" s="742"/>
      <c r="F174" s="742"/>
      <c r="G174" s="742"/>
      <c r="H174" s="742"/>
      <c r="I174" s="742"/>
      <c r="J174" s="742"/>
      <c r="K174" s="742"/>
      <c r="L174" s="742"/>
      <c r="M174" s="742"/>
      <c r="N174" s="742"/>
      <c r="O174" s="742"/>
      <c r="P174" s="742"/>
      <c r="Q174" s="740"/>
    </row>
    <row r="175" spans="1:31" ht="13.9" customHeight="1">
      <c r="A175" s="744">
        <v>10</v>
      </c>
      <c r="B175" s="744" t="s">
        <v>348</v>
      </c>
      <c r="C175" s="744"/>
      <c r="D175" s="742"/>
      <c r="E175" s="199"/>
      <c r="F175" s="199"/>
      <c r="G175" s="742"/>
      <c r="J175" s="1015"/>
      <c r="K175" s="1015"/>
      <c r="L175" s="1015"/>
      <c r="M175" s="1015"/>
      <c r="N175" s="1015"/>
      <c r="O175" s="180" t="s">
        <v>2923</v>
      </c>
      <c r="P175" s="989"/>
      <c r="Q175" s="990"/>
    </row>
    <row r="176" spans="1:31" ht="12.4" customHeight="1">
      <c r="A176" s="189"/>
      <c r="B176" s="57" t="s">
        <v>3060</v>
      </c>
      <c r="C176" s="1002" t="s">
        <v>110</v>
      </c>
      <c r="D176" s="1002"/>
      <c r="E176" s="1002"/>
      <c r="F176" s="1002"/>
      <c r="G176" s="1002"/>
      <c r="H176" s="83" t="s">
        <v>2765</v>
      </c>
      <c r="I176" s="65" t="s">
        <v>206</v>
      </c>
      <c r="J176" s="1224" t="s">
        <v>3944</v>
      </c>
      <c r="K176" s="1225"/>
      <c r="L176" s="1225"/>
      <c r="M176" s="1225"/>
      <c r="N176" s="1226"/>
      <c r="O176" s="83" t="s">
        <v>2765</v>
      </c>
      <c r="P176" s="1166" t="s">
        <v>3923</v>
      </c>
      <c r="Q176" s="234"/>
    </row>
    <row r="177" spans="1:31" ht="12.4" customHeight="1">
      <c r="A177" s="189"/>
      <c r="B177" s="179"/>
      <c r="C177" s="141"/>
      <c r="D177" s="141"/>
      <c r="E177" s="141"/>
      <c r="F177" s="141"/>
      <c r="H177" s="83" t="s">
        <v>2766</v>
      </c>
      <c r="I177" s="65" t="s">
        <v>2358</v>
      </c>
      <c r="J177" s="1224" t="s">
        <v>3925</v>
      </c>
      <c r="K177" s="1225"/>
      <c r="L177" s="1225"/>
      <c r="M177" s="1225"/>
      <c r="N177" s="1226"/>
      <c r="O177" s="83" t="s">
        <v>2766</v>
      </c>
      <c r="P177" s="1166" t="s">
        <v>3919</v>
      </c>
      <c r="Q177" s="234"/>
    </row>
    <row r="178" spans="1:31" ht="12.4" customHeight="1">
      <c r="B178" s="191" t="s">
        <v>2921</v>
      </c>
      <c r="D178" s="191"/>
      <c r="E178" s="191"/>
      <c r="F178" s="191"/>
      <c r="G178" s="191"/>
      <c r="J178" s="179"/>
      <c r="K178" s="179"/>
      <c r="L178" s="740"/>
      <c r="M178" s="740"/>
      <c r="N178" s="740"/>
      <c r="O178" s="740"/>
      <c r="P178" s="740"/>
      <c r="Q178" s="63"/>
    </row>
    <row r="179" spans="1:31" ht="11.45" customHeight="1">
      <c r="A179" s="1159" t="s">
        <v>4028</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4" customHeight="1">
      <c r="B180" s="187" t="s">
        <v>2922</v>
      </c>
      <c r="C180" s="188"/>
      <c r="D180" s="742"/>
      <c r="E180" s="742"/>
      <c r="F180" s="742"/>
      <c r="G180" s="742"/>
      <c r="H180" s="742"/>
      <c r="I180" s="742"/>
      <c r="J180" s="742"/>
      <c r="K180" s="742"/>
      <c r="L180" s="742"/>
      <c r="M180" s="742"/>
      <c r="N180" s="742"/>
      <c r="O180" s="742"/>
      <c r="P180" s="742"/>
      <c r="Q180" s="742"/>
    </row>
    <row r="181" spans="1:31" ht="11.45" customHeight="1">
      <c r="A181" s="998"/>
      <c r="B181" s="999"/>
      <c r="C181" s="999"/>
      <c r="D181" s="999"/>
      <c r="E181" s="999"/>
      <c r="F181" s="999"/>
      <c r="G181" s="999"/>
      <c r="H181" s="999"/>
      <c r="I181" s="999"/>
      <c r="J181" s="999"/>
      <c r="K181" s="999"/>
      <c r="L181" s="999"/>
      <c r="M181" s="999"/>
      <c r="N181" s="999"/>
      <c r="O181" s="999"/>
      <c r="P181" s="999"/>
      <c r="Q181" s="1000"/>
    </row>
    <row r="182" spans="1:31" ht="4.1500000000000004" customHeight="1">
      <c r="B182" s="179"/>
      <c r="C182" s="742"/>
      <c r="D182" s="742"/>
      <c r="E182" s="742"/>
      <c r="F182" s="742"/>
      <c r="G182" s="742"/>
      <c r="H182" s="742"/>
      <c r="I182" s="742"/>
      <c r="J182" s="742"/>
      <c r="K182" s="742"/>
      <c r="L182" s="742"/>
      <c r="M182" s="742"/>
      <c r="Q182" s="63"/>
    </row>
    <row r="183" spans="1:31" ht="13.9" customHeight="1">
      <c r="A183" s="744">
        <v>11</v>
      </c>
      <c r="B183" s="5" t="s">
        <v>3701</v>
      </c>
      <c r="C183" s="5"/>
      <c r="D183" s="118"/>
      <c r="E183" s="118"/>
      <c r="F183" s="118"/>
      <c r="G183" s="742"/>
      <c r="H183" s="742"/>
      <c r="I183" s="742"/>
      <c r="J183" s="742"/>
      <c r="K183" s="742"/>
      <c r="L183" s="742"/>
      <c r="M183" s="742"/>
      <c r="O183" s="180" t="s">
        <v>2923</v>
      </c>
      <c r="P183" s="989"/>
      <c r="Q183" s="990"/>
    </row>
    <row r="184" spans="1:31" ht="4.1500000000000004" customHeight="1"/>
    <row r="185" spans="1:31" ht="11.45" customHeight="1">
      <c r="B185" s="192" t="s">
        <v>3060</v>
      </c>
      <c r="C185" s="667" t="s">
        <v>2765</v>
      </c>
      <c r="D185" s="666" t="s">
        <v>802</v>
      </c>
      <c r="E185" s="666"/>
      <c r="F185" s="666"/>
      <c r="G185" s="666"/>
      <c r="H185" s="666"/>
      <c r="I185" s="666"/>
      <c r="J185" s="666"/>
      <c r="K185" s="666"/>
      <c r="L185" s="666"/>
      <c r="M185" s="666"/>
      <c r="N185" s="666"/>
      <c r="O185" s="221" t="s">
        <v>2231</v>
      </c>
      <c r="P185" s="1166" t="s">
        <v>3923</v>
      </c>
      <c r="Q185" s="234"/>
    </row>
    <row r="186" spans="1:31" ht="11.45" customHeight="1">
      <c r="B186" s="192"/>
      <c r="C186" s="667" t="s">
        <v>2766</v>
      </c>
      <c r="D186" s="666" t="s">
        <v>2201</v>
      </c>
      <c r="E186" s="666"/>
      <c r="F186" s="666"/>
      <c r="G186" s="666"/>
      <c r="H186" s="666"/>
      <c r="I186" s="666"/>
      <c r="J186" s="666"/>
      <c r="K186" s="666"/>
      <c r="L186" s="666"/>
      <c r="M186" s="666"/>
      <c r="N186" s="666"/>
      <c r="O186" s="221" t="s">
        <v>2766</v>
      </c>
      <c r="P186" s="1166"/>
      <c r="Q186" s="234"/>
    </row>
    <row r="187" spans="1:31" ht="11.45" customHeight="1">
      <c r="A187" s="189"/>
      <c r="B187" s="192" t="s">
        <v>3063</v>
      </c>
      <c r="C187" s="1002" t="s">
        <v>2903</v>
      </c>
      <c r="D187" s="1002"/>
      <c r="E187" s="1002"/>
      <c r="F187" s="1002"/>
      <c r="G187" s="1002"/>
      <c r="H187" s="83" t="s">
        <v>2765</v>
      </c>
      <c r="I187" s="65" t="s">
        <v>972</v>
      </c>
      <c r="J187" s="1224" t="s">
        <v>3925</v>
      </c>
      <c r="K187" s="1225"/>
      <c r="L187" s="1225"/>
      <c r="M187" s="1225"/>
      <c r="N187" s="1226"/>
      <c r="O187" s="83" t="s">
        <v>2171</v>
      </c>
      <c r="P187" s="1166" t="s">
        <v>3919</v>
      </c>
      <c r="Q187" s="234"/>
    </row>
    <row r="188" spans="1:31" ht="11.45" customHeight="1">
      <c r="A188" s="189"/>
      <c r="B188" s="748"/>
      <c r="C188" s="1002"/>
      <c r="D188" s="1002"/>
      <c r="E188" s="1002"/>
      <c r="F188" s="1002"/>
      <c r="G188" s="1002"/>
      <c r="H188" s="83" t="s">
        <v>2766</v>
      </c>
      <c r="I188" s="65" t="s">
        <v>131</v>
      </c>
      <c r="J188" s="1224" t="s">
        <v>3925</v>
      </c>
      <c r="K188" s="1225"/>
      <c r="L188" s="1225"/>
      <c r="M188" s="1225"/>
      <c r="N188" s="1226"/>
      <c r="O188" s="83" t="s">
        <v>2766</v>
      </c>
      <c r="P188" s="1166" t="s">
        <v>3919</v>
      </c>
      <c r="Q188" s="234"/>
    </row>
    <row r="189" spans="1:31" ht="11.25" customHeight="1">
      <c r="B189" s="191" t="s">
        <v>2921</v>
      </c>
      <c r="D189" s="191"/>
      <c r="E189" s="191"/>
      <c r="F189" s="191"/>
      <c r="G189" s="191"/>
      <c r="H189" s="50"/>
      <c r="I189" s="179"/>
      <c r="J189" s="179"/>
      <c r="K189" s="179"/>
      <c r="L189" s="740"/>
      <c r="M189" s="740"/>
      <c r="N189" s="740"/>
      <c r="O189" s="740"/>
      <c r="P189" s="740"/>
      <c r="Q189" s="63"/>
    </row>
    <row r="190" spans="1:31" ht="11.45" customHeight="1">
      <c r="A190" s="1159" t="s">
        <v>4029</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2922</v>
      </c>
      <c r="C191" s="188"/>
      <c r="D191" s="742"/>
      <c r="E191" s="742"/>
      <c r="F191" s="742"/>
      <c r="G191" s="742"/>
      <c r="H191" s="742"/>
      <c r="I191" s="742"/>
      <c r="J191" s="742"/>
      <c r="K191" s="742"/>
      <c r="L191" s="742"/>
      <c r="M191" s="742"/>
      <c r="N191" s="742"/>
      <c r="O191" s="742"/>
      <c r="P191" s="742"/>
      <c r="Q191" s="742"/>
    </row>
    <row r="192" spans="1:31" ht="11.45" customHeight="1">
      <c r="A192" s="998"/>
      <c r="B192" s="999"/>
      <c r="C192" s="999"/>
      <c r="D192" s="999"/>
      <c r="E192" s="999"/>
      <c r="F192" s="999"/>
      <c r="G192" s="999"/>
      <c r="H192" s="999"/>
      <c r="I192" s="999"/>
      <c r="J192" s="999"/>
      <c r="K192" s="999"/>
      <c r="L192" s="999"/>
      <c r="M192" s="999"/>
      <c r="N192" s="999"/>
      <c r="O192" s="999"/>
      <c r="P192" s="999"/>
      <c r="Q192" s="1000"/>
    </row>
    <row r="193" spans="1:31" ht="3.4" customHeight="1">
      <c r="A193" s="740"/>
      <c r="B193" s="179"/>
      <c r="C193" s="742"/>
      <c r="D193" s="742"/>
      <c r="E193" s="742"/>
      <c r="F193" s="742"/>
      <c r="G193" s="742"/>
      <c r="H193" s="742"/>
      <c r="I193" s="742"/>
      <c r="J193" s="742"/>
      <c r="K193" s="742"/>
      <c r="L193" s="742"/>
      <c r="M193" s="742"/>
      <c r="Q193" s="740"/>
    </row>
    <row r="194" spans="1:31" ht="13.9" customHeight="1">
      <c r="A194" s="744">
        <v>12</v>
      </c>
      <c r="B194" s="5" t="s">
        <v>192</v>
      </c>
      <c r="C194" s="5"/>
      <c r="D194" s="118"/>
      <c r="E194" s="118"/>
      <c r="F194" s="118"/>
      <c r="G194" s="118"/>
      <c r="H194" s="742"/>
      <c r="I194" s="742"/>
      <c r="J194" s="742"/>
      <c r="K194" s="742"/>
      <c r="L194" s="742"/>
      <c r="M194" s="742"/>
      <c r="O194" s="180" t="s">
        <v>2923</v>
      </c>
      <c r="P194" s="989"/>
      <c r="Q194" s="990"/>
    </row>
    <row r="195" spans="1:31" ht="10.9" customHeight="1">
      <c r="B195" s="195" t="s">
        <v>193</v>
      </c>
    </row>
    <row r="196" spans="1:31" ht="11.45" customHeight="1">
      <c r="B196" s="57" t="s">
        <v>3060</v>
      </c>
      <c r="C196" s="65" t="s">
        <v>197</v>
      </c>
      <c r="D196" s="52"/>
      <c r="E196" s="65"/>
      <c r="F196" s="65"/>
      <c r="G196" s="65"/>
      <c r="H196" s="65"/>
      <c r="I196" s="52"/>
      <c r="J196" s="52"/>
      <c r="K196" s="52"/>
      <c r="L196" s="197"/>
      <c r="M196" s="197"/>
      <c r="O196" s="221" t="s">
        <v>3060</v>
      </c>
      <c r="P196" s="1166" t="s">
        <v>3919</v>
      </c>
      <c r="Q196" s="234"/>
    </row>
    <row r="197" spans="1:31" ht="11.45" customHeight="1">
      <c r="B197" s="57" t="s">
        <v>3063</v>
      </c>
      <c r="C197" s="65" t="s">
        <v>194</v>
      </c>
      <c r="D197" s="65"/>
      <c r="E197" s="65"/>
      <c r="F197" s="65"/>
      <c r="G197" s="65"/>
      <c r="H197" s="65"/>
      <c r="I197" s="52"/>
      <c r="J197" s="52"/>
      <c r="K197" s="52"/>
      <c r="L197" s="190"/>
      <c r="M197" s="190"/>
      <c r="O197" s="221" t="s">
        <v>3063</v>
      </c>
      <c r="P197" s="1166" t="s">
        <v>3919</v>
      </c>
      <c r="Q197" s="234"/>
    </row>
    <row r="198" spans="1:31" s="200" customFormat="1" ht="11.45" customHeight="1">
      <c r="B198" s="57" t="s">
        <v>1239</v>
      </c>
      <c r="C198" s="65" t="s">
        <v>195</v>
      </c>
      <c r="D198" s="65"/>
      <c r="E198" s="65"/>
      <c r="F198" s="65"/>
      <c r="G198" s="65"/>
      <c r="H198" s="65"/>
      <c r="I198" s="129"/>
      <c r="J198" s="129"/>
      <c r="K198" s="129"/>
      <c r="L198" s="197"/>
      <c r="M198" s="197"/>
      <c r="N198" s="45"/>
      <c r="O198" s="221" t="s">
        <v>1239</v>
      </c>
      <c r="P198" s="1166" t="s">
        <v>3919</v>
      </c>
      <c r="Q198" s="234"/>
    </row>
    <row r="199" spans="1:31" s="200" customFormat="1" ht="11.45" customHeight="1">
      <c r="B199" s="57" t="s">
        <v>3212</v>
      </c>
      <c r="C199" s="65" t="s">
        <v>196</v>
      </c>
      <c r="D199" s="65"/>
      <c r="E199" s="65"/>
      <c r="F199" s="65"/>
      <c r="G199" s="65"/>
      <c r="H199" s="65"/>
      <c r="I199" s="129"/>
      <c r="J199" s="129"/>
      <c r="K199" s="129"/>
      <c r="L199" s="129"/>
      <c r="M199" s="129"/>
      <c r="O199" s="62" t="s">
        <v>3212</v>
      </c>
      <c r="P199" s="1166" t="s">
        <v>3919</v>
      </c>
      <c r="Q199" s="234"/>
    </row>
    <row r="200" spans="1:31" ht="11.25" customHeight="1">
      <c r="B200" s="191" t="s">
        <v>2921</v>
      </c>
      <c r="D200" s="191"/>
      <c r="E200" s="191"/>
      <c r="F200" s="191"/>
      <c r="G200" s="191"/>
      <c r="H200" s="50"/>
      <c r="I200" s="179"/>
      <c r="J200" s="179"/>
      <c r="K200" s="179"/>
      <c r="L200" s="740"/>
      <c r="M200" s="740"/>
      <c r="N200" s="740"/>
      <c r="O200" s="740"/>
      <c r="P200" s="740"/>
      <c r="Q200" s="63"/>
    </row>
    <row r="201" spans="1:31" ht="32.25" customHeight="1">
      <c r="A201" s="1152" t="s">
        <v>4030</v>
      </c>
      <c r="B201" s="1153"/>
      <c r="C201" s="1153"/>
      <c r="D201" s="1153"/>
      <c r="E201" s="1153"/>
      <c r="F201" s="1153"/>
      <c r="G201" s="1153"/>
      <c r="H201" s="1153"/>
      <c r="I201" s="1153"/>
      <c r="J201" s="1153"/>
      <c r="K201" s="1153"/>
      <c r="L201" s="1153"/>
      <c r="M201" s="1153"/>
      <c r="N201" s="1153"/>
      <c r="O201" s="1153"/>
      <c r="P201" s="1153"/>
      <c r="Q201" s="1154"/>
      <c r="R201" s="1029" t="s">
        <v>1933</v>
      </c>
      <c r="S201" s="1029"/>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1029"/>
      <c r="S202" s="1029"/>
    </row>
    <row r="203" spans="1:31" s="31" customFormat="1" ht="3.4" customHeight="1">
      <c r="C203" s="134"/>
      <c r="D203" s="134"/>
      <c r="R203" s="1029"/>
      <c r="S203" s="1029"/>
    </row>
    <row r="204" spans="1:31" ht="11.25" customHeight="1">
      <c r="B204" s="187" t="s">
        <v>2922</v>
      </c>
      <c r="C204" s="188"/>
      <c r="D204" s="742"/>
      <c r="E204" s="742"/>
      <c r="F204" s="742"/>
      <c r="G204" s="742"/>
      <c r="H204" s="742"/>
      <c r="I204" s="742"/>
      <c r="J204" s="742"/>
      <c r="K204" s="742"/>
      <c r="L204" s="742"/>
      <c r="M204" s="742"/>
      <c r="N204" s="742"/>
      <c r="O204" s="742"/>
      <c r="P204" s="742"/>
      <c r="Q204" s="742"/>
    </row>
    <row r="205" spans="1:31" ht="13.15" customHeight="1">
      <c r="A205" s="991"/>
      <c r="B205" s="992"/>
      <c r="C205" s="992"/>
      <c r="D205" s="992"/>
      <c r="E205" s="992"/>
      <c r="F205" s="992"/>
      <c r="G205" s="992"/>
      <c r="H205" s="992"/>
      <c r="I205" s="992"/>
      <c r="J205" s="992"/>
      <c r="K205" s="992"/>
      <c r="L205" s="992"/>
      <c r="M205" s="992"/>
      <c r="N205" s="992"/>
      <c r="O205" s="992"/>
      <c r="P205" s="992"/>
      <c r="Q205" s="993"/>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4" customHeight="1">
      <c r="A207" s="740"/>
      <c r="B207" s="179"/>
      <c r="C207" s="742"/>
      <c r="D207" s="742"/>
      <c r="E207" s="742"/>
      <c r="F207" s="742"/>
      <c r="G207" s="742"/>
      <c r="H207" s="742"/>
      <c r="I207" s="742"/>
      <c r="J207" s="742"/>
      <c r="K207" s="742"/>
      <c r="L207" s="742"/>
      <c r="M207" s="742"/>
      <c r="Q207" s="740"/>
    </row>
    <row r="208" spans="1:31" ht="13.9" customHeight="1">
      <c r="A208" s="744">
        <v>13</v>
      </c>
      <c r="B208" s="744" t="s">
        <v>681</v>
      </c>
      <c r="C208" s="153"/>
      <c r="D208" s="742"/>
      <c r="E208" s="742"/>
      <c r="F208" s="742"/>
      <c r="G208" s="742"/>
      <c r="H208" s="742"/>
      <c r="I208" s="742"/>
      <c r="J208" s="742"/>
      <c r="K208" s="742"/>
      <c r="L208" s="742"/>
      <c r="M208" s="742"/>
      <c r="O208" s="180" t="s">
        <v>2923</v>
      </c>
      <c r="P208" s="989"/>
      <c r="Q208" s="990"/>
    </row>
    <row r="209" spans="1:19" s="31" customFormat="1" ht="11.45" customHeight="1">
      <c r="B209" s="195" t="s">
        <v>1839</v>
      </c>
      <c r="N209" s="165"/>
      <c r="P209" s="1166" t="s">
        <v>3923</v>
      </c>
      <c r="Q209" s="234"/>
    </row>
    <row r="210" spans="1:19" ht="12.4" customHeight="1">
      <c r="B210" s="57" t="s">
        <v>3060</v>
      </c>
      <c r="C210" s="118" t="s">
        <v>2087</v>
      </c>
      <c r="D210" s="52"/>
      <c r="E210" s="52"/>
      <c r="F210" s="52"/>
      <c r="G210" s="52"/>
      <c r="H210" s="52"/>
      <c r="I210" s="52"/>
      <c r="J210" s="52"/>
      <c r="K210" s="52"/>
      <c r="L210" s="52"/>
      <c r="M210" s="52"/>
    </row>
    <row r="211" spans="1:19" ht="11.45" customHeight="1">
      <c r="B211" s="57"/>
      <c r="C211" s="83" t="s">
        <v>2765</v>
      </c>
      <c r="D211" s="65" t="s">
        <v>3003</v>
      </c>
      <c r="E211" s="65"/>
      <c r="F211" s="65"/>
      <c r="G211" s="65"/>
      <c r="H211" s="65"/>
      <c r="I211" s="52"/>
      <c r="J211" s="52"/>
      <c r="K211" s="52"/>
      <c r="L211" s="83" t="s">
        <v>2231</v>
      </c>
      <c r="M211" s="1224" t="s">
        <v>3945</v>
      </c>
      <c r="N211" s="1225"/>
      <c r="O211" s="1226"/>
      <c r="P211" s="1166" t="s">
        <v>3942</v>
      </c>
      <c r="Q211" s="234"/>
    </row>
    <row r="212" spans="1:19" ht="11.45" customHeight="1">
      <c r="B212" s="57"/>
      <c r="C212" s="83" t="s">
        <v>2766</v>
      </c>
      <c r="D212" s="40" t="s">
        <v>198</v>
      </c>
      <c r="E212" s="40"/>
      <c r="F212" s="40"/>
      <c r="G212" s="40"/>
      <c r="H212" s="40"/>
      <c r="I212" s="52"/>
      <c r="J212" s="52"/>
      <c r="K212" s="52"/>
      <c r="L212" s="83" t="s">
        <v>2232</v>
      </c>
      <c r="M212" s="1224" t="s">
        <v>3947</v>
      </c>
      <c r="N212" s="1225"/>
      <c r="O212" s="1226"/>
      <c r="P212" s="1166" t="s">
        <v>3942</v>
      </c>
      <c r="Q212" s="234"/>
    </row>
    <row r="213" spans="1:19" ht="11.45" customHeight="1">
      <c r="B213" s="57"/>
      <c r="C213" s="83" t="s">
        <v>2767</v>
      </c>
      <c r="D213" s="40" t="s">
        <v>856</v>
      </c>
      <c r="E213" s="40"/>
      <c r="F213" s="40"/>
      <c r="G213" s="40"/>
      <c r="H213" s="40"/>
      <c r="I213" s="52"/>
      <c r="J213" s="52"/>
      <c r="K213" s="52"/>
      <c r="L213" s="83" t="s">
        <v>2233</v>
      </c>
      <c r="M213" s="1245" t="s">
        <v>3946</v>
      </c>
      <c r="N213" s="1246"/>
      <c r="O213" s="1247"/>
      <c r="P213" s="1166" t="s">
        <v>3942</v>
      </c>
      <c r="Q213" s="234"/>
      <c r="R213" s="52"/>
      <c r="S213" s="52"/>
    </row>
    <row r="214" spans="1:19" ht="3.4" customHeight="1">
      <c r="B214" s="57"/>
      <c r="C214" s="83"/>
      <c r="D214" s="65"/>
      <c r="E214" s="65"/>
      <c r="F214" s="65"/>
      <c r="G214" s="65"/>
      <c r="H214" s="65"/>
      <c r="I214" s="52"/>
      <c r="J214" s="42"/>
      <c r="K214" s="52"/>
      <c r="L214" s="42"/>
      <c r="M214" s="42"/>
    </row>
    <row r="215" spans="1:19" ht="12.4" customHeight="1">
      <c r="B215" s="57" t="s">
        <v>3063</v>
      </c>
      <c r="C215" s="299" t="s">
        <v>3792</v>
      </c>
      <c r="D215" s="65"/>
      <c r="E215" s="65"/>
      <c r="F215" s="65"/>
      <c r="G215" s="65"/>
      <c r="H215" s="65"/>
      <c r="I215" s="65"/>
      <c r="J215" s="65"/>
      <c r="K215" s="52"/>
      <c r="L215" s="52"/>
      <c r="M215" s="52"/>
      <c r="N215" s="52"/>
      <c r="O215" s="62" t="s">
        <v>3063</v>
      </c>
      <c r="P215" s="1166" t="s">
        <v>3942</v>
      </c>
      <c r="Q215" s="234"/>
    </row>
    <row r="216" spans="1:19" ht="10.9" customHeight="1">
      <c r="B216" s="57"/>
      <c r="C216" s="65" t="s">
        <v>3791</v>
      </c>
      <c r="D216" s="65"/>
      <c r="E216" s="65"/>
      <c r="F216" s="65"/>
      <c r="G216" s="65"/>
      <c r="H216" s="65"/>
      <c r="I216" s="65"/>
      <c r="J216" s="65"/>
      <c r="K216" s="52"/>
      <c r="L216" s="52"/>
      <c r="M216" s="52"/>
      <c r="N216" s="52"/>
      <c r="O216" s="52"/>
      <c r="P216" s="994" t="s">
        <v>4</v>
      </c>
      <c r="Q216" s="994"/>
    </row>
    <row r="217" spans="1:19" ht="10.9" customHeight="1">
      <c r="B217" s="57"/>
      <c r="D217" s="65" t="s">
        <v>3</v>
      </c>
      <c r="E217" s="65"/>
      <c r="F217" s="65"/>
      <c r="G217" s="65"/>
      <c r="I217" s="453" t="s">
        <v>1350</v>
      </c>
      <c r="J217" s="454" t="s">
        <v>1351</v>
      </c>
      <c r="L217" s="65" t="s">
        <v>3</v>
      </c>
      <c r="M217" s="52"/>
      <c r="N217" s="52"/>
      <c r="O217" s="453"/>
      <c r="P217" s="455" t="s">
        <v>1350</v>
      </c>
      <c r="Q217" s="454" t="s">
        <v>1351</v>
      </c>
    </row>
    <row r="218" spans="1:19" s="53" customFormat="1" ht="11.45" customHeight="1">
      <c r="A218" s="129"/>
      <c r="B218" s="64"/>
      <c r="C218" s="83" t="s">
        <v>2765</v>
      </c>
      <c r="D218" s="1152" t="s">
        <v>3201</v>
      </c>
      <c r="E218" s="1153"/>
      <c r="F218" s="1153"/>
      <c r="G218" s="1153"/>
      <c r="H218" s="1154"/>
      <c r="I218" s="456"/>
      <c r="J218" s="294"/>
      <c r="K218" s="83" t="s">
        <v>2767</v>
      </c>
      <c r="L218" s="1152"/>
      <c r="M218" s="1153"/>
      <c r="N218" s="1153"/>
      <c r="O218" s="1154"/>
      <c r="P218" s="354"/>
      <c r="Q218" s="294"/>
    </row>
    <row r="219" spans="1:19" s="53" customFormat="1" ht="11.45" customHeight="1">
      <c r="A219" s="129"/>
      <c r="B219" s="64"/>
      <c r="C219" s="83" t="s">
        <v>2766</v>
      </c>
      <c r="D219" s="1155" t="s">
        <v>4031</v>
      </c>
      <c r="E219" s="1156"/>
      <c r="F219" s="1156"/>
      <c r="G219" s="1156"/>
      <c r="H219" s="1157"/>
      <c r="I219" s="689"/>
      <c r="J219" s="295"/>
      <c r="K219" s="83" t="s">
        <v>3571</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4" customHeight="1">
      <c r="B221" s="57" t="s">
        <v>1239</v>
      </c>
      <c r="C221" s="299" t="s">
        <v>2088</v>
      </c>
      <c r="D221" s="65"/>
      <c r="E221" s="65"/>
      <c r="F221" s="65"/>
      <c r="G221" s="65"/>
      <c r="H221" s="65"/>
      <c r="I221" s="65"/>
      <c r="J221" s="65"/>
      <c r="K221" s="52"/>
      <c r="L221" s="65"/>
      <c r="M221" s="65"/>
      <c r="O221" s="62" t="s">
        <v>1239</v>
      </c>
      <c r="P221" s="1166" t="s">
        <v>3942</v>
      </c>
      <c r="Q221" s="234"/>
    </row>
    <row r="222" spans="1:19" ht="11.45" customHeight="1">
      <c r="B222" s="57"/>
      <c r="C222" s="83" t="s">
        <v>2765</v>
      </c>
      <c r="D222" s="65" t="s">
        <v>207</v>
      </c>
      <c r="E222" s="65"/>
      <c r="F222" s="65"/>
      <c r="G222" s="65"/>
      <c r="H222" s="65"/>
      <c r="I222" s="52"/>
      <c r="J222" s="42"/>
      <c r="K222" s="52"/>
      <c r="L222" s="42"/>
      <c r="M222" s="42"/>
      <c r="O222" s="83" t="s">
        <v>2765</v>
      </c>
      <c r="P222" s="1166" t="s">
        <v>3919</v>
      </c>
      <c r="Q222" s="234"/>
    </row>
    <row r="223" spans="1:19" ht="11.45" customHeight="1">
      <c r="C223" s="83" t="s">
        <v>2766</v>
      </c>
      <c r="D223" s="40" t="s">
        <v>2648</v>
      </c>
      <c r="E223" s="40"/>
      <c r="F223" s="40"/>
      <c r="G223" s="40"/>
      <c r="H223" s="40"/>
      <c r="I223" s="52"/>
      <c r="J223" s="42"/>
      <c r="K223" s="52"/>
      <c r="L223" s="42"/>
      <c r="M223" s="42"/>
      <c r="O223" s="83" t="s">
        <v>2766</v>
      </c>
      <c r="P223" s="1166" t="s">
        <v>3919</v>
      </c>
      <c r="Q223" s="234"/>
    </row>
    <row r="224" spans="1:19" ht="11.45" customHeight="1">
      <c r="C224" s="83" t="s">
        <v>2767</v>
      </c>
      <c r="D224" s="40" t="s">
        <v>2257</v>
      </c>
      <c r="E224" s="40"/>
      <c r="F224" s="40"/>
      <c r="G224" s="40"/>
      <c r="H224" s="40"/>
      <c r="I224" s="52"/>
      <c r="J224" s="42"/>
      <c r="K224" s="52"/>
      <c r="L224" s="42"/>
      <c r="M224" s="42"/>
      <c r="O224" s="83" t="s">
        <v>2767</v>
      </c>
      <c r="P224" s="1166" t="s">
        <v>3919</v>
      </c>
      <c r="Q224" s="234"/>
    </row>
    <row r="225" spans="1:31" ht="11.45" customHeight="1">
      <c r="B225" s="57"/>
      <c r="C225" s="83" t="s">
        <v>3571</v>
      </c>
      <c r="D225" s="40" t="s">
        <v>208</v>
      </c>
      <c r="E225" s="40"/>
      <c r="F225" s="40"/>
      <c r="G225" s="40"/>
      <c r="H225" s="40"/>
      <c r="I225" s="52"/>
      <c r="J225" s="42"/>
      <c r="K225" s="52"/>
      <c r="L225" s="42"/>
      <c r="M225" s="42"/>
      <c r="O225" s="83" t="s">
        <v>3571</v>
      </c>
      <c r="P225" s="1166" t="s">
        <v>3919</v>
      </c>
      <c r="Q225" s="234"/>
    </row>
    <row r="226" spans="1:31" ht="11.45" customHeight="1">
      <c r="B226" s="57"/>
      <c r="C226" s="83" t="s">
        <v>2304</v>
      </c>
      <c r="D226" s="65" t="s">
        <v>1352</v>
      </c>
      <c r="E226" s="65"/>
      <c r="F226" s="65"/>
      <c r="G226" s="65"/>
      <c r="H226" s="65"/>
      <c r="I226" s="52"/>
      <c r="J226" s="42"/>
      <c r="K226" s="52"/>
      <c r="L226" s="42"/>
      <c r="M226" s="42"/>
      <c r="O226" s="83" t="s">
        <v>1353</v>
      </c>
      <c r="P226" s="1166" t="s">
        <v>3919</v>
      </c>
      <c r="Q226" s="234"/>
    </row>
    <row r="227" spans="1:31" ht="11.45" customHeight="1">
      <c r="B227" s="57"/>
      <c r="C227" s="83"/>
      <c r="D227" s="65" t="s">
        <v>2234</v>
      </c>
      <c r="E227" s="65"/>
      <c r="F227" s="65"/>
      <c r="G227" s="65"/>
      <c r="H227" s="65"/>
      <c r="I227" s="52"/>
      <c r="J227" s="42"/>
      <c r="K227" s="52"/>
      <c r="L227" s="42"/>
      <c r="M227" s="42"/>
      <c r="O227" s="83" t="s">
        <v>1354</v>
      </c>
      <c r="P227" s="1166" t="s">
        <v>3923</v>
      </c>
      <c r="Q227" s="234"/>
    </row>
    <row r="228" spans="1:31" ht="3.4" customHeight="1">
      <c r="B228" s="57"/>
      <c r="C228" s="83"/>
      <c r="D228" s="65"/>
      <c r="E228" s="65"/>
      <c r="F228" s="65"/>
      <c r="G228" s="65"/>
      <c r="H228" s="65"/>
      <c r="I228" s="52"/>
      <c r="J228" s="42"/>
      <c r="K228" s="52"/>
      <c r="L228" s="42"/>
      <c r="M228" s="42"/>
    </row>
    <row r="229" spans="1:31" ht="12.4" customHeight="1">
      <c r="B229" s="57" t="s">
        <v>3212</v>
      </c>
      <c r="C229" s="299" t="s">
        <v>2345</v>
      </c>
      <c r="D229" s="65"/>
      <c r="E229" s="65"/>
      <c r="F229" s="65"/>
      <c r="G229" s="65"/>
      <c r="H229" s="65"/>
      <c r="I229" s="65"/>
      <c r="J229" s="65"/>
      <c r="K229" s="52"/>
      <c r="L229" s="65"/>
      <c r="M229" s="65"/>
      <c r="O229" s="62" t="s">
        <v>3212</v>
      </c>
      <c r="P229" s="1166"/>
      <c r="Q229" s="234"/>
    </row>
    <row r="230" spans="1:31" ht="11.45" customHeight="1">
      <c r="B230" s="57"/>
      <c r="C230" s="83" t="s">
        <v>2765</v>
      </c>
      <c r="D230" s="49" t="s">
        <v>1934</v>
      </c>
      <c r="E230" s="52"/>
      <c r="F230" s="52"/>
      <c r="G230" s="49"/>
      <c r="H230" s="40"/>
      <c r="I230" s="52"/>
      <c r="J230" s="40"/>
      <c r="K230" s="52"/>
      <c r="L230" s="40"/>
      <c r="M230" s="40"/>
      <c r="O230" s="83" t="s">
        <v>2765</v>
      </c>
      <c r="P230" s="1166"/>
      <c r="Q230" s="234"/>
    </row>
    <row r="231" spans="1:31" ht="11.45" customHeight="1">
      <c r="B231" s="57"/>
      <c r="C231" s="83" t="s">
        <v>2766</v>
      </c>
      <c r="D231" s="49" t="s">
        <v>199</v>
      </c>
      <c r="E231" s="52"/>
      <c r="F231" s="52"/>
      <c r="G231" s="40"/>
      <c r="H231" s="40"/>
      <c r="I231" s="52"/>
      <c r="J231" s="40"/>
      <c r="K231" s="52"/>
      <c r="L231" s="40"/>
      <c r="M231" s="40"/>
      <c r="O231" s="83" t="s">
        <v>2766</v>
      </c>
      <c r="P231" s="1166"/>
      <c r="Q231" s="234"/>
    </row>
    <row r="232" spans="1:31" ht="11.45" customHeight="1">
      <c r="B232" s="57"/>
      <c r="C232" s="83" t="s">
        <v>2767</v>
      </c>
      <c r="D232" s="40" t="s">
        <v>2626</v>
      </c>
      <c r="E232" s="52"/>
      <c r="F232" s="52"/>
      <c r="G232" s="40"/>
      <c r="H232" s="40"/>
      <c r="I232" s="52"/>
      <c r="J232" s="40"/>
      <c r="K232" s="52"/>
      <c r="L232" s="40"/>
      <c r="M232" s="40"/>
      <c r="O232" s="83" t="s">
        <v>3581</v>
      </c>
      <c r="P232" s="1166"/>
      <c r="Q232" s="234"/>
    </row>
    <row r="233" spans="1:31" ht="11.45" customHeight="1">
      <c r="B233" s="46"/>
      <c r="C233" s="52"/>
      <c r="D233" s="40" t="s">
        <v>1985</v>
      </c>
      <c r="E233" s="52"/>
      <c r="F233" s="52"/>
      <c r="G233" s="40"/>
      <c r="H233" s="40"/>
      <c r="I233" s="52"/>
      <c r="J233" s="40"/>
      <c r="K233" s="52"/>
      <c r="L233" s="40"/>
      <c r="M233" s="40"/>
      <c r="O233" s="83" t="s">
        <v>3582</v>
      </c>
      <c r="P233" s="1166"/>
      <c r="Q233" s="234"/>
    </row>
    <row r="234" spans="1:31" ht="11.25" customHeight="1">
      <c r="B234" s="191" t="s">
        <v>2921</v>
      </c>
      <c r="D234" s="191"/>
      <c r="E234" s="191"/>
      <c r="F234" s="191"/>
      <c r="G234" s="191"/>
      <c r="H234" s="50"/>
      <c r="I234" s="179"/>
      <c r="J234" s="179"/>
      <c r="K234" s="179"/>
      <c r="L234" s="740"/>
      <c r="M234" s="740"/>
      <c r="N234" s="740"/>
      <c r="O234" s="740"/>
      <c r="P234" s="740"/>
      <c r="Q234" s="63"/>
    </row>
    <row r="235" spans="1:31" ht="11.45" customHeight="1">
      <c r="A235" s="1152" t="s">
        <v>4032</v>
      </c>
      <c r="B235" s="1153"/>
      <c r="C235" s="1153"/>
      <c r="D235" s="1153"/>
      <c r="E235" s="1153"/>
      <c r="F235" s="1153"/>
      <c r="G235" s="1153"/>
      <c r="H235" s="1153"/>
      <c r="I235" s="1153"/>
      <c r="J235" s="1153"/>
      <c r="K235" s="1153"/>
      <c r="L235" s="1153"/>
      <c r="M235" s="1153"/>
      <c r="N235" s="1153"/>
      <c r="O235" s="1153"/>
      <c r="P235" s="1153"/>
      <c r="Q235" s="1154"/>
      <c r="R235" s="1029" t="s">
        <v>1933</v>
      </c>
      <c r="S235" s="1029"/>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1029"/>
      <c r="S236" s="1029"/>
    </row>
    <row r="237" spans="1:31" ht="11.25" customHeight="1">
      <c r="B237" s="187" t="s">
        <v>2922</v>
      </c>
      <c r="C237" s="188"/>
      <c r="D237" s="742"/>
      <c r="E237" s="742"/>
      <c r="F237" s="742"/>
      <c r="G237" s="742"/>
      <c r="H237" s="742"/>
      <c r="I237" s="742"/>
      <c r="J237" s="742"/>
      <c r="K237" s="742"/>
      <c r="L237" s="742"/>
      <c r="M237" s="742"/>
      <c r="N237" s="742"/>
      <c r="O237" s="742"/>
      <c r="P237" s="742"/>
      <c r="Q237" s="742"/>
    </row>
    <row r="238" spans="1:31" ht="13.15" customHeight="1">
      <c r="A238" s="991"/>
      <c r="B238" s="992"/>
      <c r="C238" s="992"/>
      <c r="D238" s="992"/>
      <c r="E238" s="992"/>
      <c r="F238" s="992"/>
      <c r="G238" s="992"/>
      <c r="H238" s="992"/>
      <c r="I238" s="992"/>
      <c r="J238" s="992"/>
      <c r="K238" s="992"/>
      <c r="L238" s="992"/>
      <c r="M238" s="992"/>
      <c r="N238" s="992"/>
      <c r="O238" s="992"/>
      <c r="P238" s="992"/>
      <c r="Q238" s="993"/>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4" customHeight="1">
      <c r="A240" s="740"/>
      <c r="B240" s="179"/>
      <c r="C240" s="742"/>
      <c r="D240" s="742"/>
      <c r="E240" s="742"/>
      <c r="F240" s="742"/>
      <c r="G240" s="742"/>
      <c r="H240" s="742"/>
      <c r="I240" s="742"/>
      <c r="J240" s="742"/>
      <c r="K240" s="742"/>
      <c r="L240" s="742"/>
      <c r="M240" s="742"/>
      <c r="Q240" s="740"/>
    </row>
    <row r="241" spans="1:31" ht="13.9" customHeight="1">
      <c r="A241" s="744">
        <v>14</v>
      </c>
      <c r="B241" s="5" t="s">
        <v>3121</v>
      </c>
      <c r="C241" s="5"/>
      <c r="D241" s="118"/>
      <c r="E241" s="118"/>
      <c r="F241" s="118"/>
      <c r="G241" s="118"/>
      <c r="H241" s="742"/>
      <c r="I241" s="742"/>
      <c r="J241" s="742"/>
      <c r="K241" s="742"/>
      <c r="L241" s="742"/>
      <c r="M241" s="742"/>
      <c r="O241" s="180" t="s">
        <v>2923</v>
      </c>
      <c r="P241" s="989"/>
      <c r="Q241" s="990"/>
    </row>
    <row r="242" spans="1:31" ht="4.9000000000000004" customHeight="1"/>
    <row r="243" spans="1:31" ht="11.45" customHeight="1">
      <c r="B243" s="57" t="s">
        <v>3060</v>
      </c>
      <c r="C243" s="65" t="s">
        <v>1953</v>
      </c>
      <c r="D243" s="52"/>
      <c r="E243" s="65"/>
      <c r="F243" s="65"/>
      <c r="G243" s="65"/>
      <c r="H243" s="65"/>
      <c r="I243" s="52"/>
      <c r="J243" s="52"/>
      <c r="K243" s="52"/>
      <c r="L243" s="62" t="s">
        <v>3060</v>
      </c>
      <c r="M243" s="1224" t="s">
        <v>2801</v>
      </c>
      <c r="N243" s="1225"/>
      <c r="O243" s="1226"/>
      <c r="P243" s="1035" t="s">
        <v>2801</v>
      </c>
      <c r="Q243" s="1036"/>
    </row>
    <row r="244" spans="1:31" ht="11.45" customHeight="1">
      <c r="B244" s="57" t="s">
        <v>3063</v>
      </c>
      <c r="C244" s="65" t="s">
        <v>1922</v>
      </c>
      <c r="D244" s="65"/>
      <c r="E244" s="65"/>
      <c r="F244" s="65"/>
      <c r="G244" s="65"/>
      <c r="H244" s="65"/>
      <c r="I244" s="52"/>
      <c r="J244" s="52"/>
      <c r="K244" s="52"/>
      <c r="L244" s="62" t="s">
        <v>3063</v>
      </c>
      <c r="M244" s="1248"/>
      <c r="N244" s="1249"/>
      <c r="O244" s="1250"/>
      <c r="P244" s="1037"/>
      <c r="Q244" s="1038"/>
    </row>
    <row r="245" spans="1:31" s="200" customFormat="1" ht="11.45" customHeight="1">
      <c r="B245" s="57" t="s">
        <v>1239</v>
      </c>
      <c r="C245" s="65" t="s">
        <v>3017</v>
      </c>
      <c r="D245" s="65"/>
      <c r="E245" s="65"/>
      <c r="F245" s="65"/>
      <c r="G245" s="65"/>
      <c r="H245" s="65"/>
      <c r="I245" s="129"/>
      <c r="J245" s="129"/>
      <c r="K245" s="129"/>
      <c r="L245" s="62" t="s">
        <v>1239</v>
      </c>
      <c r="M245" s="1224"/>
      <c r="N245" s="1225"/>
      <c r="O245" s="1226"/>
      <c r="P245" s="1035"/>
      <c r="Q245" s="1036"/>
    </row>
    <row r="246" spans="1:31" s="200" customFormat="1" ht="11.45" customHeight="1">
      <c r="B246" s="57" t="s">
        <v>3212</v>
      </c>
      <c r="C246" s="65" t="s">
        <v>3841</v>
      </c>
      <c r="D246" s="65"/>
      <c r="E246" s="65"/>
      <c r="F246" s="65"/>
      <c r="G246" s="65"/>
      <c r="H246" s="65"/>
      <c r="I246" s="129"/>
      <c r="J246" s="129"/>
      <c r="K246" s="129"/>
      <c r="L246" s="129"/>
      <c r="M246" s="129"/>
      <c r="O246" s="62" t="s">
        <v>3212</v>
      </c>
      <c r="P246" s="1166"/>
      <c r="Q246" s="234"/>
    </row>
    <row r="247" spans="1:31" s="200" customFormat="1" ht="22.15" customHeight="1">
      <c r="B247" s="192" t="s">
        <v>2763</v>
      </c>
      <c r="C247" s="1031" t="s">
        <v>1970</v>
      </c>
      <c r="D247" s="1031"/>
      <c r="E247" s="1031"/>
      <c r="F247" s="1031"/>
      <c r="G247" s="1031"/>
      <c r="H247" s="1031"/>
      <c r="I247" s="1031"/>
      <c r="J247" s="1031"/>
      <c r="K247" s="1031"/>
      <c r="L247" s="1031"/>
      <c r="M247" s="1031"/>
      <c r="O247" s="221" t="s">
        <v>2763</v>
      </c>
      <c r="P247" s="1166"/>
      <c r="Q247" s="234"/>
    </row>
    <row r="248" spans="1:31" ht="11.25" customHeight="1">
      <c r="B248" s="191" t="s">
        <v>2921</v>
      </c>
      <c r="D248" s="191"/>
      <c r="E248" s="191"/>
      <c r="F248" s="191"/>
      <c r="G248" s="191"/>
      <c r="H248" s="50"/>
      <c r="I248" s="179"/>
      <c r="J248" s="179"/>
      <c r="K248" s="179"/>
      <c r="L248" s="740"/>
      <c r="M248" s="740"/>
      <c r="N248" s="740"/>
      <c r="O248" s="740"/>
      <c r="P248" s="740"/>
      <c r="Q248" s="63"/>
    </row>
    <row r="249" spans="1:31" ht="13.15" customHeight="1">
      <c r="A249" s="1152" t="s">
        <v>3955</v>
      </c>
      <c r="B249" s="1153"/>
      <c r="C249" s="1153"/>
      <c r="D249" s="1153"/>
      <c r="E249" s="1153"/>
      <c r="F249" s="1153"/>
      <c r="G249" s="1153"/>
      <c r="H249" s="1153"/>
      <c r="I249" s="1153"/>
      <c r="J249" s="1153"/>
      <c r="K249" s="1153"/>
      <c r="L249" s="1153"/>
      <c r="M249" s="1153"/>
      <c r="N249" s="1153"/>
      <c r="O249" s="1153"/>
      <c r="P249" s="1153"/>
      <c r="Q249" s="1154"/>
      <c r="R249" s="1029" t="s">
        <v>1933</v>
      </c>
      <c r="S249" s="1029"/>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1029"/>
      <c r="S250" s="1029"/>
    </row>
    <row r="251" spans="1:31" ht="10.9" customHeight="1">
      <c r="B251" s="187" t="s">
        <v>2922</v>
      </c>
      <c r="C251" s="188"/>
      <c r="D251" s="742"/>
      <c r="E251" s="742"/>
      <c r="F251" s="742"/>
      <c r="G251" s="742"/>
      <c r="H251" s="742"/>
      <c r="I251" s="742"/>
      <c r="J251" s="742"/>
      <c r="K251" s="742"/>
      <c r="L251" s="742"/>
      <c r="M251" s="742"/>
      <c r="N251" s="742"/>
      <c r="O251" s="742"/>
      <c r="P251" s="742"/>
      <c r="Q251" s="742"/>
    </row>
    <row r="252" spans="1:31" ht="13.15" customHeight="1">
      <c r="A252" s="991"/>
      <c r="B252" s="992"/>
      <c r="C252" s="992"/>
      <c r="D252" s="992"/>
      <c r="E252" s="992"/>
      <c r="F252" s="992"/>
      <c r="G252" s="992"/>
      <c r="H252" s="992"/>
      <c r="I252" s="992"/>
      <c r="J252" s="992"/>
      <c r="K252" s="992"/>
      <c r="L252" s="992"/>
      <c r="M252" s="992"/>
      <c r="N252" s="992"/>
      <c r="O252" s="992"/>
      <c r="P252" s="992"/>
      <c r="Q252" s="993"/>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4" customHeight="1">
      <c r="A254" s="740"/>
      <c r="B254" s="179"/>
      <c r="C254" s="742"/>
      <c r="D254" s="742"/>
      <c r="E254" s="742"/>
      <c r="F254" s="742"/>
      <c r="G254" s="742"/>
      <c r="H254" s="742"/>
      <c r="I254" s="742"/>
      <c r="J254" s="742"/>
      <c r="K254" s="742"/>
      <c r="L254" s="742"/>
      <c r="M254" s="742"/>
      <c r="Q254" s="740"/>
    </row>
    <row r="255" spans="1:31" ht="13.9" customHeight="1">
      <c r="A255" s="744">
        <v>15</v>
      </c>
      <c r="B255" s="5" t="s">
        <v>2820</v>
      </c>
      <c r="C255" s="5"/>
      <c r="D255" s="118"/>
      <c r="E255" s="118"/>
      <c r="F255" s="118"/>
      <c r="G255" s="118"/>
      <c r="H255" s="742"/>
      <c r="I255" s="742"/>
      <c r="J255" s="742"/>
      <c r="K255" s="742"/>
      <c r="L255" s="742"/>
      <c r="M255" s="742"/>
      <c r="O255" s="180" t="s">
        <v>2923</v>
      </c>
      <c r="P255" s="989"/>
      <c r="Q255" s="990"/>
    </row>
    <row r="256" spans="1:31" ht="3.4" customHeight="1"/>
    <row r="257" spans="1:31" s="200" customFormat="1" ht="11.45" customHeight="1">
      <c r="B257" s="57" t="s">
        <v>3060</v>
      </c>
      <c r="C257" s="40" t="s">
        <v>3125</v>
      </c>
      <c r="D257" s="40"/>
      <c r="E257" s="40"/>
      <c r="F257" s="40"/>
      <c r="G257" s="40"/>
      <c r="H257" s="40"/>
      <c r="I257" s="40"/>
      <c r="J257" s="40"/>
      <c r="K257" s="40"/>
      <c r="L257" s="40"/>
      <c r="M257" s="40"/>
      <c r="O257" s="62" t="s">
        <v>3060</v>
      </c>
      <c r="P257" s="1166" t="s">
        <v>3919</v>
      </c>
      <c r="Q257" s="234"/>
    </row>
    <row r="258" spans="1:31" s="200" customFormat="1" ht="11.45" customHeight="1">
      <c r="B258" s="57" t="s">
        <v>3063</v>
      </c>
      <c r="C258" s="65" t="s">
        <v>2114</v>
      </c>
      <c r="D258" s="65"/>
      <c r="E258" s="65"/>
      <c r="F258" s="65"/>
      <c r="G258" s="65"/>
      <c r="H258" s="65"/>
      <c r="I258" s="65"/>
      <c r="J258" s="65"/>
      <c r="K258" s="65"/>
      <c r="L258" s="65"/>
      <c r="M258" s="65"/>
      <c r="O258" s="62" t="s">
        <v>3063</v>
      </c>
      <c r="P258" s="1166" t="s">
        <v>3919</v>
      </c>
      <c r="Q258" s="234"/>
    </row>
    <row r="259" spans="1:31" ht="11.25" customHeight="1">
      <c r="B259" s="191" t="s">
        <v>2921</v>
      </c>
      <c r="D259" s="191"/>
      <c r="E259" s="191"/>
      <c r="F259" s="191"/>
      <c r="G259" s="191"/>
      <c r="H259" s="50"/>
      <c r="I259" s="179"/>
      <c r="J259" s="179"/>
      <c r="K259" s="179"/>
      <c r="L259" s="740"/>
      <c r="M259" s="740"/>
      <c r="N259" s="740"/>
      <c r="O259" s="740"/>
      <c r="P259" s="740"/>
      <c r="Q259" s="63"/>
    </row>
    <row r="260" spans="1:31" ht="13.15" customHeight="1">
      <c r="A260" s="1152" t="s">
        <v>3956</v>
      </c>
      <c r="B260" s="1153"/>
      <c r="C260" s="1153"/>
      <c r="D260" s="1153"/>
      <c r="E260" s="1153"/>
      <c r="F260" s="1153"/>
      <c r="G260" s="1153"/>
      <c r="H260" s="1153"/>
      <c r="I260" s="1153"/>
      <c r="J260" s="1153"/>
      <c r="K260" s="1153"/>
      <c r="L260" s="1153"/>
      <c r="M260" s="1153"/>
      <c r="N260" s="1153"/>
      <c r="O260" s="1153"/>
      <c r="P260" s="1153"/>
      <c r="Q260" s="1154"/>
      <c r="R260" s="1029" t="s">
        <v>1933</v>
      </c>
      <c r="S260" s="1029"/>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1029"/>
      <c r="S261" s="1029"/>
    </row>
    <row r="262" spans="1:31" ht="11.25" customHeight="1">
      <c r="B262" s="187" t="s">
        <v>2922</v>
      </c>
      <c r="C262" s="188"/>
      <c r="D262" s="742"/>
      <c r="E262" s="742"/>
      <c r="F262" s="742"/>
      <c r="G262" s="742"/>
      <c r="H262" s="742"/>
      <c r="I262" s="742"/>
      <c r="J262" s="742"/>
      <c r="K262" s="742"/>
      <c r="L262" s="742"/>
      <c r="M262" s="742"/>
      <c r="N262" s="742"/>
      <c r="O262" s="742"/>
      <c r="P262" s="742"/>
      <c r="Q262" s="742"/>
    </row>
    <row r="263" spans="1:31" ht="13.15" customHeight="1">
      <c r="A263" s="991"/>
      <c r="B263" s="992"/>
      <c r="C263" s="992"/>
      <c r="D263" s="992"/>
      <c r="E263" s="992"/>
      <c r="F263" s="992"/>
      <c r="G263" s="992"/>
      <c r="H263" s="992"/>
      <c r="I263" s="992"/>
      <c r="J263" s="992"/>
      <c r="K263" s="992"/>
      <c r="L263" s="992"/>
      <c r="M263" s="992"/>
      <c r="N263" s="992"/>
      <c r="O263" s="992"/>
      <c r="P263" s="992"/>
      <c r="Q263" s="993"/>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4" customHeight="1">
      <c r="A265" s="740"/>
      <c r="B265" s="179"/>
      <c r="C265" s="742"/>
      <c r="D265" s="742"/>
      <c r="E265" s="742"/>
      <c r="F265" s="742"/>
      <c r="G265" s="742"/>
      <c r="H265" s="742"/>
      <c r="I265" s="742"/>
      <c r="J265" s="742"/>
      <c r="K265" s="742"/>
      <c r="L265" s="742"/>
      <c r="M265" s="742"/>
      <c r="N265" s="742"/>
      <c r="O265" s="742"/>
      <c r="P265" s="180"/>
      <c r="Q265" s="63"/>
    </row>
    <row r="266" spans="1:31" ht="13.9" customHeight="1">
      <c r="A266" s="744">
        <v>16</v>
      </c>
      <c r="B266" s="744" t="s">
        <v>1090</v>
      </c>
      <c r="C266" s="744"/>
      <c r="D266" s="742"/>
      <c r="E266" s="742"/>
      <c r="F266" s="742"/>
      <c r="G266" s="742"/>
      <c r="H266" s="742"/>
      <c r="I266" s="742"/>
      <c r="J266" s="742"/>
      <c r="K266" s="742"/>
      <c r="L266" s="742"/>
      <c r="M266" s="742"/>
      <c r="O266" s="180" t="s">
        <v>2923</v>
      </c>
      <c r="P266" s="989"/>
      <c r="Q266" s="990"/>
    </row>
    <row r="267" spans="1:31" ht="3.4" customHeight="1"/>
    <row r="268" spans="1:31" s="705" customFormat="1" ht="24" customHeight="1">
      <c r="B268" s="192" t="s">
        <v>3060</v>
      </c>
      <c r="C268" s="1002" t="s">
        <v>1208</v>
      </c>
      <c r="D268" s="1004"/>
      <c r="E268" s="1004"/>
      <c r="F268" s="1004"/>
      <c r="G268" s="1004"/>
      <c r="H268" s="1004"/>
      <c r="I268" s="1004"/>
      <c r="J268" s="1004"/>
      <c r="K268" s="1004"/>
      <c r="L268" s="1004"/>
      <c r="M268" s="1004"/>
      <c r="N268" s="1004"/>
      <c r="O268" s="221" t="s">
        <v>3060</v>
      </c>
      <c r="P268" s="1166" t="s">
        <v>3942</v>
      </c>
      <c r="Q268" s="234"/>
    </row>
    <row r="269" spans="1:31" s="705" customFormat="1" ht="24" customHeight="1">
      <c r="B269" s="192" t="s">
        <v>3063</v>
      </c>
      <c r="C269" s="1002" t="s">
        <v>1209</v>
      </c>
      <c r="D269" s="1004"/>
      <c r="E269" s="1004"/>
      <c r="F269" s="1004"/>
      <c r="G269" s="1004"/>
      <c r="H269" s="1004"/>
      <c r="I269" s="1004"/>
      <c r="J269" s="1004"/>
      <c r="K269" s="1004"/>
      <c r="L269" s="1004"/>
      <c r="M269" s="1004"/>
      <c r="N269" s="1004"/>
      <c r="O269" s="221" t="s">
        <v>3063</v>
      </c>
      <c r="P269" s="1166" t="s">
        <v>3942</v>
      </c>
      <c r="Q269" s="234"/>
    </row>
    <row r="270" spans="1:31" s="705" customFormat="1" ht="33" customHeight="1">
      <c r="B270" s="192" t="s">
        <v>1239</v>
      </c>
      <c r="C270" s="1002" t="s">
        <v>1210</v>
      </c>
      <c r="D270" s="1004"/>
      <c r="E270" s="1004"/>
      <c r="F270" s="1004"/>
      <c r="G270" s="1004"/>
      <c r="H270" s="1004"/>
      <c r="I270" s="1004"/>
      <c r="J270" s="1004"/>
      <c r="K270" s="1004"/>
      <c r="L270" s="1004"/>
      <c r="M270" s="1004"/>
      <c r="N270" s="1004"/>
      <c r="O270" s="221" t="s">
        <v>3063</v>
      </c>
      <c r="P270" s="1166"/>
      <c r="Q270" s="234"/>
    </row>
    <row r="271" spans="1:31" ht="11.25" customHeight="1">
      <c r="B271" s="191" t="s">
        <v>2921</v>
      </c>
      <c r="D271" s="191"/>
      <c r="E271" s="191"/>
      <c r="F271" s="191"/>
      <c r="G271" s="191"/>
      <c r="H271" s="50"/>
      <c r="I271" s="179"/>
      <c r="J271" s="179"/>
      <c r="K271" s="179"/>
      <c r="L271" s="740"/>
      <c r="M271" s="740"/>
      <c r="N271" s="740"/>
      <c r="O271" s="740"/>
      <c r="P271" s="740"/>
      <c r="Q271" s="63"/>
    </row>
    <row r="272" spans="1:31" ht="13.15" customHeight="1">
      <c r="A272" s="1152" t="s">
        <v>4033</v>
      </c>
      <c r="B272" s="1153"/>
      <c r="C272" s="1153"/>
      <c r="D272" s="1153"/>
      <c r="E272" s="1153"/>
      <c r="F272" s="1153"/>
      <c r="G272" s="1153"/>
      <c r="H272" s="1153"/>
      <c r="I272" s="1153"/>
      <c r="J272" s="1153"/>
      <c r="K272" s="1153"/>
      <c r="L272" s="1153"/>
      <c r="M272" s="1153"/>
      <c r="N272" s="1153"/>
      <c r="O272" s="1153"/>
      <c r="P272" s="1153"/>
      <c r="Q272" s="1154"/>
      <c r="R272" s="1029" t="s">
        <v>1933</v>
      </c>
      <c r="S272" s="1029"/>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1029"/>
      <c r="S273" s="1029"/>
    </row>
    <row r="274" spans="1:31" ht="11.25" customHeight="1">
      <c r="B274" s="187" t="s">
        <v>2922</v>
      </c>
      <c r="C274" s="188"/>
      <c r="D274" s="742"/>
      <c r="E274" s="742"/>
      <c r="F274" s="742"/>
      <c r="G274" s="742"/>
      <c r="H274" s="742"/>
      <c r="I274" s="742"/>
      <c r="J274" s="742"/>
      <c r="K274" s="742"/>
      <c r="L274" s="742"/>
      <c r="M274" s="742"/>
      <c r="N274" s="742"/>
      <c r="O274" s="742"/>
      <c r="P274" s="742"/>
      <c r="Q274" s="742"/>
    </row>
    <row r="275" spans="1:31" ht="13.15" customHeight="1">
      <c r="A275" s="991"/>
      <c r="B275" s="992"/>
      <c r="C275" s="992"/>
      <c r="D275" s="992"/>
      <c r="E275" s="992"/>
      <c r="F275" s="992"/>
      <c r="G275" s="992"/>
      <c r="H275" s="992"/>
      <c r="I275" s="992"/>
      <c r="J275" s="992"/>
      <c r="K275" s="992"/>
      <c r="L275" s="992"/>
      <c r="M275" s="992"/>
      <c r="N275" s="992"/>
      <c r="O275" s="992"/>
      <c r="P275" s="992"/>
      <c r="Q275" s="993"/>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40"/>
      <c r="B277" s="179"/>
      <c r="C277" s="742"/>
      <c r="D277" s="742"/>
      <c r="E277" s="742"/>
      <c r="F277" s="742"/>
      <c r="G277" s="742"/>
      <c r="H277" s="742"/>
      <c r="I277" s="742"/>
      <c r="J277" s="742"/>
      <c r="K277" s="742"/>
      <c r="L277" s="742"/>
      <c r="M277" s="742"/>
      <c r="Q277" s="740"/>
    </row>
    <row r="278" spans="1:31" ht="13.9" customHeight="1">
      <c r="A278" s="744">
        <v>17</v>
      </c>
      <c r="B278" s="744" t="s">
        <v>878</v>
      </c>
      <c r="C278" s="201"/>
      <c r="D278" s="202"/>
      <c r="E278" s="742"/>
      <c r="F278" s="742"/>
      <c r="G278" s="742"/>
      <c r="H278" s="742"/>
      <c r="I278" s="742"/>
      <c r="J278" s="742"/>
      <c r="K278" s="742"/>
      <c r="L278" s="742"/>
      <c r="M278" s="742"/>
      <c r="O278" s="180" t="s">
        <v>2923</v>
      </c>
      <c r="P278" s="989"/>
      <c r="Q278" s="990"/>
    </row>
    <row r="279" spans="1:31" s="200" customFormat="1" ht="22.9" customHeight="1">
      <c r="B279" s="192" t="s">
        <v>3060</v>
      </c>
      <c r="C279" s="1031" t="s">
        <v>2944</v>
      </c>
      <c r="D279" s="1031"/>
      <c r="E279" s="1031"/>
      <c r="F279" s="1031"/>
      <c r="G279" s="1031"/>
      <c r="H279" s="1031"/>
      <c r="I279" s="1031"/>
      <c r="J279" s="1031"/>
      <c r="K279" s="1031"/>
      <c r="L279" s="1031"/>
      <c r="M279" s="1031"/>
      <c r="O279" s="221" t="s">
        <v>3060</v>
      </c>
      <c r="P279" s="1251" t="s">
        <v>3919</v>
      </c>
      <c r="Q279" s="234"/>
    </row>
    <row r="280" spans="1:31" s="200" customFormat="1" ht="12.4" customHeight="1">
      <c r="B280" s="57" t="s">
        <v>3063</v>
      </c>
      <c r="C280" s="40" t="s">
        <v>3119</v>
      </c>
      <c r="D280" s="40"/>
      <c r="E280" s="40"/>
      <c r="F280" s="40"/>
      <c r="G280" s="40"/>
      <c r="H280" s="40"/>
      <c r="I280" s="40"/>
      <c r="J280" s="40"/>
      <c r="K280" s="40"/>
      <c r="L280" s="40"/>
      <c r="M280" s="40"/>
      <c r="O280" s="62" t="s">
        <v>3063</v>
      </c>
      <c r="P280" s="1166" t="s">
        <v>3919</v>
      </c>
      <c r="Q280" s="234"/>
    </row>
    <row r="281" spans="1:31" s="200" customFormat="1" ht="22.9" customHeight="1">
      <c r="B281" s="192" t="s">
        <v>1239</v>
      </c>
      <c r="C281" s="1002" t="s">
        <v>2888</v>
      </c>
      <c r="D281" s="1004"/>
      <c r="E281" s="1004"/>
      <c r="F281" s="1004"/>
      <c r="G281" s="1004"/>
      <c r="H281" s="1004"/>
      <c r="I281" s="1004"/>
      <c r="J281" s="1004"/>
      <c r="K281" s="1004"/>
      <c r="L281" s="1004"/>
      <c r="M281" s="1004"/>
      <c r="N281" s="1004"/>
      <c r="O281" s="62" t="s">
        <v>1239</v>
      </c>
      <c r="P281" s="1166" t="s">
        <v>3919</v>
      </c>
      <c r="Q281" s="234"/>
    </row>
    <row r="282" spans="1:31" s="200" customFormat="1" ht="12.4" customHeight="1">
      <c r="B282" s="57" t="s">
        <v>3212</v>
      </c>
      <c r="C282" s="40" t="s">
        <v>2889</v>
      </c>
      <c r="D282" s="40"/>
      <c r="E282" s="40"/>
      <c r="F282" s="40"/>
      <c r="G282" s="40"/>
      <c r="H282" s="40"/>
      <c r="I282" s="40"/>
      <c r="J282" s="40"/>
      <c r="K282" s="40"/>
      <c r="L282" s="40"/>
      <c r="M282" s="40"/>
      <c r="O282" s="62" t="s">
        <v>3212</v>
      </c>
      <c r="P282" s="1166" t="s">
        <v>3919</v>
      </c>
      <c r="Q282" s="234"/>
    </row>
    <row r="283" spans="1:31" s="200" customFormat="1" ht="22.9" customHeight="1">
      <c r="B283" s="192" t="s">
        <v>2763</v>
      </c>
      <c r="C283" s="1002" t="s">
        <v>1081</v>
      </c>
      <c r="D283" s="1004"/>
      <c r="E283" s="1004"/>
      <c r="F283" s="1004"/>
      <c r="G283" s="1004"/>
      <c r="H283" s="1004"/>
      <c r="I283" s="1004"/>
      <c r="J283" s="1004"/>
      <c r="K283" s="1004"/>
      <c r="L283" s="1004"/>
      <c r="M283" s="1004"/>
      <c r="N283" s="1004"/>
      <c r="O283" s="62" t="s">
        <v>2763</v>
      </c>
      <c r="P283" s="1166" t="s">
        <v>3919</v>
      </c>
      <c r="Q283" s="234"/>
    </row>
    <row r="284" spans="1:31" ht="11.25" customHeight="1">
      <c r="B284" s="191" t="s">
        <v>2921</v>
      </c>
      <c r="D284" s="191"/>
      <c r="E284" s="191"/>
      <c r="F284" s="191"/>
      <c r="G284" s="191"/>
      <c r="H284" s="50"/>
      <c r="I284" s="179"/>
      <c r="J284" s="179"/>
      <c r="K284" s="179"/>
      <c r="L284" s="740"/>
      <c r="M284" s="740"/>
      <c r="N284" s="740"/>
      <c r="O284" s="740"/>
      <c r="P284" s="740"/>
      <c r="Q284" s="63"/>
    </row>
    <row r="285" spans="1:31" ht="11.45" customHeight="1">
      <c r="A285" s="1152" t="s">
        <v>4034</v>
      </c>
      <c r="B285" s="1153"/>
      <c r="C285" s="1153"/>
      <c r="D285" s="1153"/>
      <c r="E285" s="1153"/>
      <c r="F285" s="1153"/>
      <c r="G285" s="1153"/>
      <c r="H285" s="1153"/>
      <c r="I285" s="1153"/>
      <c r="J285" s="1153"/>
      <c r="K285" s="1153"/>
      <c r="L285" s="1153"/>
      <c r="M285" s="1153"/>
      <c r="N285" s="1153"/>
      <c r="O285" s="1153"/>
      <c r="P285" s="1153"/>
      <c r="Q285" s="1154"/>
      <c r="R285" s="1029" t="s">
        <v>1933</v>
      </c>
      <c r="S285" s="1029"/>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1029"/>
      <c r="S286" s="1029"/>
    </row>
    <row r="287" spans="1:31" ht="11.25" customHeight="1">
      <c r="B287" s="187" t="s">
        <v>2922</v>
      </c>
      <c r="C287" s="188"/>
      <c r="D287" s="742"/>
      <c r="E287" s="742"/>
      <c r="F287" s="742"/>
      <c r="G287" s="742"/>
      <c r="H287" s="742"/>
      <c r="I287" s="742"/>
      <c r="J287" s="742"/>
      <c r="K287" s="742"/>
      <c r="L287" s="742"/>
      <c r="M287" s="742"/>
      <c r="N287" s="742"/>
      <c r="O287" s="742"/>
      <c r="P287" s="742"/>
      <c r="Q287" s="742"/>
    </row>
    <row r="288" spans="1:31" ht="11.45" customHeight="1">
      <c r="A288" s="991"/>
      <c r="B288" s="992"/>
      <c r="C288" s="992"/>
      <c r="D288" s="992"/>
      <c r="E288" s="992"/>
      <c r="F288" s="992"/>
      <c r="G288" s="992"/>
      <c r="H288" s="992"/>
      <c r="I288" s="992"/>
      <c r="J288" s="992"/>
      <c r="K288" s="992"/>
      <c r="L288" s="992"/>
      <c r="M288" s="992"/>
      <c r="N288" s="992"/>
      <c r="O288" s="992"/>
      <c r="P288" s="992"/>
      <c r="Q288" s="993"/>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4">
        <v>18</v>
      </c>
      <c r="B290" s="1009" t="s">
        <v>3325</v>
      </c>
      <c r="C290" s="1009"/>
      <c r="D290" s="1009"/>
      <c r="E290" s="1009"/>
      <c r="F290" s="1009"/>
      <c r="G290" s="1009"/>
      <c r="H290" s="742"/>
      <c r="I290" s="742"/>
      <c r="J290" s="742"/>
      <c r="K290" s="742"/>
      <c r="L290" s="742"/>
      <c r="M290" s="742"/>
      <c r="O290" s="180" t="s">
        <v>2923</v>
      </c>
      <c r="P290" s="989"/>
      <c r="Q290" s="990"/>
    </row>
    <row r="291" spans="1:256" ht="11.45" customHeight="1">
      <c r="B291" s="195" t="s">
        <v>3382</v>
      </c>
      <c r="P291" s="1166" t="s">
        <v>3923</v>
      </c>
      <c r="Q291" s="234"/>
    </row>
    <row r="292" spans="1:256" ht="12.4" customHeight="1">
      <c r="B292" s="197" t="s">
        <v>3326</v>
      </c>
      <c r="C292" s="197"/>
      <c r="D292" s="197"/>
      <c r="E292" s="197"/>
      <c r="F292" s="197"/>
      <c r="G292" s="197"/>
      <c r="H292" s="197"/>
      <c r="I292" s="197"/>
      <c r="J292" s="197"/>
      <c r="K292" s="197"/>
      <c r="L292" s="197"/>
      <c r="P292" s="1166" t="s">
        <v>3919</v>
      </c>
      <c r="Q292" s="234"/>
    </row>
    <row r="293" spans="1:256" ht="11.45" customHeight="1">
      <c r="B293" s="192" t="s">
        <v>3060</v>
      </c>
      <c r="C293" s="263" t="s">
        <v>674</v>
      </c>
      <c r="D293" s="40"/>
      <c r="E293" s="40"/>
      <c r="F293" s="40"/>
      <c r="G293" s="40"/>
      <c r="H293" s="40"/>
      <c r="I293" s="40"/>
      <c r="J293" s="40"/>
      <c r="K293" s="40"/>
      <c r="L293" s="40"/>
      <c r="M293" s="40"/>
      <c r="N293" s="221"/>
    </row>
    <row r="294" spans="1:256" ht="33.6" customHeight="1">
      <c r="A294" s="194"/>
      <c r="C294" s="1001" t="s">
        <v>1082</v>
      </c>
      <c r="D294" s="1001"/>
      <c r="E294" s="1001"/>
      <c r="F294" s="1001"/>
      <c r="G294" s="1001"/>
      <c r="H294" s="1001"/>
      <c r="I294" s="1001"/>
      <c r="J294" s="1001"/>
      <c r="K294" s="1001"/>
      <c r="L294" s="1001"/>
      <c r="M294" s="1001"/>
      <c r="N294" s="1001"/>
      <c r="O294" s="221" t="s">
        <v>3060</v>
      </c>
      <c r="P294" s="1251" t="s">
        <v>3919</v>
      </c>
      <c r="Q294" s="353"/>
    </row>
    <row r="295" spans="1:256" ht="3.4" customHeight="1">
      <c r="A295" s="740"/>
      <c r="B295" s="740"/>
      <c r="C295" s="740"/>
      <c r="D295" s="740"/>
      <c r="E295" s="740"/>
      <c r="F295" s="740"/>
      <c r="G295" s="740"/>
      <c r="H295" s="740"/>
      <c r="I295" s="740"/>
      <c r="J295" s="740"/>
      <c r="K295" s="740"/>
      <c r="L295" s="740"/>
      <c r="M295" s="740"/>
      <c r="N295" s="740"/>
      <c r="O295" s="740"/>
      <c r="P295" s="740"/>
      <c r="Q295" s="740"/>
      <c r="R295" s="740"/>
      <c r="S295" s="740"/>
      <c r="T295" s="740"/>
      <c r="U295" s="740"/>
      <c r="V295" s="740"/>
      <c r="W295" s="740"/>
      <c r="X295" s="740"/>
      <c r="Y295" s="740"/>
      <c r="Z295" s="740"/>
      <c r="AA295" s="740"/>
      <c r="AB295" s="740"/>
      <c r="AC295" s="740"/>
      <c r="AD295" s="740"/>
      <c r="AE295" s="740"/>
      <c r="AF295" s="740"/>
      <c r="AG295" s="740"/>
      <c r="AH295" s="740"/>
      <c r="AI295" s="740"/>
      <c r="AJ295" s="740"/>
      <c r="AK295" s="740"/>
      <c r="AL295" s="740"/>
      <c r="AM295" s="740"/>
      <c r="AN295" s="740"/>
      <c r="AO295" s="740"/>
      <c r="AP295" s="740"/>
      <c r="AQ295" s="740"/>
      <c r="AR295" s="740"/>
      <c r="AS295" s="740"/>
      <c r="AT295" s="740"/>
      <c r="AU295" s="740"/>
      <c r="AV295" s="740"/>
      <c r="AW295" s="740"/>
      <c r="AX295" s="740"/>
      <c r="AY295" s="740"/>
      <c r="AZ295" s="740"/>
      <c r="BA295" s="740"/>
      <c r="BB295" s="740"/>
      <c r="BC295" s="740"/>
      <c r="BD295" s="740"/>
      <c r="BE295" s="740"/>
      <c r="BF295" s="740"/>
      <c r="BG295" s="740"/>
      <c r="BH295" s="740"/>
      <c r="BI295" s="740"/>
      <c r="BJ295" s="740"/>
      <c r="BK295" s="740"/>
      <c r="BL295" s="740"/>
      <c r="BM295" s="740"/>
      <c r="BN295" s="740"/>
      <c r="BO295" s="740"/>
      <c r="BP295" s="740"/>
      <c r="BQ295" s="740"/>
      <c r="BR295" s="740"/>
      <c r="BS295" s="740"/>
      <c r="BT295" s="740"/>
      <c r="BU295" s="740"/>
      <c r="BV295" s="740"/>
      <c r="BW295" s="740"/>
      <c r="BX295" s="740"/>
      <c r="BY295" s="740"/>
      <c r="BZ295" s="740"/>
      <c r="CA295" s="740"/>
      <c r="CB295" s="740"/>
      <c r="CC295" s="740"/>
      <c r="CD295" s="740"/>
      <c r="CE295" s="740"/>
      <c r="CF295" s="740"/>
      <c r="CG295" s="740"/>
      <c r="CH295" s="740"/>
      <c r="CI295" s="740"/>
      <c r="CJ295" s="740"/>
      <c r="CK295" s="740"/>
      <c r="CL295" s="740"/>
      <c r="CM295" s="740"/>
      <c r="CN295" s="740"/>
      <c r="CO295" s="740"/>
      <c r="CP295" s="740"/>
      <c r="CQ295" s="740"/>
      <c r="CR295" s="740"/>
      <c r="CS295" s="740"/>
      <c r="CT295" s="740"/>
      <c r="CU295" s="740"/>
      <c r="CV295" s="740"/>
      <c r="CW295" s="740"/>
      <c r="CX295" s="740"/>
      <c r="CY295" s="740"/>
      <c r="CZ295" s="740"/>
      <c r="DA295" s="740"/>
      <c r="DB295" s="740"/>
      <c r="DC295" s="740"/>
      <c r="DD295" s="740"/>
      <c r="DE295" s="740"/>
      <c r="DF295" s="740"/>
      <c r="DG295" s="740"/>
      <c r="DH295" s="740"/>
      <c r="DI295" s="740"/>
      <c r="DJ295" s="740"/>
      <c r="DK295" s="740"/>
      <c r="DL295" s="740"/>
      <c r="DM295" s="740"/>
      <c r="DN295" s="740"/>
      <c r="DO295" s="740"/>
      <c r="DP295" s="740"/>
      <c r="DQ295" s="740"/>
      <c r="DR295" s="740"/>
      <c r="DS295" s="740"/>
      <c r="DT295" s="740"/>
      <c r="DU295" s="740"/>
      <c r="DV295" s="740"/>
      <c r="DW295" s="740"/>
      <c r="DX295" s="740"/>
      <c r="DY295" s="740"/>
      <c r="DZ295" s="740"/>
      <c r="EA295" s="740"/>
      <c r="EB295" s="740"/>
      <c r="EC295" s="740"/>
      <c r="ED295" s="740"/>
      <c r="EE295" s="740"/>
      <c r="EF295" s="740"/>
      <c r="EG295" s="740"/>
      <c r="EH295" s="740"/>
      <c r="EI295" s="740"/>
      <c r="EJ295" s="740"/>
      <c r="EK295" s="740"/>
      <c r="EL295" s="740"/>
      <c r="EM295" s="740"/>
      <c r="EN295" s="740"/>
      <c r="EO295" s="740"/>
      <c r="EP295" s="740"/>
      <c r="EQ295" s="740"/>
      <c r="ER295" s="740"/>
      <c r="ES295" s="740"/>
      <c r="ET295" s="740"/>
      <c r="EU295" s="740"/>
      <c r="EV295" s="740"/>
      <c r="EW295" s="740"/>
      <c r="EX295" s="740"/>
      <c r="EY295" s="740"/>
      <c r="EZ295" s="740"/>
      <c r="FA295" s="740"/>
      <c r="FB295" s="740"/>
      <c r="FC295" s="740"/>
      <c r="FD295" s="740"/>
      <c r="FE295" s="740"/>
      <c r="FF295" s="740"/>
      <c r="FG295" s="740"/>
      <c r="FH295" s="740"/>
      <c r="FI295" s="740"/>
      <c r="FJ295" s="740"/>
      <c r="FK295" s="740"/>
      <c r="FL295" s="740"/>
      <c r="FM295" s="740"/>
      <c r="FN295" s="740"/>
      <c r="FO295" s="740"/>
      <c r="FP295" s="740"/>
      <c r="FQ295" s="740"/>
      <c r="FR295" s="740"/>
      <c r="FS295" s="740"/>
      <c r="FT295" s="740"/>
      <c r="FU295" s="740"/>
      <c r="FV295" s="740"/>
      <c r="FW295" s="740"/>
      <c r="FX295" s="740"/>
      <c r="FY295" s="740"/>
      <c r="FZ295" s="740"/>
      <c r="GA295" s="740"/>
      <c r="GB295" s="740"/>
      <c r="GC295" s="740"/>
      <c r="GD295" s="740"/>
      <c r="GE295" s="740"/>
      <c r="GF295" s="740"/>
      <c r="GG295" s="740"/>
      <c r="GH295" s="740"/>
      <c r="GI295" s="740"/>
      <c r="GJ295" s="740"/>
      <c r="GK295" s="740"/>
      <c r="GL295" s="740"/>
      <c r="GM295" s="740"/>
      <c r="GN295" s="740"/>
      <c r="GO295" s="740"/>
      <c r="GP295" s="740"/>
      <c r="GQ295" s="740"/>
      <c r="GR295" s="740"/>
      <c r="GS295" s="740"/>
      <c r="GT295" s="740"/>
      <c r="GU295" s="740"/>
      <c r="GV295" s="740"/>
      <c r="GW295" s="740"/>
      <c r="GX295" s="740"/>
      <c r="GY295" s="740"/>
      <c r="GZ295" s="740"/>
      <c r="HA295" s="740"/>
      <c r="HB295" s="740"/>
      <c r="HC295" s="740"/>
      <c r="HD295" s="740"/>
      <c r="HE295" s="740"/>
      <c r="HF295" s="740"/>
      <c r="HG295" s="740"/>
      <c r="HH295" s="740"/>
      <c r="HI295" s="740"/>
      <c r="HJ295" s="740"/>
      <c r="HK295" s="740"/>
      <c r="HL295" s="740"/>
      <c r="HM295" s="740"/>
      <c r="HN295" s="740"/>
      <c r="HO295" s="740"/>
      <c r="HP295" s="740"/>
      <c r="HQ295" s="740"/>
      <c r="HR295" s="740"/>
      <c r="HS295" s="740"/>
      <c r="HT295" s="740"/>
      <c r="HU295" s="740"/>
      <c r="HV295" s="740"/>
      <c r="HW295" s="740"/>
      <c r="HX295" s="740"/>
      <c r="HY295" s="740"/>
      <c r="HZ295" s="740"/>
      <c r="IA295" s="740"/>
      <c r="IB295" s="740"/>
      <c r="IC295" s="740"/>
      <c r="ID295" s="740"/>
      <c r="IE295" s="740"/>
      <c r="IF295" s="740"/>
      <c r="IG295" s="740"/>
      <c r="IH295" s="740"/>
      <c r="II295" s="740"/>
      <c r="IJ295" s="740"/>
      <c r="IK295" s="740"/>
      <c r="IL295" s="740"/>
      <c r="IM295" s="740"/>
      <c r="IN295" s="740"/>
      <c r="IO295" s="740"/>
      <c r="IP295" s="740"/>
      <c r="IQ295" s="740"/>
      <c r="IR295" s="740"/>
      <c r="IS295" s="740"/>
      <c r="IT295" s="740"/>
      <c r="IU295" s="740"/>
      <c r="IV295" s="740"/>
    </row>
    <row r="296" spans="1:256" ht="12.6" customHeight="1">
      <c r="B296" s="192" t="s">
        <v>3063</v>
      </c>
      <c r="C296" s="1010" t="s">
        <v>675</v>
      </c>
      <c r="D296" s="1010"/>
      <c r="E296" s="1010"/>
      <c r="F296" s="1010"/>
      <c r="G296" s="1010"/>
      <c r="H296" s="1010"/>
      <c r="I296" s="1010"/>
      <c r="J296" s="1010"/>
      <c r="K296" s="1010"/>
      <c r="L296" s="1010"/>
      <c r="M296" s="1010"/>
      <c r="O296" s="221" t="s">
        <v>3063</v>
      </c>
      <c r="P296" s="1166" t="s">
        <v>3919</v>
      </c>
      <c r="Q296" s="234"/>
    </row>
    <row r="297" spans="1:256" ht="24" customHeight="1">
      <c r="A297" s="194"/>
      <c r="C297" s="296" t="s">
        <v>2765</v>
      </c>
      <c r="D297" s="297" t="s">
        <v>1767</v>
      </c>
      <c r="E297" s="181"/>
      <c r="F297" s="181"/>
      <c r="G297" s="1252" t="s">
        <v>2168</v>
      </c>
      <c r="H297" s="1253"/>
      <c r="I297" s="1253"/>
      <c r="J297" s="1253"/>
      <c r="K297" s="1253"/>
      <c r="L297" s="1253"/>
      <c r="M297" s="1253"/>
      <c r="N297" s="1254"/>
      <c r="O297" s="301" t="s">
        <v>2765</v>
      </c>
      <c r="P297" s="1251" t="s">
        <v>3919</v>
      </c>
      <c r="Q297" s="353"/>
    </row>
    <row r="298" spans="1:256" ht="12.6" customHeight="1">
      <c r="A298" s="194"/>
      <c r="C298" s="296" t="s">
        <v>2766</v>
      </c>
      <c r="D298" s="297" t="s">
        <v>1769</v>
      </c>
      <c r="E298" s="181"/>
      <c r="F298" s="181"/>
      <c r="G298" s="1152" t="s">
        <v>2781</v>
      </c>
      <c r="H298" s="1255"/>
      <c r="I298" s="1255"/>
      <c r="J298" s="1255"/>
      <c r="K298" s="1255"/>
      <c r="L298" s="1255"/>
      <c r="M298" s="1255"/>
      <c r="N298" s="1256"/>
      <c r="O298" s="301" t="s">
        <v>2766</v>
      </c>
      <c r="P298" s="1183" t="s">
        <v>3919</v>
      </c>
      <c r="Q298" s="354"/>
    </row>
    <row r="299" spans="1:256" ht="12.6" customHeight="1">
      <c r="A299" s="194"/>
      <c r="C299" s="296"/>
      <c r="D299" s="298"/>
      <c r="E299" s="181"/>
      <c r="F299" s="181"/>
      <c r="G299" s="1257" t="s">
        <v>3578</v>
      </c>
      <c r="H299" s="1258"/>
      <c r="I299" s="1258"/>
      <c r="J299" s="1258"/>
      <c r="K299" s="1258"/>
      <c r="L299" s="1258"/>
      <c r="M299" s="1258"/>
      <c r="N299" s="1259"/>
      <c r="O299" s="301"/>
      <c r="P299" s="1184" t="s">
        <v>3919</v>
      </c>
      <c r="Q299" s="355"/>
    </row>
    <row r="300" spans="1:256" ht="24" customHeight="1">
      <c r="A300" s="194"/>
      <c r="C300" s="296" t="s">
        <v>2767</v>
      </c>
      <c r="D300" s="1003" t="s">
        <v>1768</v>
      </c>
      <c r="E300" s="1004"/>
      <c r="F300" s="1005"/>
      <c r="G300" s="1159" t="s">
        <v>1713</v>
      </c>
      <c r="H300" s="1260"/>
      <c r="I300" s="1260"/>
      <c r="J300" s="1260"/>
      <c r="K300" s="1260"/>
      <c r="L300" s="1260"/>
      <c r="M300" s="1260"/>
      <c r="N300" s="1261"/>
      <c r="O300" s="301" t="s">
        <v>2767</v>
      </c>
      <c r="P300" s="1251" t="s">
        <v>3919</v>
      </c>
      <c r="Q300" s="353"/>
    </row>
    <row r="301" spans="1:256" ht="12.6" customHeight="1">
      <c r="A301" s="194"/>
      <c r="C301" s="296" t="s">
        <v>3571</v>
      </c>
      <c r="D301" s="1003" t="s">
        <v>1770</v>
      </c>
      <c r="E301" s="1003"/>
      <c r="F301" s="1030"/>
      <c r="G301" s="1262" t="s">
        <v>3215</v>
      </c>
      <c r="H301" s="1263"/>
      <c r="I301" s="1263"/>
      <c r="J301" s="1263"/>
      <c r="K301" s="1263"/>
      <c r="L301" s="1263"/>
      <c r="M301" s="1263"/>
      <c r="N301" s="1264"/>
      <c r="O301" s="301" t="s">
        <v>3571</v>
      </c>
      <c r="P301" s="1265" t="s">
        <v>3919</v>
      </c>
      <c r="Q301" s="356"/>
    </row>
    <row r="302" spans="1:256" ht="12.6" customHeight="1">
      <c r="A302" s="194"/>
      <c r="C302" s="296"/>
      <c r="D302" s="1003"/>
      <c r="E302" s="1003"/>
      <c r="F302" s="1030"/>
      <c r="G302" s="1155" t="s">
        <v>225</v>
      </c>
      <c r="H302" s="1266"/>
      <c r="I302" s="1266"/>
      <c r="J302" s="1266"/>
      <c r="K302" s="1266"/>
      <c r="L302" s="1266"/>
      <c r="M302" s="1266"/>
      <c r="N302" s="1267"/>
      <c r="P302" s="1268" t="s">
        <v>3919</v>
      </c>
      <c r="Q302" s="357"/>
    </row>
    <row r="303" spans="1:256" ht="3.4" customHeight="1">
      <c r="A303" s="740"/>
      <c r="B303" s="740"/>
      <c r="C303" s="740"/>
      <c r="D303" s="740"/>
      <c r="E303" s="740"/>
      <c r="F303" s="740"/>
      <c r="G303" s="740"/>
      <c r="H303" s="740"/>
      <c r="I303" s="740"/>
      <c r="J303" s="740"/>
      <c r="K303" s="740"/>
      <c r="L303" s="740"/>
      <c r="M303" s="740"/>
      <c r="N303" s="740"/>
      <c r="O303" s="740"/>
      <c r="P303" s="740"/>
      <c r="Q303" s="740"/>
      <c r="R303" s="740"/>
      <c r="S303" s="740"/>
      <c r="T303" s="740"/>
      <c r="U303" s="740"/>
      <c r="V303" s="740"/>
      <c r="W303" s="740"/>
      <c r="X303" s="740"/>
      <c r="Y303" s="740"/>
      <c r="Z303" s="740"/>
      <c r="AA303" s="740"/>
      <c r="AB303" s="740"/>
      <c r="AC303" s="740"/>
      <c r="AD303" s="740"/>
      <c r="AE303" s="740"/>
      <c r="AF303" s="740"/>
      <c r="AG303" s="740"/>
      <c r="AH303" s="740"/>
      <c r="AI303" s="740"/>
      <c r="AJ303" s="740"/>
      <c r="AK303" s="740"/>
      <c r="AL303" s="740"/>
      <c r="AM303" s="740"/>
      <c r="AN303" s="740"/>
      <c r="AO303" s="740"/>
      <c r="AP303" s="740"/>
      <c r="AQ303" s="740"/>
      <c r="AR303" s="740"/>
      <c r="AS303" s="740"/>
      <c r="AT303" s="740"/>
      <c r="AU303" s="740"/>
      <c r="AV303" s="740"/>
      <c r="AW303" s="740"/>
      <c r="AX303" s="740"/>
      <c r="AY303" s="740"/>
      <c r="AZ303" s="740"/>
      <c r="BA303" s="740"/>
      <c r="BB303" s="740"/>
      <c r="BC303" s="740"/>
      <c r="BD303" s="740"/>
      <c r="BE303" s="740"/>
      <c r="BF303" s="740"/>
      <c r="BG303" s="740"/>
      <c r="BH303" s="740"/>
      <c r="BI303" s="740"/>
      <c r="BJ303" s="740"/>
      <c r="BK303" s="740"/>
      <c r="BL303" s="740"/>
      <c r="BM303" s="740"/>
      <c r="BN303" s="740"/>
      <c r="BO303" s="740"/>
      <c r="BP303" s="740"/>
      <c r="BQ303" s="740"/>
      <c r="BR303" s="740"/>
      <c r="BS303" s="740"/>
      <c r="BT303" s="740"/>
      <c r="BU303" s="740"/>
      <c r="BV303" s="740"/>
      <c r="BW303" s="740"/>
      <c r="BX303" s="740"/>
      <c r="BY303" s="740"/>
      <c r="BZ303" s="740"/>
      <c r="CA303" s="740"/>
      <c r="CB303" s="740"/>
      <c r="CC303" s="740"/>
      <c r="CD303" s="740"/>
      <c r="CE303" s="740"/>
      <c r="CF303" s="740"/>
      <c r="CG303" s="740"/>
      <c r="CH303" s="740"/>
      <c r="CI303" s="740"/>
      <c r="CJ303" s="740"/>
      <c r="CK303" s="740"/>
      <c r="CL303" s="740"/>
      <c r="CM303" s="740"/>
      <c r="CN303" s="740"/>
      <c r="CO303" s="740"/>
      <c r="CP303" s="740"/>
      <c r="CQ303" s="740"/>
      <c r="CR303" s="740"/>
      <c r="CS303" s="740"/>
      <c r="CT303" s="740"/>
      <c r="CU303" s="740"/>
      <c r="CV303" s="740"/>
      <c r="CW303" s="740"/>
      <c r="CX303" s="740"/>
      <c r="CY303" s="740"/>
      <c r="CZ303" s="740"/>
      <c r="DA303" s="740"/>
      <c r="DB303" s="740"/>
      <c r="DC303" s="740"/>
      <c r="DD303" s="740"/>
      <c r="DE303" s="740"/>
      <c r="DF303" s="740"/>
      <c r="DG303" s="740"/>
      <c r="DH303" s="740"/>
      <c r="DI303" s="740"/>
      <c r="DJ303" s="740"/>
      <c r="DK303" s="740"/>
      <c r="DL303" s="740"/>
      <c r="DM303" s="740"/>
      <c r="DN303" s="740"/>
      <c r="DO303" s="740"/>
      <c r="DP303" s="740"/>
      <c r="DQ303" s="740"/>
      <c r="DR303" s="740"/>
      <c r="DS303" s="740"/>
      <c r="DT303" s="740"/>
      <c r="DU303" s="740"/>
      <c r="DV303" s="740"/>
      <c r="DW303" s="740"/>
      <c r="DX303" s="740"/>
      <c r="DY303" s="740"/>
      <c r="DZ303" s="740"/>
      <c r="EA303" s="740"/>
      <c r="EB303" s="740"/>
      <c r="EC303" s="740"/>
      <c r="ED303" s="740"/>
      <c r="EE303" s="740"/>
      <c r="EF303" s="740"/>
      <c r="EG303" s="740"/>
      <c r="EH303" s="740"/>
      <c r="EI303" s="740"/>
      <c r="EJ303" s="740"/>
      <c r="EK303" s="740"/>
      <c r="EL303" s="740"/>
      <c r="EM303" s="740"/>
      <c r="EN303" s="740"/>
      <c r="EO303" s="740"/>
      <c r="EP303" s="740"/>
      <c r="EQ303" s="740"/>
      <c r="ER303" s="740"/>
      <c r="ES303" s="740"/>
      <c r="ET303" s="740"/>
      <c r="EU303" s="740"/>
      <c r="EV303" s="740"/>
      <c r="EW303" s="740"/>
      <c r="EX303" s="740"/>
      <c r="EY303" s="740"/>
      <c r="EZ303" s="740"/>
      <c r="FA303" s="740"/>
      <c r="FB303" s="740"/>
      <c r="FC303" s="740"/>
      <c r="FD303" s="740"/>
      <c r="FE303" s="740"/>
      <c r="FF303" s="740"/>
      <c r="FG303" s="740"/>
      <c r="FH303" s="740"/>
      <c r="FI303" s="740"/>
      <c r="FJ303" s="740"/>
      <c r="FK303" s="740"/>
      <c r="FL303" s="740"/>
      <c r="FM303" s="740"/>
      <c r="FN303" s="740"/>
      <c r="FO303" s="740"/>
      <c r="FP303" s="740"/>
      <c r="FQ303" s="740"/>
      <c r="FR303" s="740"/>
      <c r="FS303" s="740"/>
      <c r="FT303" s="740"/>
      <c r="FU303" s="740"/>
      <c r="FV303" s="740"/>
      <c r="FW303" s="740"/>
      <c r="FX303" s="740"/>
      <c r="FY303" s="740"/>
      <c r="FZ303" s="740"/>
      <c r="GA303" s="740"/>
      <c r="GB303" s="740"/>
      <c r="GC303" s="740"/>
      <c r="GD303" s="740"/>
      <c r="GE303" s="740"/>
      <c r="GF303" s="740"/>
      <c r="GG303" s="740"/>
      <c r="GH303" s="740"/>
      <c r="GI303" s="740"/>
      <c r="GJ303" s="740"/>
      <c r="GK303" s="740"/>
      <c r="GL303" s="740"/>
      <c r="GM303" s="740"/>
      <c r="GN303" s="740"/>
      <c r="GO303" s="740"/>
      <c r="GP303" s="740"/>
      <c r="GQ303" s="740"/>
      <c r="GR303" s="740"/>
      <c r="GS303" s="740"/>
      <c r="GT303" s="740"/>
      <c r="GU303" s="740"/>
      <c r="GV303" s="740"/>
      <c r="GW303" s="740"/>
      <c r="GX303" s="740"/>
      <c r="GY303" s="740"/>
      <c r="GZ303" s="740"/>
      <c r="HA303" s="740"/>
      <c r="HB303" s="740"/>
      <c r="HC303" s="740"/>
      <c r="HD303" s="740"/>
      <c r="HE303" s="740"/>
      <c r="HF303" s="740"/>
      <c r="HG303" s="740"/>
      <c r="HH303" s="740"/>
      <c r="HI303" s="740"/>
      <c r="HJ303" s="740"/>
      <c r="HK303" s="740"/>
      <c r="HL303" s="740"/>
      <c r="HM303" s="740"/>
      <c r="HN303" s="740"/>
      <c r="HO303" s="740"/>
      <c r="HP303" s="740"/>
      <c r="HQ303" s="740"/>
      <c r="HR303" s="740"/>
      <c r="HS303" s="740"/>
      <c r="HT303" s="740"/>
      <c r="HU303" s="740"/>
      <c r="HV303" s="740"/>
      <c r="HW303" s="740"/>
      <c r="HX303" s="740"/>
      <c r="HY303" s="740"/>
      <c r="HZ303" s="740"/>
      <c r="IA303" s="740"/>
      <c r="IB303" s="740"/>
      <c r="IC303" s="740"/>
      <c r="ID303" s="740"/>
      <c r="IE303" s="740"/>
      <c r="IF303" s="740"/>
      <c r="IG303" s="740"/>
      <c r="IH303" s="740"/>
      <c r="II303" s="740"/>
      <c r="IJ303" s="740"/>
      <c r="IK303" s="740"/>
      <c r="IL303" s="740"/>
      <c r="IM303" s="740"/>
      <c r="IN303" s="740"/>
      <c r="IO303" s="740"/>
      <c r="IP303" s="740"/>
      <c r="IQ303" s="740"/>
      <c r="IR303" s="740"/>
      <c r="IS303" s="740"/>
      <c r="IT303" s="740"/>
      <c r="IU303" s="740"/>
      <c r="IV303" s="740"/>
    </row>
    <row r="304" spans="1:256" ht="11.25" customHeight="1">
      <c r="B304" s="191" t="s">
        <v>2921</v>
      </c>
      <c r="D304" s="191"/>
      <c r="E304" s="191"/>
      <c r="F304" s="191"/>
      <c r="G304" s="191"/>
      <c r="H304" s="50"/>
      <c r="I304" s="179"/>
      <c r="J304" s="179"/>
      <c r="K304" s="179"/>
      <c r="L304" s="740"/>
      <c r="M304" s="740"/>
      <c r="N304" s="740"/>
      <c r="O304" s="740"/>
      <c r="P304" s="740"/>
      <c r="Q304" s="63"/>
    </row>
    <row r="305" spans="1:31" ht="11.45" customHeight="1">
      <c r="A305" s="1152" t="s">
        <v>4035</v>
      </c>
      <c r="B305" s="1153"/>
      <c r="C305" s="1153"/>
      <c r="D305" s="1153"/>
      <c r="E305" s="1153"/>
      <c r="F305" s="1153"/>
      <c r="G305" s="1153"/>
      <c r="H305" s="1153"/>
      <c r="I305" s="1153"/>
      <c r="J305" s="1153"/>
      <c r="K305" s="1153"/>
      <c r="L305" s="1153"/>
      <c r="M305" s="1153"/>
      <c r="N305" s="1153"/>
      <c r="O305" s="1153"/>
      <c r="P305" s="1153"/>
      <c r="Q305" s="1154"/>
      <c r="R305" s="1032" t="s">
        <v>1933</v>
      </c>
      <c r="S305" s="1032"/>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32"/>
      <c r="S306" s="1032"/>
    </row>
    <row r="307" spans="1:31" ht="11.25" customHeight="1">
      <c r="B307" s="187" t="s">
        <v>2922</v>
      </c>
      <c r="C307" s="188"/>
      <c r="D307" s="742"/>
      <c r="E307" s="742"/>
      <c r="F307" s="742"/>
      <c r="G307" s="742"/>
      <c r="H307" s="742"/>
      <c r="I307" s="742"/>
      <c r="J307" s="742"/>
      <c r="K307" s="742"/>
      <c r="L307" s="742"/>
      <c r="M307" s="742"/>
      <c r="N307" s="742"/>
      <c r="O307" s="742"/>
      <c r="P307" s="742"/>
      <c r="Q307" s="742"/>
    </row>
    <row r="308" spans="1:31" ht="11.45" customHeight="1">
      <c r="A308" s="991"/>
      <c r="B308" s="992"/>
      <c r="C308" s="992"/>
      <c r="D308" s="992"/>
      <c r="E308" s="992"/>
      <c r="F308" s="992"/>
      <c r="G308" s="992"/>
      <c r="H308" s="992"/>
      <c r="I308" s="992"/>
      <c r="J308" s="992"/>
      <c r="K308" s="992"/>
      <c r="L308" s="992"/>
      <c r="M308" s="992"/>
      <c r="N308" s="992"/>
      <c r="O308" s="992"/>
      <c r="P308" s="992"/>
      <c r="Q308" s="993"/>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4" customHeight="1">
      <c r="A310" s="740"/>
      <c r="B310" s="179"/>
      <c r="C310" s="742"/>
      <c r="D310" s="742"/>
      <c r="E310" s="742"/>
      <c r="F310" s="742"/>
      <c r="G310" s="742"/>
      <c r="H310" s="742"/>
      <c r="I310" s="742"/>
      <c r="J310" s="742"/>
      <c r="K310" s="742"/>
      <c r="L310" s="742"/>
      <c r="M310" s="742"/>
      <c r="N310" s="742"/>
      <c r="O310" s="742"/>
      <c r="P310" s="742"/>
      <c r="Q310" s="740"/>
    </row>
    <row r="311" spans="1:31" ht="13.9" customHeight="1">
      <c r="A311" s="744">
        <v>19</v>
      </c>
      <c r="B311" s="744" t="s">
        <v>3122</v>
      </c>
      <c r="C311" s="744"/>
      <c r="D311" s="742"/>
      <c r="E311" s="742"/>
      <c r="F311" s="742"/>
      <c r="G311" s="742"/>
      <c r="H311" s="742"/>
      <c r="O311" s="180" t="s">
        <v>2923</v>
      </c>
      <c r="P311" s="989"/>
      <c r="Q311" s="990"/>
    </row>
    <row r="312" spans="1:31" ht="3.4" customHeight="1"/>
    <row r="313" spans="1:31" ht="11.45" customHeight="1">
      <c r="B313" s="195" t="s">
        <v>3514</v>
      </c>
      <c r="P313" s="1166" t="s">
        <v>3919</v>
      </c>
      <c r="Q313" s="234"/>
    </row>
    <row r="314" spans="1:31" ht="11.45" customHeight="1">
      <c r="B314" s="195" t="s">
        <v>3515</v>
      </c>
      <c r="P314" s="1166" t="s">
        <v>3923</v>
      </c>
      <c r="Q314" s="234"/>
    </row>
    <row r="315" spans="1:31" ht="11.45" customHeight="1">
      <c r="B315" s="195" t="s">
        <v>925</v>
      </c>
      <c r="L315" s="1269" t="s">
        <v>4004</v>
      </c>
      <c r="M315" s="1270"/>
      <c r="N315" s="1270"/>
      <c r="O315" s="1271"/>
      <c r="P315" s="1166" t="s">
        <v>3919</v>
      </c>
      <c r="Q315" s="234"/>
    </row>
    <row r="316" spans="1:31" ht="11.45" customHeight="1">
      <c r="B316" s="690" t="s">
        <v>3516</v>
      </c>
      <c r="L316" s="1006"/>
      <c r="M316" s="1007"/>
      <c r="N316" s="1007"/>
      <c r="O316" s="1008"/>
    </row>
    <row r="317" spans="1:31" ht="4.1500000000000004" customHeight="1">
      <c r="A317" s="189"/>
      <c r="C317" s="190"/>
    </row>
    <row r="318" spans="1:31" ht="11.25" customHeight="1">
      <c r="B318" s="191" t="s">
        <v>2921</v>
      </c>
      <c r="D318" s="191"/>
      <c r="E318" s="191"/>
      <c r="F318" s="191"/>
      <c r="G318" s="191"/>
      <c r="H318" s="50"/>
      <c r="I318" s="179"/>
      <c r="J318" s="179"/>
      <c r="K318" s="179"/>
      <c r="L318" s="740"/>
      <c r="M318" s="740"/>
      <c r="N318" s="740"/>
      <c r="O318" s="740"/>
      <c r="P318" s="740"/>
      <c r="Q318" s="63"/>
    </row>
    <row r="319" spans="1:31" ht="35.65" customHeight="1">
      <c r="A319" s="1152" t="s">
        <v>4036</v>
      </c>
      <c r="B319" s="1153"/>
      <c r="C319" s="1153"/>
      <c r="D319" s="1153"/>
      <c r="E319" s="1153"/>
      <c r="F319" s="1153"/>
      <c r="G319" s="1153"/>
      <c r="H319" s="1153"/>
      <c r="I319" s="1153"/>
      <c r="J319" s="1153"/>
      <c r="K319" s="1153"/>
      <c r="L319" s="1153"/>
      <c r="M319" s="1153"/>
      <c r="N319" s="1153"/>
      <c r="O319" s="1153"/>
      <c r="P319" s="1153"/>
      <c r="Q319" s="1154"/>
      <c r="R319" s="1029" t="s">
        <v>1933</v>
      </c>
      <c r="S319" s="1029"/>
      <c r="U319" s="185"/>
      <c r="V319" s="185"/>
      <c r="W319" s="185"/>
      <c r="X319" s="185"/>
      <c r="Y319" s="185"/>
      <c r="Z319" s="185"/>
      <c r="AA319" s="185"/>
      <c r="AB319" s="185"/>
      <c r="AC319" s="185"/>
      <c r="AD319" s="185"/>
      <c r="AE319" s="186"/>
    </row>
    <row r="320" spans="1:31" ht="5.25" customHeight="1">
      <c r="A320" s="1163"/>
      <c r="B320" s="1164"/>
      <c r="C320" s="1164"/>
      <c r="D320" s="1164"/>
      <c r="E320" s="1164"/>
      <c r="F320" s="1164"/>
      <c r="G320" s="1164"/>
      <c r="H320" s="1164"/>
      <c r="I320" s="1164"/>
      <c r="J320" s="1164"/>
      <c r="K320" s="1164"/>
      <c r="L320" s="1164"/>
      <c r="M320" s="1164"/>
      <c r="N320" s="1164"/>
      <c r="O320" s="1164"/>
      <c r="P320" s="1164"/>
      <c r="Q320" s="1165"/>
      <c r="R320" s="1029"/>
      <c r="S320" s="1029"/>
    </row>
    <row r="321" spans="1:31" ht="3.4" customHeight="1">
      <c r="A321" s="1155"/>
      <c r="B321" s="1156"/>
      <c r="C321" s="1156"/>
      <c r="D321" s="1156"/>
      <c r="E321" s="1156"/>
      <c r="F321" s="1156"/>
      <c r="G321" s="1156"/>
      <c r="H321" s="1156"/>
      <c r="I321" s="1156"/>
      <c r="J321" s="1156"/>
      <c r="K321" s="1156"/>
      <c r="L321" s="1156"/>
      <c r="M321" s="1156"/>
      <c r="N321" s="1156"/>
      <c r="O321" s="1156"/>
      <c r="P321" s="1156"/>
      <c r="Q321" s="1157"/>
      <c r="R321" s="1029"/>
      <c r="S321" s="1029"/>
    </row>
    <row r="322" spans="1:31" ht="11.25" customHeight="1">
      <c r="B322" s="187" t="s">
        <v>2922</v>
      </c>
      <c r="C322" s="188"/>
      <c r="D322" s="742"/>
      <c r="E322" s="742"/>
      <c r="F322" s="742"/>
      <c r="G322" s="742"/>
      <c r="H322" s="742"/>
      <c r="I322" s="742"/>
      <c r="J322" s="742"/>
      <c r="K322" s="742"/>
      <c r="L322" s="742"/>
      <c r="M322" s="742"/>
      <c r="N322" s="742"/>
      <c r="O322" s="742"/>
      <c r="P322" s="742"/>
      <c r="Q322" s="742"/>
    </row>
    <row r="323" spans="1:31" ht="13.15" customHeight="1">
      <c r="A323" s="991"/>
      <c r="B323" s="992"/>
      <c r="C323" s="992"/>
      <c r="D323" s="992"/>
      <c r="E323" s="992"/>
      <c r="F323" s="992"/>
      <c r="G323" s="992"/>
      <c r="H323" s="992"/>
      <c r="I323" s="992"/>
      <c r="J323" s="992"/>
      <c r="K323" s="992"/>
      <c r="L323" s="992"/>
      <c r="M323" s="992"/>
      <c r="N323" s="992"/>
      <c r="O323" s="992"/>
      <c r="P323" s="992"/>
      <c r="Q323" s="993"/>
    </row>
    <row r="324" spans="1:31" ht="13.15" customHeight="1">
      <c r="A324" s="1011"/>
      <c r="B324" s="1012"/>
      <c r="C324" s="1012"/>
      <c r="D324" s="1012"/>
      <c r="E324" s="1012"/>
      <c r="F324" s="1012"/>
      <c r="G324" s="1012"/>
      <c r="H324" s="1012"/>
      <c r="I324" s="1012"/>
      <c r="J324" s="1012"/>
      <c r="K324" s="1012"/>
      <c r="L324" s="1012"/>
      <c r="M324" s="1012"/>
      <c r="N324" s="1012"/>
      <c r="O324" s="1012"/>
      <c r="P324" s="1012"/>
      <c r="Q324" s="1013"/>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2"/>
      <c r="D326" s="742"/>
      <c r="E326" s="742"/>
      <c r="F326" s="742"/>
      <c r="G326" s="742"/>
      <c r="H326" s="742"/>
      <c r="I326" s="742"/>
      <c r="J326" s="742"/>
      <c r="K326" s="742"/>
      <c r="L326" s="742"/>
      <c r="M326" s="742"/>
      <c r="Q326" s="63"/>
    </row>
    <row r="327" spans="1:31" ht="13.9" customHeight="1">
      <c r="A327" s="744">
        <v>20</v>
      </c>
      <c r="B327" s="5" t="s">
        <v>471</v>
      </c>
      <c r="C327" s="5"/>
      <c r="D327" s="118"/>
      <c r="E327" s="742"/>
      <c r="F327" s="742"/>
      <c r="G327" s="742"/>
      <c r="H327" s="742"/>
      <c r="I327" s="742"/>
      <c r="J327" s="742"/>
      <c r="K327" s="742"/>
      <c r="L327" s="742"/>
      <c r="M327" s="742"/>
      <c r="O327" s="180" t="s">
        <v>2923</v>
      </c>
      <c r="P327" s="989"/>
      <c r="Q327" s="990"/>
    </row>
    <row r="328" spans="1:31" ht="3.4" customHeight="1"/>
    <row r="329" spans="1:31" ht="22.15" customHeight="1">
      <c r="B329" s="192" t="s">
        <v>3060</v>
      </c>
      <c r="C329" s="1002" t="s">
        <v>2544</v>
      </c>
      <c r="D329" s="1002"/>
      <c r="E329" s="1002"/>
      <c r="F329" s="1002"/>
      <c r="G329" s="1002"/>
      <c r="H329" s="1002"/>
      <c r="I329" s="1002"/>
      <c r="J329" s="1002"/>
      <c r="K329" s="1002"/>
      <c r="L329" s="1002"/>
      <c r="M329" s="1002"/>
      <c r="N329" s="1002"/>
      <c r="O329" s="221" t="s">
        <v>3060</v>
      </c>
      <c r="P329" s="1166" t="s">
        <v>3919</v>
      </c>
      <c r="Q329" s="234"/>
    </row>
    <row r="330" spans="1:31" ht="11.45" customHeight="1">
      <c r="B330" s="192" t="s">
        <v>3063</v>
      </c>
      <c r="C330" s="1002" t="s">
        <v>356</v>
      </c>
      <c r="D330" s="1002"/>
      <c r="E330" s="1002"/>
      <c r="F330" s="1002"/>
      <c r="G330" s="1002"/>
      <c r="H330" s="1002"/>
      <c r="I330" s="1002"/>
      <c r="J330" s="1002"/>
      <c r="K330" s="1002"/>
      <c r="L330" s="1002"/>
      <c r="M330" s="742"/>
      <c r="O330" s="221" t="s">
        <v>3063</v>
      </c>
      <c r="P330" s="1166" t="s">
        <v>3919</v>
      </c>
      <c r="Q330" s="234"/>
    </row>
    <row r="331" spans="1:31" ht="11.45" customHeight="1">
      <c r="B331" s="192" t="s">
        <v>1239</v>
      </c>
      <c r="C331" s="197" t="s">
        <v>1966</v>
      </c>
      <c r="D331" s="197"/>
      <c r="E331" s="197"/>
      <c r="F331" s="197"/>
      <c r="G331" s="197"/>
      <c r="H331" s="197"/>
      <c r="I331" s="197"/>
      <c r="J331" s="197"/>
      <c r="K331" s="197"/>
      <c r="L331" s="197"/>
      <c r="M331" s="197"/>
      <c r="O331" s="221" t="s">
        <v>1239</v>
      </c>
      <c r="P331" s="1166" t="s">
        <v>3919</v>
      </c>
      <c r="Q331" s="234"/>
    </row>
    <row r="332" spans="1:31" ht="22.15" customHeight="1">
      <c r="B332" s="192" t="s">
        <v>3212</v>
      </c>
      <c r="C332" s="1002" t="s">
        <v>1059</v>
      </c>
      <c r="D332" s="1002"/>
      <c r="E332" s="1002"/>
      <c r="F332" s="1002"/>
      <c r="G332" s="1002"/>
      <c r="H332" s="1002"/>
      <c r="I332" s="1002"/>
      <c r="J332" s="1002"/>
      <c r="K332" s="1002"/>
      <c r="L332" s="1002"/>
      <c r="M332" s="1002"/>
      <c r="N332" s="1002"/>
      <c r="O332" s="221" t="s">
        <v>3212</v>
      </c>
      <c r="P332" s="1166" t="s">
        <v>3919</v>
      </c>
      <c r="Q332" s="234"/>
    </row>
    <row r="333" spans="1:31" ht="11.25" customHeight="1">
      <c r="B333" s="191" t="s">
        <v>2921</v>
      </c>
      <c r="D333" s="191"/>
      <c r="E333" s="191"/>
      <c r="F333" s="191"/>
      <c r="G333" s="191"/>
      <c r="H333" s="50"/>
      <c r="I333" s="179"/>
      <c r="J333" s="179"/>
      <c r="K333" s="179"/>
      <c r="L333" s="740"/>
      <c r="M333" s="740"/>
      <c r="N333" s="740"/>
      <c r="O333" s="740"/>
      <c r="P333" s="740"/>
      <c r="Q333" s="63"/>
    </row>
    <row r="334" spans="1:31" ht="11.45" customHeight="1">
      <c r="A334" s="1152" t="s">
        <v>4037</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4" customHeight="1">
      <c r="C336" s="134"/>
      <c r="D336" s="134"/>
    </row>
    <row r="337" spans="1:31" ht="11.25" customHeight="1">
      <c r="B337" s="187" t="s">
        <v>2922</v>
      </c>
      <c r="C337" s="188"/>
      <c r="D337" s="742"/>
      <c r="E337" s="742"/>
      <c r="F337" s="742"/>
      <c r="G337" s="742"/>
      <c r="H337" s="742"/>
      <c r="I337" s="742"/>
      <c r="J337" s="742"/>
      <c r="K337" s="742"/>
      <c r="L337" s="742"/>
      <c r="M337" s="742"/>
      <c r="N337" s="742"/>
      <c r="O337" s="742"/>
      <c r="P337" s="742"/>
      <c r="Q337" s="742"/>
    </row>
    <row r="338" spans="1:31" ht="11.45" customHeight="1">
      <c r="A338" s="991"/>
      <c r="B338" s="992"/>
      <c r="C338" s="992"/>
      <c r="D338" s="992"/>
      <c r="E338" s="992"/>
      <c r="F338" s="992"/>
      <c r="G338" s="992"/>
      <c r="H338" s="992"/>
      <c r="I338" s="992"/>
      <c r="J338" s="992"/>
      <c r="K338" s="992"/>
      <c r="L338" s="992"/>
      <c r="M338" s="992"/>
      <c r="N338" s="992"/>
      <c r="O338" s="992"/>
      <c r="P338" s="992"/>
      <c r="Q338" s="993"/>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40"/>
      <c r="B340" s="179"/>
      <c r="C340" s="742"/>
      <c r="D340" s="742"/>
      <c r="E340" s="742"/>
      <c r="F340" s="742"/>
      <c r="G340" s="742"/>
      <c r="H340" s="742"/>
      <c r="I340" s="742"/>
      <c r="J340" s="742"/>
      <c r="K340" s="742"/>
      <c r="L340" s="742"/>
      <c r="M340" s="742"/>
      <c r="N340" s="742"/>
      <c r="O340" s="742"/>
      <c r="P340" s="742"/>
      <c r="Q340" s="63"/>
      <c r="R340" s="9"/>
      <c r="S340" s="9"/>
    </row>
    <row r="341" spans="1:31" ht="13.9" customHeight="1">
      <c r="A341" s="744">
        <v>21</v>
      </c>
      <c r="B341" s="5" t="s">
        <v>1554</v>
      </c>
      <c r="C341" s="5"/>
      <c r="D341" s="5"/>
      <c r="E341" s="5"/>
      <c r="F341" s="5"/>
      <c r="G341" s="5"/>
      <c r="H341" s="742"/>
      <c r="I341" s="742"/>
      <c r="J341" s="742"/>
      <c r="K341" s="742"/>
      <c r="L341" s="742"/>
      <c r="M341" s="742"/>
      <c r="O341" s="180" t="s">
        <v>2923</v>
      </c>
      <c r="P341" s="989"/>
      <c r="Q341" s="990"/>
    </row>
    <row r="342" spans="1:31" ht="12.4" customHeight="1">
      <c r="B342" s="57" t="s">
        <v>3060</v>
      </c>
      <c r="C342" s="160" t="s">
        <v>2084</v>
      </c>
      <c r="D342" s="748"/>
      <c r="E342" s="748"/>
      <c r="F342" s="748"/>
      <c r="G342" s="748"/>
      <c r="H342" s="748"/>
      <c r="I342" s="52"/>
      <c r="J342" s="62" t="s">
        <v>3060</v>
      </c>
      <c r="K342" s="1224" t="s">
        <v>3931</v>
      </c>
      <c r="L342" s="1225"/>
      <c r="M342" s="1225"/>
      <c r="N342" s="1225"/>
      <c r="O342" s="1226"/>
      <c r="P342" s="1166" t="s">
        <v>3919</v>
      </c>
      <c r="Q342" s="234"/>
    </row>
    <row r="343" spans="1:31" ht="24" customHeight="1">
      <c r="B343" s="192" t="s">
        <v>3063</v>
      </c>
      <c r="C343" s="975" t="s">
        <v>2907</v>
      </c>
      <c r="D343" s="975"/>
      <c r="E343" s="975"/>
      <c r="F343" s="975"/>
      <c r="G343" s="975"/>
      <c r="H343" s="975"/>
      <c r="I343" s="975"/>
      <c r="J343" s="975"/>
      <c r="K343" s="975"/>
      <c r="L343" s="975"/>
      <c r="M343" s="975"/>
      <c r="O343" s="221" t="s">
        <v>3063</v>
      </c>
      <c r="P343" s="1251" t="s">
        <v>3919</v>
      </c>
      <c r="Q343" s="234"/>
    </row>
    <row r="344" spans="1:31" ht="12.4" customHeight="1">
      <c r="B344" s="57" t="s">
        <v>1239</v>
      </c>
      <c r="C344" s="65" t="s">
        <v>1555</v>
      </c>
      <c r="D344" s="65"/>
      <c r="E344" s="65"/>
      <c r="F344" s="65"/>
      <c r="G344" s="65"/>
      <c r="H344" s="65"/>
      <c r="I344" s="65"/>
      <c r="J344" s="65"/>
      <c r="K344" s="65"/>
      <c r="L344" s="40"/>
      <c r="M344" s="40"/>
      <c r="O344" s="62" t="s">
        <v>1239</v>
      </c>
      <c r="P344" s="1166" t="s">
        <v>3919</v>
      </c>
      <c r="Q344" s="234"/>
    </row>
    <row r="345" spans="1:31" ht="12.4" customHeight="1">
      <c r="B345" s="57" t="s">
        <v>3212</v>
      </c>
      <c r="C345" s="65" t="s">
        <v>355</v>
      </c>
      <c r="D345" s="65"/>
      <c r="E345" s="65"/>
      <c r="F345" s="65"/>
      <c r="G345" s="65"/>
      <c r="H345" s="65"/>
      <c r="I345" s="65"/>
      <c r="J345" s="65"/>
      <c r="K345" s="65"/>
      <c r="L345" s="65"/>
      <c r="M345" s="65"/>
      <c r="O345" s="62" t="s">
        <v>3212</v>
      </c>
      <c r="P345" s="1166" t="s">
        <v>3919</v>
      </c>
      <c r="Q345" s="234"/>
    </row>
    <row r="346" spans="1:31" ht="22.9" customHeight="1">
      <c r="B346" s="192" t="s">
        <v>2763</v>
      </c>
      <c r="C346" s="1002" t="s">
        <v>430</v>
      </c>
      <c r="D346" s="1002"/>
      <c r="E346" s="1002"/>
      <c r="F346" s="1002"/>
      <c r="G346" s="1002"/>
      <c r="H346" s="1002"/>
      <c r="I346" s="1002"/>
      <c r="J346" s="1002"/>
      <c r="K346" s="1002"/>
      <c r="L346" s="1002"/>
      <c r="M346" s="1002"/>
      <c r="N346" s="1002"/>
      <c r="O346" s="221" t="s">
        <v>2763</v>
      </c>
      <c r="P346" s="1251" t="s">
        <v>3919</v>
      </c>
      <c r="Q346" s="353"/>
    </row>
    <row r="347" spans="1:31" ht="12.4" customHeight="1">
      <c r="B347" s="57" t="s">
        <v>2764</v>
      </c>
      <c r="C347" s="65" t="s">
        <v>1986</v>
      </c>
      <c r="D347" s="65"/>
      <c r="E347" s="65"/>
      <c r="F347" s="65"/>
      <c r="G347" s="65"/>
      <c r="H347" s="65"/>
      <c r="I347" s="65"/>
      <c r="J347" s="65"/>
      <c r="K347" s="65"/>
      <c r="L347" s="65"/>
      <c r="M347" s="65"/>
      <c r="O347" s="62" t="s">
        <v>2764</v>
      </c>
      <c r="P347" s="1166"/>
      <c r="Q347" s="234"/>
    </row>
    <row r="348" spans="1:31" ht="11.25" customHeight="1">
      <c r="B348" s="191" t="s">
        <v>2921</v>
      </c>
      <c r="D348" s="191"/>
      <c r="E348" s="191"/>
      <c r="F348" s="191"/>
      <c r="G348" s="191"/>
      <c r="H348" s="50"/>
      <c r="I348" s="179"/>
      <c r="J348" s="179"/>
      <c r="K348" s="179"/>
      <c r="L348" s="740"/>
      <c r="M348" s="740"/>
      <c r="N348" s="740"/>
      <c r="O348" s="740"/>
      <c r="P348" s="740"/>
      <c r="Q348" s="63"/>
    </row>
    <row r="349" spans="1:31" ht="27" customHeight="1">
      <c r="A349" s="1159" t="s">
        <v>4038</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2922</v>
      </c>
      <c r="C350" s="188"/>
      <c r="D350" s="742"/>
      <c r="E350" s="742"/>
      <c r="F350" s="742"/>
      <c r="G350" s="742"/>
      <c r="H350" s="742"/>
      <c r="I350" s="742"/>
      <c r="J350" s="742"/>
      <c r="K350" s="742"/>
      <c r="L350" s="742"/>
      <c r="M350" s="742"/>
      <c r="N350" s="742"/>
      <c r="O350" s="742"/>
      <c r="P350" s="742"/>
      <c r="Q350" s="742"/>
    </row>
    <row r="351" spans="1:31" ht="11.45" customHeight="1">
      <c r="A351" s="998"/>
      <c r="B351" s="999"/>
      <c r="C351" s="999"/>
      <c r="D351" s="999"/>
      <c r="E351" s="999"/>
      <c r="F351" s="999"/>
      <c r="G351" s="999"/>
      <c r="H351" s="999"/>
      <c r="I351" s="999"/>
      <c r="J351" s="999"/>
      <c r="K351" s="999"/>
      <c r="L351" s="999"/>
      <c r="M351" s="999"/>
      <c r="N351" s="999"/>
      <c r="O351" s="999"/>
      <c r="P351" s="999"/>
      <c r="Q351" s="1000"/>
    </row>
    <row r="352" spans="1:31" ht="6" customHeight="1">
      <c r="A352" s="740"/>
      <c r="B352" s="179"/>
      <c r="C352" s="742"/>
      <c r="D352" s="742"/>
      <c r="E352" s="742"/>
      <c r="F352" s="742"/>
      <c r="G352" s="742"/>
      <c r="H352" s="742"/>
      <c r="I352" s="742"/>
      <c r="J352" s="742"/>
      <c r="K352" s="742"/>
      <c r="L352" s="742"/>
      <c r="M352" s="742"/>
      <c r="Q352" s="63"/>
    </row>
    <row r="353" spans="1:31" ht="13.9" customHeight="1">
      <c r="A353" s="744">
        <v>22</v>
      </c>
      <c r="B353" s="5" t="s">
        <v>3754</v>
      </c>
      <c r="C353" s="5"/>
      <c r="D353" s="5"/>
      <c r="E353" s="5"/>
      <c r="F353" s="5"/>
      <c r="G353" s="5"/>
      <c r="H353" s="742"/>
      <c r="I353" s="742"/>
      <c r="J353" s="742"/>
      <c r="O353" s="180" t="s">
        <v>2923</v>
      </c>
      <c r="P353" s="989"/>
      <c r="Q353" s="990"/>
    </row>
    <row r="354" spans="1:31" ht="11.45" customHeight="1">
      <c r="B354" s="57" t="s">
        <v>3060</v>
      </c>
      <c r="C354" s="160" t="s">
        <v>1658</v>
      </c>
      <c r="D354" s="748"/>
      <c r="E354" s="748"/>
      <c r="F354" s="748"/>
      <c r="G354" s="748"/>
      <c r="H354" s="748"/>
      <c r="I354" s="52"/>
      <c r="J354" s="62" t="s">
        <v>3060</v>
      </c>
      <c r="K354" s="1224" t="s">
        <v>4005</v>
      </c>
      <c r="L354" s="1225"/>
      <c r="M354" s="1225"/>
      <c r="N354" s="1225"/>
      <c r="O354" s="1226"/>
      <c r="P354" s="1166"/>
      <c r="Q354" s="234"/>
    </row>
    <row r="355" spans="1:31" ht="11.45" customHeight="1">
      <c r="B355" s="57" t="s">
        <v>3063</v>
      </c>
      <c r="C355" s="65" t="s">
        <v>2768</v>
      </c>
      <c r="D355" s="65"/>
      <c r="E355" s="65"/>
      <c r="F355" s="65"/>
      <c r="G355" s="65"/>
      <c r="H355" s="65"/>
      <c r="I355" s="65"/>
      <c r="J355" s="65"/>
      <c r="K355" s="65"/>
      <c r="L355" s="40"/>
      <c r="M355" s="40"/>
      <c r="O355" s="62" t="s">
        <v>3063</v>
      </c>
      <c r="P355" s="1166"/>
      <c r="Q355" s="234"/>
    </row>
    <row r="356" spans="1:31" ht="11.45" customHeight="1">
      <c r="B356" s="57" t="s">
        <v>1239</v>
      </c>
      <c r="C356" s="65" t="s">
        <v>2148</v>
      </c>
      <c r="D356" s="65"/>
      <c r="E356" s="65"/>
      <c r="F356" s="65"/>
      <c r="G356" s="65"/>
      <c r="H356" s="65"/>
      <c r="I356" s="65"/>
      <c r="J356" s="65"/>
      <c r="K356" s="65"/>
      <c r="L356" s="65"/>
      <c r="M356" s="65"/>
      <c r="O356" s="62" t="s">
        <v>1239</v>
      </c>
      <c r="P356" s="1166"/>
      <c r="Q356" s="234"/>
    </row>
    <row r="357" spans="1:31" ht="11.45" customHeight="1">
      <c r="B357" s="57" t="s">
        <v>3212</v>
      </c>
      <c r="C357" s="65" t="s">
        <v>3090</v>
      </c>
      <c r="D357" s="65"/>
      <c r="E357" s="65"/>
      <c r="F357" s="65"/>
      <c r="G357" s="65"/>
      <c r="H357" s="65"/>
      <c r="I357" s="65"/>
      <c r="J357" s="65"/>
      <c r="K357" s="65"/>
      <c r="L357" s="65"/>
      <c r="M357" s="65"/>
      <c r="O357" s="62" t="s">
        <v>3212</v>
      </c>
      <c r="P357" s="1166"/>
      <c r="Q357" s="234"/>
    </row>
    <row r="358" spans="1:31" ht="22.15" customHeight="1">
      <c r="B358" s="192" t="s">
        <v>2763</v>
      </c>
      <c r="C358" s="1002" t="s">
        <v>636</v>
      </c>
      <c r="D358" s="1002"/>
      <c r="E358" s="1002"/>
      <c r="F358" s="1002"/>
      <c r="G358" s="1002"/>
      <c r="H358" s="1002"/>
      <c r="I358" s="1002"/>
      <c r="J358" s="1002"/>
      <c r="K358" s="1002"/>
      <c r="L358" s="1002"/>
      <c r="M358" s="1002"/>
      <c r="N358" s="1002"/>
      <c r="O358" s="221" t="s">
        <v>2763</v>
      </c>
      <c r="P358" s="1166"/>
      <c r="Q358" s="234"/>
    </row>
    <row r="359" spans="1:31" ht="20.45" customHeight="1">
      <c r="B359" s="192" t="s">
        <v>2764</v>
      </c>
      <c r="C359" s="975" t="s">
        <v>230</v>
      </c>
      <c r="D359" s="975"/>
      <c r="E359" s="975"/>
      <c r="F359" s="975"/>
      <c r="G359" s="975"/>
      <c r="H359" s="975"/>
      <c r="I359" s="975"/>
      <c r="J359" s="975"/>
      <c r="K359" s="975"/>
      <c r="L359" s="975"/>
      <c r="M359" s="975"/>
      <c r="N359" s="975"/>
      <c r="O359" s="221" t="s">
        <v>2764</v>
      </c>
      <c r="P359" s="1251"/>
      <c r="Q359" s="234"/>
    </row>
    <row r="360" spans="1:31" ht="11.45" customHeight="1">
      <c r="B360" s="57" t="s">
        <v>3020</v>
      </c>
      <c r="C360" s="40" t="s">
        <v>852</v>
      </c>
      <c r="D360" s="204"/>
      <c r="E360" s="204"/>
      <c r="F360" s="204"/>
      <c r="G360" s="204"/>
      <c r="H360" s="204"/>
      <c r="I360" s="204"/>
      <c r="J360" s="204"/>
      <c r="K360" s="204"/>
      <c r="L360" s="204"/>
      <c r="M360" s="204"/>
      <c r="O360" s="62" t="s">
        <v>3020</v>
      </c>
      <c r="P360" s="1166"/>
      <c r="Q360" s="234"/>
    </row>
    <row r="361" spans="1:31" ht="11.25" customHeight="1">
      <c r="B361" s="191" t="s">
        <v>2921</v>
      </c>
      <c r="D361" s="191"/>
      <c r="E361" s="191"/>
      <c r="F361" s="191"/>
      <c r="G361" s="191"/>
      <c r="H361" s="50"/>
      <c r="I361" s="179"/>
      <c r="J361" s="179"/>
      <c r="K361" s="179"/>
      <c r="L361" s="740"/>
      <c r="M361" s="740"/>
      <c r="N361" s="740"/>
      <c r="O361" s="740"/>
      <c r="P361" s="740"/>
      <c r="Q361" s="63"/>
    </row>
    <row r="362" spans="1:31" ht="11.45" customHeight="1">
      <c r="A362" s="1159" t="s">
        <v>3957</v>
      </c>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2922</v>
      </c>
      <c r="C363" s="188"/>
      <c r="D363" s="742"/>
      <c r="E363" s="742"/>
      <c r="F363" s="742"/>
      <c r="G363" s="742"/>
      <c r="H363" s="742"/>
      <c r="I363" s="742"/>
      <c r="J363" s="742"/>
      <c r="K363" s="742"/>
      <c r="L363" s="742"/>
      <c r="M363" s="742"/>
      <c r="N363" s="742"/>
      <c r="O363" s="742"/>
      <c r="P363" s="742"/>
      <c r="Q363" s="742"/>
    </row>
    <row r="364" spans="1:31" ht="11.45" customHeight="1">
      <c r="A364" s="998"/>
      <c r="B364" s="999"/>
      <c r="C364" s="999"/>
      <c r="D364" s="999"/>
      <c r="E364" s="999"/>
      <c r="F364" s="999"/>
      <c r="G364" s="999"/>
      <c r="H364" s="999"/>
      <c r="I364" s="999"/>
      <c r="J364" s="999"/>
      <c r="K364" s="999"/>
      <c r="L364" s="999"/>
      <c r="M364" s="999"/>
      <c r="N364" s="999"/>
      <c r="O364" s="999"/>
      <c r="P364" s="999"/>
      <c r="Q364" s="1000"/>
    </row>
    <row r="365" spans="1:31" ht="3.6" customHeight="1">
      <c r="A365" s="740"/>
      <c r="B365" s="179"/>
      <c r="C365" s="742"/>
      <c r="D365" s="742"/>
      <c r="E365" s="742"/>
      <c r="F365" s="742"/>
      <c r="G365" s="742"/>
      <c r="H365" s="742"/>
      <c r="I365" s="742"/>
      <c r="J365" s="742"/>
      <c r="K365" s="742"/>
      <c r="L365" s="742"/>
      <c r="M365" s="742"/>
      <c r="Q365" s="63"/>
    </row>
    <row r="366" spans="1:31" ht="13.9" customHeight="1">
      <c r="A366" s="744">
        <v>23</v>
      </c>
      <c r="B366" s="5" t="s">
        <v>1083</v>
      </c>
      <c r="C366" s="5"/>
      <c r="D366" s="118"/>
      <c r="E366" s="742"/>
      <c r="F366" s="742"/>
      <c r="G366" s="742"/>
      <c r="H366" s="742"/>
      <c r="I366" s="742"/>
      <c r="J366" s="742"/>
      <c r="K366" s="742"/>
      <c r="L366" s="742"/>
      <c r="M366" s="742"/>
      <c r="O366" s="180" t="s">
        <v>2923</v>
      </c>
      <c r="P366" s="989"/>
      <c r="Q366" s="990"/>
    </row>
    <row r="367" spans="1:31" s="2" customFormat="1" ht="23.45" customHeight="1">
      <c r="B367" s="192" t="s">
        <v>3060</v>
      </c>
      <c r="C367" s="1002" t="s">
        <v>201</v>
      </c>
      <c r="D367" s="1002"/>
      <c r="E367" s="1002"/>
      <c r="F367" s="1002"/>
      <c r="G367" s="1002"/>
      <c r="H367" s="1002"/>
      <c r="I367" s="1002"/>
      <c r="J367" s="1002"/>
      <c r="K367" s="1002"/>
      <c r="L367" s="1002"/>
      <c r="M367" s="221" t="s">
        <v>3060</v>
      </c>
      <c r="N367" s="1272" t="s">
        <v>3948</v>
      </c>
      <c r="O367" s="1273"/>
      <c r="P367" s="1040" t="s">
        <v>2801</v>
      </c>
      <c r="Q367" s="1041"/>
    </row>
    <row r="368" spans="1:31" s="2" customFormat="1" ht="12.4" customHeight="1">
      <c r="B368" s="57" t="s">
        <v>3063</v>
      </c>
      <c r="C368" s="157" t="s">
        <v>2</v>
      </c>
      <c r="D368" s="204"/>
      <c r="E368" s="204"/>
      <c r="G368" s="62" t="s">
        <v>3063</v>
      </c>
      <c r="H368" s="1235" t="s">
        <v>4006</v>
      </c>
      <c r="I368" s="1236"/>
      <c r="J368" s="1236"/>
      <c r="K368" s="1236"/>
      <c r="L368" s="1236"/>
      <c r="M368" s="1236"/>
      <c r="N368" s="1236"/>
      <c r="O368" s="1237"/>
      <c r="P368" s="1166" t="s">
        <v>3919</v>
      </c>
      <c r="Q368" s="234"/>
    </row>
    <row r="369" spans="1:31" s="2" customFormat="1" ht="12.4" customHeight="1">
      <c r="B369" s="57" t="s">
        <v>1239</v>
      </c>
      <c r="C369" s="40" t="s">
        <v>2126</v>
      </c>
      <c r="D369" s="12"/>
      <c r="E369" s="12"/>
      <c r="F369" s="12"/>
      <c r="G369" s="8"/>
      <c r="H369" s="8"/>
      <c r="I369" s="40"/>
      <c r="K369" s="8"/>
      <c r="L369" s="8"/>
      <c r="M369" s="8"/>
      <c r="O369" s="62" t="s">
        <v>1239</v>
      </c>
      <c r="P369" s="1166" t="s">
        <v>3919</v>
      </c>
      <c r="Q369" s="234"/>
    </row>
    <row r="370" spans="1:31" ht="11.25" customHeight="1">
      <c r="B370" s="191" t="s">
        <v>2921</v>
      </c>
      <c r="D370" s="191"/>
      <c r="E370" s="191"/>
      <c r="F370" s="191"/>
      <c r="G370" s="191"/>
      <c r="H370" s="50"/>
      <c r="I370" s="179"/>
      <c r="J370" s="179"/>
      <c r="K370" s="179"/>
      <c r="L370" s="740"/>
      <c r="M370" s="740"/>
      <c r="N370" s="740"/>
      <c r="O370" s="740"/>
      <c r="P370" s="740"/>
      <c r="Q370" s="63"/>
    </row>
    <row r="371" spans="1:31" ht="24" customHeight="1">
      <c r="A371" s="1152" t="s">
        <v>4039</v>
      </c>
      <c r="B371" s="1153"/>
      <c r="C371" s="1153"/>
      <c r="D371" s="1153"/>
      <c r="E371" s="1153"/>
      <c r="F371" s="1153"/>
      <c r="G371" s="1153"/>
      <c r="H371" s="1153"/>
      <c r="I371" s="1153"/>
      <c r="J371" s="1153"/>
      <c r="K371" s="1153"/>
      <c r="L371" s="1153"/>
      <c r="M371" s="1153"/>
      <c r="N371" s="1153"/>
      <c r="O371" s="1153"/>
      <c r="P371" s="1153"/>
      <c r="Q371" s="1154"/>
      <c r="R371" s="1029" t="s">
        <v>1933</v>
      </c>
      <c r="S371" s="1029"/>
      <c r="U371" s="185"/>
      <c r="V371" s="185"/>
      <c r="W371" s="185"/>
      <c r="X371" s="185"/>
      <c r="Y371" s="185"/>
      <c r="Z371" s="185"/>
      <c r="AA371" s="185"/>
      <c r="AB371" s="185"/>
      <c r="AC371" s="185"/>
      <c r="AD371" s="185"/>
      <c r="AE371" s="186"/>
    </row>
    <row r="372" spans="1:31" ht="1.5" customHeight="1">
      <c r="A372" s="1155"/>
      <c r="B372" s="1156"/>
      <c r="C372" s="1156"/>
      <c r="D372" s="1156"/>
      <c r="E372" s="1156"/>
      <c r="F372" s="1156"/>
      <c r="G372" s="1156"/>
      <c r="H372" s="1156"/>
      <c r="I372" s="1156"/>
      <c r="J372" s="1156"/>
      <c r="K372" s="1156"/>
      <c r="L372" s="1156"/>
      <c r="M372" s="1156"/>
      <c r="N372" s="1156"/>
      <c r="O372" s="1156"/>
      <c r="P372" s="1156"/>
      <c r="Q372" s="1157"/>
      <c r="R372" s="1029"/>
      <c r="S372" s="1029"/>
    </row>
    <row r="373" spans="1:31" s="31" customFormat="1" ht="3.4" customHeight="1">
      <c r="C373" s="134"/>
      <c r="D373" s="134"/>
      <c r="R373" s="1029"/>
      <c r="S373" s="1029"/>
    </row>
    <row r="374" spans="1:31" ht="11.25" customHeight="1">
      <c r="B374" s="187" t="s">
        <v>2922</v>
      </c>
      <c r="C374" s="188"/>
      <c r="D374" s="742"/>
      <c r="E374" s="742"/>
      <c r="F374" s="742"/>
      <c r="G374" s="742"/>
      <c r="H374" s="742"/>
      <c r="I374" s="742"/>
      <c r="J374" s="742"/>
      <c r="K374" s="742"/>
      <c r="L374" s="742"/>
      <c r="M374" s="742"/>
      <c r="N374" s="742"/>
      <c r="O374" s="742"/>
      <c r="P374" s="742"/>
      <c r="Q374" s="742"/>
    </row>
    <row r="375" spans="1:31" ht="11.45" customHeight="1">
      <c r="A375" s="991"/>
      <c r="B375" s="992"/>
      <c r="C375" s="992"/>
      <c r="D375" s="992"/>
      <c r="E375" s="992"/>
      <c r="F375" s="992"/>
      <c r="G375" s="992"/>
      <c r="H375" s="992"/>
      <c r="I375" s="992"/>
      <c r="J375" s="992"/>
      <c r="K375" s="992"/>
      <c r="L375" s="992"/>
      <c r="M375" s="992"/>
      <c r="N375" s="992"/>
      <c r="O375" s="992"/>
      <c r="P375" s="992"/>
      <c r="Q375" s="993"/>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40"/>
      <c r="B377" s="179"/>
      <c r="C377" s="742"/>
      <c r="D377" s="742"/>
      <c r="E377" s="742"/>
      <c r="F377" s="742"/>
      <c r="G377" s="742"/>
      <c r="H377" s="742"/>
      <c r="I377" s="742"/>
      <c r="J377" s="742"/>
      <c r="K377" s="742"/>
      <c r="L377" s="742"/>
      <c r="M377" s="742"/>
      <c r="N377" s="742"/>
      <c r="O377" s="742"/>
      <c r="P377" s="742"/>
      <c r="Q377" s="740"/>
    </row>
    <row r="378" spans="1:31" ht="13.9" customHeight="1">
      <c r="A378" s="744">
        <v>24</v>
      </c>
      <c r="B378" s="5" t="s">
        <v>2530</v>
      </c>
      <c r="C378" s="5"/>
      <c r="D378" s="5"/>
      <c r="E378" s="742"/>
      <c r="F378" s="190" t="s">
        <v>1058</v>
      </c>
      <c r="G378" s="742"/>
      <c r="H378" s="742"/>
      <c r="I378" s="742"/>
      <c r="J378" s="742"/>
      <c r="K378" s="742"/>
      <c r="L378" s="742"/>
      <c r="M378" s="742"/>
      <c r="O378" s="180" t="s">
        <v>2923</v>
      </c>
      <c r="P378" s="989"/>
      <c r="Q378" s="1039"/>
    </row>
    <row r="379" spans="1:31" ht="12.4" customHeight="1">
      <c r="A379" s="194"/>
      <c r="B379" s="57" t="s">
        <v>3060</v>
      </c>
      <c r="C379" s="65" t="s">
        <v>2127</v>
      </c>
      <c r="D379" s="745"/>
      <c r="E379" s="745"/>
      <c r="H379" s="190"/>
      <c r="O379" s="62" t="s">
        <v>3060</v>
      </c>
      <c r="P379" s="1166" t="s">
        <v>3923</v>
      </c>
      <c r="Q379" s="234"/>
    </row>
    <row r="380" spans="1:31" ht="12.4" customHeight="1">
      <c r="A380" s="194"/>
      <c r="B380" s="57" t="s">
        <v>3063</v>
      </c>
      <c r="C380" s="65" t="s">
        <v>1242</v>
      </c>
      <c r="D380" s="745"/>
      <c r="E380" s="745"/>
      <c r="O380" s="62" t="s">
        <v>3063</v>
      </c>
      <c r="P380" s="1166" t="s">
        <v>3923</v>
      </c>
      <c r="Q380" s="234"/>
    </row>
    <row r="381" spans="1:31" ht="12.4" customHeight="1">
      <c r="A381" s="194"/>
      <c r="B381" s="57" t="s">
        <v>1239</v>
      </c>
      <c r="C381" s="65" t="s">
        <v>1243</v>
      </c>
      <c r="D381" s="745"/>
      <c r="E381" s="745"/>
      <c r="O381" s="62" t="s">
        <v>1239</v>
      </c>
      <c r="P381" s="1166" t="s">
        <v>3919</v>
      </c>
      <c r="Q381" s="234"/>
    </row>
    <row r="382" spans="1:31" ht="12.4" customHeight="1">
      <c r="A382" s="194"/>
      <c r="B382" s="57" t="s">
        <v>3212</v>
      </c>
      <c r="C382" s="65" t="s">
        <v>878</v>
      </c>
      <c r="E382" s="190"/>
      <c r="O382" s="62" t="s">
        <v>3212</v>
      </c>
      <c r="P382" s="1166" t="s">
        <v>3923</v>
      </c>
      <c r="Q382" s="234"/>
    </row>
    <row r="383" spans="1:31" ht="12.4" customHeight="1">
      <c r="B383" s="57" t="s">
        <v>2763</v>
      </c>
      <c r="C383" s="65" t="s">
        <v>3175</v>
      </c>
      <c r="E383" s="190"/>
      <c r="G383" s="62" t="s">
        <v>2763</v>
      </c>
      <c r="H383" s="1235"/>
      <c r="I383" s="1236"/>
      <c r="J383" s="1236"/>
      <c r="K383" s="1236"/>
      <c r="L383" s="1236"/>
      <c r="M383" s="1236"/>
      <c r="N383" s="1236"/>
      <c r="O383" s="1237"/>
      <c r="P383" s="1166" t="s">
        <v>3923</v>
      </c>
      <c r="Q383" s="234"/>
    </row>
    <row r="384" spans="1:31" ht="11.25" customHeight="1">
      <c r="B384" s="191" t="s">
        <v>2921</v>
      </c>
      <c r="D384" s="191"/>
      <c r="E384" s="191"/>
      <c r="F384" s="191"/>
      <c r="G384" s="191"/>
      <c r="H384" s="50"/>
      <c r="I384" s="179"/>
      <c r="J384" s="179"/>
      <c r="K384" s="179"/>
      <c r="L384" s="740"/>
      <c r="M384" s="740"/>
      <c r="N384" s="740"/>
      <c r="O384" s="740"/>
      <c r="P384" s="740"/>
      <c r="Q384" s="63"/>
    </row>
    <row r="385" spans="1:31" ht="11.45" customHeight="1">
      <c r="A385" s="1159" t="s">
        <v>4007</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2922</v>
      </c>
      <c r="C386" s="188"/>
      <c r="D386" s="742"/>
      <c r="E386" s="742"/>
      <c r="F386" s="742"/>
      <c r="G386" s="742"/>
      <c r="H386" s="742"/>
      <c r="I386" s="742"/>
      <c r="J386" s="742"/>
      <c r="K386" s="742"/>
      <c r="L386" s="742"/>
      <c r="M386" s="742"/>
      <c r="N386" s="742"/>
      <c r="O386" s="742"/>
      <c r="P386" s="742"/>
      <c r="Q386" s="742"/>
    </row>
    <row r="387" spans="1:31" ht="11.45" customHeight="1">
      <c r="A387" s="998"/>
      <c r="B387" s="999"/>
      <c r="C387" s="999"/>
      <c r="D387" s="999"/>
      <c r="E387" s="999"/>
      <c r="F387" s="999"/>
      <c r="G387" s="999"/>
      <c r="H387" s="999"/>
      <c r="I387" s="999"/>
      <c r="J387" s="999"/>
      <c r="K387" s="999"/>
      <c r="L387" s="999"/>
      <c r="M387" s="999"/>
      <c r="N387" s="999"/>
      <c r="O387" s="999"/>
      <c r="P387" s="999"/>
      <c r="Q387" s="1000"/>
    </row>
    <row r="388" spans="1:31" ht="6" customHeight="1">
      <c r="A388" s="740"/>
      <c r="B388" s="179"/>
      <c r="C388" s="742"/>
      <c r="D388" s="742"/>
      <c r="E388" s="742"/>
      <c r="F388" s="742"/>
      <c r="G388" s="742"/>
      <c r="H388" s="742"/>
      <c r="I388" s="742"/>
      <c r="J388" s="742"/>
      <c r="K388" s="742"/>
      <c r="L388" s="742"/>
      <c r="M388" s="742"/>
      <c r="N388" s="742"/>
      <c r="O388" s="742"/>
      <c r="P388" s="742"/>
      <c r="Q388" s="740"/>
    </row>
    <row r="389" spans="1:31" ht="13.9" customHeight="1">
      <c r="A389" s="744">
        <v>25</v>
      </c>
      <c r="B389" s="1009" t="s">
        <v>3755</v>
      </c>
      <c r="C389" s="1009"/>
      <c r="D389" s="1009"/>
      <c r="E389" s="1009"/>
      <c r="F389" s="1009"/>
      <c r="G389" s="1009"/>
      <c r="H389" s="742"/>
      <c r="I389" s="742"/>
      <c r="J389" s="742"/>
      <c r="K389" s="742"/>
      <c r="L389" s="742"/>
      <c r="M389" s="742"/>
      <c r="O389" s="180" t="s">
        <v>2923</v>
      </c>
      <c r="P389" s="989"/>
      <c r="Q389" s="1039"/>
    </row>
    <row r="390" spans="1:31" ht="23.45" customHeight="1">
      <c r="A390" s="189"/>
      <c r="B390" s="192" t="s">
        <v>3060</v>
      </c>
      <c r="C390" s="1002" t="s">
        <v>908</v>
      </c>
      <c r="D390" s="1002"/>
      <c r="E390" s="1002"/>
      <c r="F390" s="1002"/>
      <c r="G390" s="1002"/>
      <c r="H390" s="1002"/>
      <c r="I390" s="1002"/>
      <c r="J390" s="1002"/>
      <c r="K390" s="1002"/>
      <c r="L390" s="1002"/>
      <c r="M390" s="1002"/>
      <c r="N390" s="1002"/>
      <c r="O390" s="221" t="s">
        <v>3060</v>
      </c>
      <c r="P390" s="1166" t="s">
        <v>3942</v>
      </c>
      <c r="Q390" s="234"/>
    </row>
    <row r="391" spans="1:31" ht="12.4" customHeight="1">
      <c r="A391" s="189"/>
      <c r="B391" s="57" t="s">
        <v>3063</v>
      </c>
      <c r="C391" s="197" t="s">
        <v>853</v>
      </c>
      <c r="D391" s="742"/>
      <c r="E391" s="742"/>
      <c r="F391" s="742"/>
      <c r="G391" s="742"/>
      <c r="H391" s="742"/>
      <c r="I391" s="742"/>
      <c r="J391" s="742"/>
      <c r="K391" s="742"/>
      <c r="L391" s="742"/>
      <c r="M391" s="742"/>
      <c r="O391" s="62" t="s">
        <v>3063</v>
      </c>
      <c r="P391" s="1166" t="s">
        <v>2254</v>
      </c>
      <c r="Q391" s="234"/>
    </row>
    <row r="392" spans="1:31" ht="11.25" customHeight="1">
      <c r="B392" s="131" t="s">
        <v>2921</v>
      </c>
      <c r="D392" s="131"/>
      <c r="E392" s="131"/>
      <c r="F392" s="131"/>
      <c r="G392" s="131"/>
      <c r="H392" s="50"/>
      <c r="I392" s="179"/>
      <c r="J392" s="179"/>
      <c r="K392" s="187" t="s">
        <v>2922</v>
      </c>
      <c r="L392" s="740"/>
      <c r="M392" s="740"/>
      <c r="N392" s="740"/>
      <c r="O392" s="237"/>
      <c r="P392" s="740"/>
      <c r="Q392" s="63"/>
    </row>
    <row r="393" spans="1:31" ht="11.45" customHeight="1">
      <c r="A393" s="1159" t="s">
        <v>4061</v>
      </c>
      <c r="B393" s="1160"/>
      <c r="C393" s="1160"/>
      <c r="D393" s="1160"/>
      <c r="E393" s="1160"/>
      <c r="F393" s="1160"/>
      <c r="G393" s="1160"/>
      <c r="H393" s="1160"/>
      <c r="I393" s="1160"/>
      <c r="J393" s="1161"/>
      <c r="K393" s="998"/>
      <c r="L393" s="999"/>
      <c r="M393" s="999"/>
      <c r="N393" s="999"/>
      <c r="O393" s="999"/>
      <c r="P393" s="999"/>
      <c r="Q393" s="1000"/>
      <c r="U393" s="185"/>
      <c r="V393" s="185"/>
      <c r="W393" s="185"/>
      <c r="X393" s="185"/>
      <c r="Y393" s="185"/>
      <c r="Z393" s="185"/>
      <c r="AA393" s="185"/>
      <c r="AB393" s="185"/>
      <c r="AC393" s="185"/>
      <c r="AD393" s="185"/>
      <c r="AE393" s="186"/>
    </row>
    <row r="394" spans="1:31" ht="6" customHeight="1">
      <c r="A394" s="740"/>
      <c r="B394" s="179"/>
      <c r="C394" s="742"/>
      <c r="D394" s="742"/>
      <c r="E394" s="742"/>
      <c r="F394" s="742"/>
      <c r="G394" s="742"/>
      <c r="H394" s="742"/>
      <c r="I394" s="742"/>
      <c r="J394" s="742"/>
      <c r="K394" s="742"/>
      <c r="L394" s="742"/>
      <c r="M394" s="742"/>
      <c r="N394" s="742"/>
      <c r="O394" s="742"/>
      <c r="P394" s="180"/>
      <c r="Q394" s="63"/>
    </row>
    <row r="395" spans="1:31" ht="13.9" customHeight="1">
      <c r="A395" s="744">
        <v>26</v>
      </c>
      <c r="B395" s="1009" t="s">
        <v>2005</v>
      </c>
      <c r="C395" s="1009"/>
      <c r="D395" s="1009"/>
      <c r="E395" s="1009"/>
      <c r="F395" s="1009"/>
      <c r="G395" s="1009"/>
      <c r="H395" s="742"/>
      <c r="I395" s="742"/>
      <c r="J395" s="742"/>
      <c r="K395" s="742"/>
      <c r="L395" s="742"/>
      <c r="M395" s="742"/>
      <c r="O395" s="180" t="s">
        <v>2923</v>
      </c>
      <c r="P395" s="989"/>
      <c r="Q395" s="1039"/>
    </row>
    <row r="396" spans="1:31" ht="12.4" customHeight="1">
      <c r="A396" s="52"/>
      <c r="B396" s="57" t="s">
        <v>3060</v>
      </c>
      <c r="C396" s="49" t="s">
        <v>1244</v>
      </c>
      <c r="D396" s="52"/>
      <c r="E396" s="52"/>
      <c r="F396" s="52"/>
      <c r="G396" s="52"/>
      <c r="H396" s="52"/>
      <c r="I396" s="52"/>
      <c r="J396" s="52"/>
      <c r="K396" s="52"/>
      <c r="L396" s="52"/>
      <c r="M396" s="52"/>
      <c r="N396" s="52"/>
      <c r="O396" s="62" t="s">
        <v>3060</v>
      </c>
      <c r="P396" s="1166" t="s">
        <v>3923</v>
      </c>
      <c r="Q396" s="234"/>
    </row>
    <row r="397" spans="1:31" ht="12.4" customHeight="1">
      <c r="A397" s="52"/>
      <c r="B397" s="57" t="s">
        <v>3063</v>
      </c>
      <c r="C397" s="49" t="s">
        <v>3314</v>
      </c>
      <c r="D397" s="52"/>
      <c r="E397" s="52"/>
      <c r="F397" s="52"/>
      <c r="G397" s="52"/>
      <c r="H397" s="52"/>
      <c r="I397" s="52"/>
      <c r="J397" s="52"/>
      <c r="K397" s="52"/>
      <c r="L397" s="52"/>
      <c r="M397" s="52"/>
      <c r="N397" s="52"/>
      <c r="O397" s="62" t="s">
        <v>2171</v>
      </c>
      <c r="P397" s="1166"/>
      <c r="Q397" s="234"/>
    </row>
    <row r="398" spans="1:31" ht="12.4" customHeight="1">
      <c r="A398" s="52"/>
      <c r="B398" s="57"/>
      <c r="C398" s="65" t="s">
        <v>2227</v>
      </c>
      <c r="D398" s="65"/>
      <c r="E398" s="65"/>
      <c r="F398" s="65"/>
      <c r="G398" s="65"/>
      <c r="H398" s="65"/>
      <c r="I398" s="65"/>
      <c r="J398" s="65"/>
      <c r="K398" s="65"/>
      <c r="L398" s="65"/>
      <c r="M398" s="65"/>
      <c r="N398" s="52"/>
    </row>
    <row r="399" spans="1:31" ht="12.4" customHeight="1">
      <c r="A399" s="52"/>
      <c r="B399" s="57"/>
      <c r="C399" s="65" t="s">
        <v>3315</v>
      </c>
      <c r="D399" s="65"/>
      <c r="E399" s="65"/>
      <c r="F399" s="65"/>
      <c r="G399" s="65"/>
      <c r="H399" s="65"/>
      <c r="I399" s="65"/>
      <c r="J399" s="65"/>
      <c r="K399" s="65"/>
      <c r="L399" s="65"/>
      <c r="M399" s="65"/>
      <c r="N399" s="52"/>
      <c r="O399" s="62" t="s">
        <v>2766</v>
      </c>
      <c r="P399" s="1166"/>
      <c r="Q399" s="234"/>
    </row>
    <row r="400" spans="1:31" ht="12.4" customHeight="1">
      <c r="A400" s="52"/>
      <c r="B400" s="57" t="s">
        <v>1239</v>
      </c>
      <c r="C400" s="975" t="s">
        <v>3313</v>
      </c>
      <c r="D400" s="975"/>
      <c r="E400" s="975"/>
      <c r="F400" s="975"/>
      <c r="G400" s="975"/>
      <c r="H400" s="975"/>
      <c r="I400" s="975"/>
      <c r="J400" s="975"/>
      <c r="K400" s="975"/>
      <c r="L400" s="975"/>
      <c r="M400" s="975"/>
      <c r="N400" s="975"/>
      <c r="O400" s="62" t="s">
        <v>1239</v>
      </c>
      <c r="P400" s="1166"/>
      <c r="Q400" s="234"/>
    </row>
    <row r="401" spans="1:31" ht="12.4" customHeight="1">
      <c r="A401" s="52"/>
      <c r="B401" s="57" t="s">
        <v>3212</v>
      </c>
      <c r="C401" s="40" t="s">
        <v>151</v>
      </c>
      <c r="D401" s="40"/>
      <c r="E401" s="40"/>
      <c r="F401" s="40"/>
      <c r="G401" s="40"/>
      <c r="H401" s="40"/>
      <c r="I401" s="40"/>
      <c r="J401" s="40"/>
      <c r="K401" s="40"/>
      <c r="L401" s="40"/>
      <c r="M401" s="40"/>
      <c r="N401" s="52"/>
      <c r="O401" s="62" t="s">
        <v>3212</v>
      </c>
      <c r="P401" s="52"/>
      <c r="Q401" s="52"/>
    </row>
    <row r="402" spans="1:31" ht="12.4" customHeight="1">
      <c r="A402" s="52"/>
      <c r="B402" s="57"/>
      <c r="C402" s="183" t="s">
        <v>3316</v>
      </c>
      <c r="D402" s="52"/>
      <c r="E402" s="52"/>
      <c r="F402" s="40"/>
      <c r="G402" s="40"/>
      <c r="H402" s="52"/>
      <c r="K402" s="40"/>
      <c r="L402" s="40"/>
      <c r="M402" s="40"/>
      <c r="N402" s="52"/>
      <c r="O402" s="62" t="s">
        <v>2765</v>
      </c>
      <c r="P402" s="1274"/>
      <c r="Q402" s="706" t="s">
        <v>311</v>
      </c>
    </row>
    <row r="403" spans="1:31" ht="12.4" customHeight="1">
      <c r="A403" s="52"/>
      <c r="B403" s="57"/>
      <c r="C403" s="183" t="s">
        <v>3317</v>
      </c>
      <c r="D403" s="52"/>
      <c r="E403" s="52"/>
      <c r="F403" s="40"/>
      <c r="G403" s="40"/>
      <c r="H403" s="52"/>
      <c r="K403" s="40"/>
      <c r="L403" s="40"/>
      <c r="M403" s="40"/>
      <c r="N403" s="52"/>
      <c r="O403" s="62" t="s">
        <v>2766</v>
      </c>
      <c r="P403" s="1274"/>
      <c r="Q403" s="706"/>
    </row>
    <row r="404" spans="1:31" ht="12.4" customHeight="1">
      <c r="A404" s="52"/>
      <c r="B404" s="57"/>
      <c r="C404" s="183" t="s">
        <v>3318</v>
      </c>
      <c r="D404" s="52"/>
      <c r="E404" s="52"/>
      <c r="F404" s="40"/>
      <c r="G404" s="40"/>
      <c r="H404" s="52"/>
      <c r="K404" s="40"/>
      <c r="L404" s="40"/>
      <c r="M404" s="40"/>
      <c r="N404" s="52"/>
      <c r="O404" s="62" t="s">
        <v>2767</v>
      </c>
      <c r="P404" s="1274"/>
      <c r="Q404" s="706" t="s">
        <v>311</v>
      </c>
    </row>
    <row r="405" spans="1:31" ht="12.4" customHeight="1">
      <c r="A405" s="52"/>
      <c r="B405" s="57"/>
      <c r="C405" s="183" t="s">
        <v>3319</v>
      </c>
      <c r="D405" s="52"/>
      <c r="E405" s="52"/>
      <c r="F405" s="40"/>
      <c r="G405" s="40"/>
      <c r="H405" s="52"/>
      <c r="K405" s="40"/>
      <c r="L405" s="40"/>
      <c r="M405" s="40"/>
      <c r="N405" s="52"/>
      <c r="O405" s="62" t="s">
        <v>3571</v>
      </c>
      <c r="P405" s="1274"/>
      <c r="Q405" s="706" t="s">
        <v>311</v>
      </c>
    </row>
    <row r="406" spans="1:31" ht="12.4" customHeight="1">
      <c r="A406" s="52"/>
      <c r="B406" s="57"/>
      <c r="C406" s="183" t="s">
        <v>3320</v>
      </c>
      <c r="D406" s="52"/>
      <c r="E406" s="52"/>
      <c r="F406" s="40"/>
      <c r="G406" s="40"/>
      <c r="H406" s="52"/>
      <c r="K406" s="40"/>
      <c r="L406" s="40"/>
      <c r="M406" s="40"/>
      <c r="N406" s="52"/>
      <c r="O406" s="62" t="s">
        <v>2304</v>
      </c>
      <c r="P406" s="1274"/>
      <c r="Q406" s="706" t="s">
        <v>311</v>
      </c>
    </row>
    <row r="407" spans="1:31" ht="12.4" customHeight="1">
      <c r="A407" s="52"/>
      <c r="B407" s="57" t="s">
        <v>2763</v>
      </c>
      <c r="C407" s="40" t="s">
        <v>3614</v>
      </c>
      <c r="D407" s="40"/>
      <c r="E407" s="40"/>
      <c r="F407" s="40"/>
      <c r="G407" s="40"/>
      <c r="J407" s="52"/>
      <c r="K407" s="40"/>
      <c r="L407" s="40"/>
      <c r="M407" s="40"/>
      <c r="N407" s="52"/>
      <c r="O407" s="62" t="s">
        <v>2763</v>
      </c>
      <c r="P407" s="62"/>
      <c r="Q407" s="62"/>
    </row>
    <row r="408" spans="1:31" ht="12.4" customHeight="1">
      <c r="A408" s="52"/>
      <c r="B408" s="57"/>
      <c r="C408" s="1275" t="s">
        <v>3321</v>
      </c>
      <c r="D408" s="40"/>
      <c r="E408" s="40"/>
      <c r="F408" s="40"/>
      <c r="G408" s="40"/>
      <c r="J408" s="52"/>
      <c r="K408" s="40"/>
      <c r="L408" s="40"/>
      <c r="M408" s="40"/>
      <c r="N408" s="52"/>
      <c r="O408" s="62" t="s">
        <v>2765</v>
      </c>
      <c r="P408" s="1166"/>
      <c r="Q408" s="234"/>
    </row>
    <row r="409" spans="1:31" ht="12.4" customHeight="1">
      <c r="A409" s="52"/>
      <c r="B409" s="57"/>
      <c r="C409" s="1275" t="s">
        <v>1827</v>
      </c>
      <c r="D409" s="40"/>
      <c r="E409" s="40"/>
      <c r="F409" s="40"/>
      <c r="G409" s="40"/>
      <c r="N409" s="52"/>
      <c r="O409" s="62" t="s">
        <v>2766</v>
      </c>
      <c r="P409" s="1166"/>
      <c r="Q409" s="234"/>
    </row>
    <row r="410" spans="1:31" ht="12.4" customHeight="1">
      <c r="A410" s="52"/>
      <c r="C410" s="1275" t="s">
        <v>1828</v>
      </c>
      <c r="D410" s="65"/>
      <c r="E410" s="65"/>
      <c r="F410" s="65"/>
      <c r="G410" s="65"/>
      <c r="J410" s="52"/>
      <c r="K410" s="65"/>
      <c r="L410" s="65"/>
      <c r="M410" s="65"/>
      <c r="N410" s="52"/>
      <c r="O410" s="62" t="s">
        <v>2767</v>
      </c>
      <c r="P410" s="1166"/>
      <c r="Q410" s="234"/>
    </row>
    <row r="411" spans="1:31" ht="12.4" customHeight="1">
      <c r="A411" s="52"/>
      <c r="B411" s="57"/>
      <c r="C411" s="1275" t="s">
        <v>3384</v>
      </c>
      <c r="D411" s="65"/>
      <c r="E411" s="65"/>
      <c r="F411" s="65"/>
      <c r="G411" s="62" t="s">
        <v>3571</v>
      </c>
      <c r="H411" s="1276"/>
      <c r="I411" s="1277"/>
      <c r="J411" s="1277"/>
      <c r="K411" s="1277"/>
      <c r="L411" s="1277"/>
      <c r="M411" s="1277"/>
      <c r="N411" s="1277"/>
      <c r="O411" s="1241"/>
      <c r="P411" s="1166"/>
      <c r="Q411" s="234"/>
    </row>
    <row r="412" spans="1:31" ht="12.4" customHeight="1">
      <c r="B412" s="191" t="s">
        <v>2921</v>
      </c>
      <c r="D412" s="191"/>
      <c r="E412" s="191"/>
      <c r="F412" s="191"/>
      <c r="G412" s="191"/>
      <c r="H412" s="50"/>
      <c r="I412" s="179"/>
      <c r="J412" s="179"/>
      <c r="K412" s="179"/>
      <c r="L412" s="740"/>
      <c r="M412" s="740"/>
      <c r="N412" s="740"/>
      <c r="O412" s="740"/>
      <c r="P412" s="740"/>
      <c r="Q412" s="63"/>
    </row>
    <row r="413" spans="1:31" ht="12.4" customHeight="1">
      <c r="A413" s="1152" t="s">
        <v>3949</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4" customHeight="1">
      <c r="A414" s="1155"/>
      <c r="B414" s="1156"/>
      <c r="C414" s="1156"/>
      <c r="D414" s="1156"/>
      <c r="E414" s="1156"/>
      <c r="F414" s="1156"/>
      <c r="G414" s="1156"/>
      <c r="H414" s="1156"/>
      <c r="I414" s="1156"/>
      <c r="J414" s="1156"/>
      <c r="K414" s="1156"/>
      <c r="L414" s="1156"/>
      <c r="M414" s="1156"/>
      <c r="N414" s="1156"/>
      <c r="O414" s="1156"/>
      <c r="P414" s="1156"/>
      <c r="Q414" s="1157"/>
    </row>
    <row r="415" spans="1:31" ht="12.4" customHeight="1">
      <c r="B415" s="187" t="s">
        <v>2922</v>
      </c>
      <c r="C415" s="188"/>
      <c r="D415" s="742"/>
      <c r="E415" s="742"/>
      <c r="F415" s="742"/>
      <c r="G415" s="742"/>
      <c r="H415" s="742"/>
      <c r="I415" s="742"/>
      <c r="J415" s="742"/>
      <c r="K415" s="742"/>
      <c r="L415" s="742"/>
      <c r="M415" s="742"/>
      <c r="N415" s="742"/>
      <c r="O415" s="742"/>
      <c r="P415" s="742"/>
      <c r="Q415" s="742"/>
    </row>
    <row r="416" spans="1:31" ht="12.4" customHeight="1">
      <c r="A416" s="991"/>
      <c r="B416" s="992"/>
      <c r="C416" s="992"/>
      <c r="D416" s="992"/>
      <c r="E416" s="992"/>
      <c r="F416" s="992"/>
      <c r="G416" s="992"/>
      <c r="H416" s="992"/>
      <c r="I416" s="992"/>
      <c r="J416" s="992"/>
      <c r="K416" s="992"/>
      <c r="L416" s="992"/>
      <c r="M416" s="992"/>
      <c r="N416" s="992"/>
      <c r="O416" s="992"/>
      <c r="P416" s="992"/>
      <c r="Q416" s="993"/>
    </row>
    <row r="417" spans="1:31" ht="12.4" customHeight="1">
      <c r="A417" s="1011"/>
      <c r="B417" s="1012"/>
      <c r="C417" s="1012"/>
      <c r="D417" s="1012"/>
      <c r="E417" s="1012"/>
      <c r="F417" s="1012"/>
      <c r="G417" s="1012"/>
      <c r="H417" s="1012"/>
      <c r="I417" s="1012"/>
      <c r="J417" s="1012"/>
      <c r="K417" s="1012"/>
      <c r="L417" s="1012"/>
      <c r="M417" s="1012"/>
      <c r="N417" s="1012"/>
      <c r="O417" s="1012"/>
      <c r="P417" s="1012"/>
      <c r="Q417" s="1013"/>
    </row>
    <row r="418" spans="1:31" ht="12.4"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40"/>
      <c r="B419" s="179"/>
      <c r="C419" s="742"/>
      <c r="D419" s="742"/>
      <c r="E419" s="742"/>
      <c r="F419" s="742"/>
      <c r="G419" s="742"/>
      <c r="H419" s="742"/>
      <c r="I419" s="742"/>
      <c r="J419" s="742"/>
      <c r="K419" s="742"/>
      <c r="L419" s="742"/>
      <c r="M419" s="742"/>
      <c r="Q419" s="63"/>
    </row>
    <row r="420" spans="1:31" ht="13.9" customHeight="1">
      <c r="A420" s="744">
        <v>27</v>
      </c>
      <c r="B420" s="5" t="s">
        <v>3123</v>
      </c>
      <c r="C420" s="5"/>
      <c r="D420" s="118"/>
      <c r="E420" s="742"/>
      <c r="F420" s="742"/>
      <c r="G420" s="742"/>
      <c r="H420" s="742"/>
      <c r="O420" s="180" t="s">
        <v>2923</v>
      </c>
      <c r="P420" s="989"/>
      <c r="Q420" s="990"/>
    </row>
    <row r="421" spans="1:31" ht="13.15" customHeight="1">
      <c r="B421" s="57" t="s">
        <v>3060</v>
      </c>
      <c r="C421" s="49" t="s">
        <v>888</v>
      </c>
      <c r="D421" s="52"/>
      <c r="E421" s="52"/>
      <c r="F421" s="52"/>
      <c r="G421" s="52"/>
      <c r="H421" s="52"/>
      <c r="I421" s="52"/>
      <c r="J421" s="52"/>
      <c r="K421" s="52"/>
      <c r="L421" s="52"/>
      <c r="M421" s="52"/>
      <c r="O421" s="62" t="s">
        <v>3060</v>
      </c>
      <c r="P421" s="1166" t="s">
        <v>3942</v>
      </c>
      <c r="Q421" s="234"/>
    </row>
    <row r="422" spans="1:31" ht="13.15" customHeight="1">
      <c r="B422" s="57" t="s">
        <v>3063</v>
      </c>
      <c r="C422" s="49" t="s">
        <v>889</v>
      </c>
      <c r="D422" s="52"/>
      <c r="E422" s="52"/>
      <c r="F422" s="52"/>
      <c r="G422" s="52"/>
      <c r="H422" s="52"/>
      <c r="I422" s="52"/>
      <c r="J422" s="52"/>
      <c r="K422" s="52"/>
      <c r="L422" s="52"/>
      <c r="M422" s="52"/>
      <c r="O422" s="62" t="s">
        <v>3063</v>
      </c>
      <c r="P422" s="1166" t="s">
        <v>3942</v>
      </c>
      <c r="Q422" s="234"/>
    </row>
    <row r="423" spans="1:31" ht="24" customHeight="1">
      <c r="B423" s="192" t="s">
        <v>1239</v>
      </c>
      <c r="C423" s="1014" t="s">
        <v>890</v>
      </c>
      <c r="D423" s="1014"/>
      <c r="E423" s="1014"/>
      <c r="F423" s="1014"/>
      <c r="G423" s="1014"/>
      <c r="H423" s="1014"/>
      <c r="I423" s="1014"/>
      <c r="J423" s="1014"/>
      <c r="K423" s="1014"/>
      <c r="L423" s="1014"/>
      <c r="M423" s="1014"/>
      <c r="N423" s="1014"/>
      <c r="O423" s="221" t="s">
        <v>1239</v>
      </c>
      <c r="P423" s="1251" t="s">
        <v>3942</v>
      </c>
      <c r="Q423" s="353"/>
    </row>
    <row r="424" spans="1:31" ht="11.25" customHeight="1">
      <c r="B424" s="191" t="s">
        <v>2921</v>
      </c>
      <c r="D424" s="191"/>
      <c r="E424" s="191"/>
      <c r="F424" s="191"/>
      <c r="G424" s="191"/>
      <c r="H424" s="50"/>
      <c r="I424" s="179"/>
      <c r="J424" s="179"/>
      <c r="K424" s="179"/>
      <c r="L424" s="740"/>
      <c r="M424" s="740"/>
      <c r="N424" s="740"/>
      <c r="O424" s="740"/>
      <c r="P424" s="740"/>
      <c r="Q424" s="63"/>
    </row>
    <row r="425" spans="1:31" ht="11.45" customHeight="1">
      <c r="A425" s="1152" t="s">
        <v>4062</v>
      </c>
      <c r="B425" s="1153"/>
      <c r="C425" s="1153"/>
      <c r="D425" s="1153"/>
      <c r="E425" s="1153"/>
      <c r="F425" s="1153"/>
      <c r="G425" s="1153"/>
      <c r="H425" s="1153"/>
      <c r="I425" s="1153"/>
      <c r="J425" s="1153"/>
      <c r="K425" s="1153"/>
      <c r="L425" s="1153"/>
      <c r="M425" s="1153"/>
      <c r="N425" s="1153"/>
      <c r="O425" s="1153"/>
      <c r="P425" s="1153"/>
      <c r="Q425" s="1154"/>
      <c r="R425" s="1029" t="s">
        <v>1933</v>
      </c>
      <c r="S425" s="1029"/>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1029"/>
      <c r="S426" s="1029"/>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1029"/>
      <c r="S427" s="1029"/>
    </row>
    <row r="428" spans="1:31" ht="11.25" customHeight="1">
      <c r="B428" s="187" t="s">
        <v>2922</v>
      </c>
      <c r="C428" s="188"/>
      <c r="D428" s="742"/>
      <c r="E428" s="742"/>
      <c r="F428" s="742"/>
      <c r="G428" s="742"/>
      <c r="H428" s="742"/>
      <c r="I428" s="742"/>
      <c r="J428" s="742"/>
      <c r="K428" s="742"/>
      <c r="L428" s="742"/>
      <c r="M428" s="742"/>
      <c r="N428" s="742"/>
      <c r="O428" s="742"/>
      <c r="P428" s="742"/>
      <c r="Q428" s="742"/>
    </row>
    <row r="429" spans="1:31" ht="11.45" customHeight="1">
      <c r="A429" s="991"/>
      <c r="B429" s="992"/>
      <c r="C429" s="992"/>
      <c r="D429" s="992"/>
      <c r="E429" s="992"/>
      <c r="F429" s="992"/>
      <c r="G429" s="992"/>
      <c r="H429" s="992"/>
      <c r="I429" s="992"/>
      <c r="J429" s="992"/>
      <c r="K429" s="992"/>
      <c r="L429" s="992"/>
      <c r="M429" s="992"/>
      <c r="N429" s="992"/>
      <c r="O429" s="992"/>
      <c r="P429" s="992"/>
      <c r="Q429" s="993"/>
    </row>
    <row r="430" spans="1:31" ht="11.45" customHeight="1">
      <c r="A430" s="1011"/>
      <c r="B430" s="1012"/>
      <c r="C430" s="1012"/>
      <c r="D430" s="1012"/>
      <c r="E430" s="1012"/>
      <c r="F430" s="1012"/>
      <c r="G430" s="1012"/>
      <c r="H430" s="1012"/>
      <c r="I430" s="1012"/>
      <c r="J430" s="1012"/>
      <c r="K430" s="1012"/>
      <c r="L430" s="1012"/>
      <c r="M430" s="1012"/>
      <c r="N430" s="1012"/>
      <c r="O430" s="1012"/>
      <c r="P430" s="1012"/>
      <c r="Q430" s="1013"/>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15" customHeight="1">
      <c r="A432" s="740"/>
      <c r="B432" s="179"/>
      <c r="C432" s="742"/>
      <c r="D432" s="742"/>
      <c r="E432" s="742"/>
      <c r="F432" s="742"/>
      <c r="G432" s="742"/>
      <c r="H432" s="742"/>
      <c r="I432" s="742"/>
      <c r="J432" s="742"/>
      <c r="K432" s="742"/>
      <c r="L432" s="742"/>
      <c r="M432" s="742"/>
      <c r="Q432" s="63"/>
    </row>
    <row r="433" spans="1:31" ht="13.9" customHeight="1">
      <c r="A433" s="744">
        <v>28</v>
      </c>
      <c r="B433" s="5" t="s">
        <v>1355</v>
      </c>
      <c r="C433" s="5"/>
      <c r="D433" s="118"/>
      <c r="E433" s="742"/>
      <c r="F433" s="742"/>
      <c r="G433" s="742"/>
      <c r="H433" s="742"/>
      <c r="I433" s="742"/>
      <c r="J433" s="742"/>
      <c r="K433" s="742"/>
      <c r="L433" s="742"/>
      <c r="M433" s="742"/>
      <c r="O433" s="180" t="s">
        <v>2923</v>
      </c>
      <c r="P433" s="989"/>
      <c r="Q433" s="990"/>
    </row>
    <row r="434" spans="1:31" ht="11.25" customHeight="1">
      <c r="A434" s="744"/>
      <c r="B434" s="191" t="s">
        <v>2921</v>
      </c>
      <c r="D434" s="191"/>
      <c r="E434" s="191"/>
      <c r="F434" s="191"/>
      <c r="G434" s="191"/>
      <c r="H434" s="50"/>
      <c r="I434" s="179"/>
      <c r="J434" s="179"/>
      <c r="K434" s="179"/>
      <c r="L434" s="740"/>
      <c r="M434" s="740"/>
      <c r="N434" s="740"/>
      <c r="O434" s="740"/>
      <c r="P434" s="740"/>
      <c r="Q434" s="63"/>
    </row>
    <row r="435" spans="1:31" ht="59.25" customHeight="1">
      <c r="A435" s="1152" t="s">
        <v>4040</v>
      </c>
      <c r="B435" s="1153"/>
      <c r="C435" s="1153"/>
      <c r="D435" s="1153"/>
      <c r="E435" s="1153"/>
      <c r="F435" s="1153"/>
      <c r="G435" s="1153"/>
      <c r="H435" s="1153"/>
      <c r="I435" s="1153"/>
      <c r="J435" s="1153"/>
      <c r="K435" s="1153"/>
      <c r="L435" s="1153"/>
      <c r="M435" s="1153"/>
      <c r="N435" s="1153"/>
      <c r="O435" s="1153"/>
      <c r="P435" s="1153"/>
      <c r="Q435" s="1154"/>
      <c r="R435" s="1029" t="s">
        <v>1933</v>
      </c>
      <c r="S435" s="1029"/>
      <c r="U435" s="185"/>
      <c r="V435" s="185"/>
      <c r="W435" s="185"/>
      <c r="X435" s="185"/>
      <c r="Y435" s="185"/>
      <c r="Z435" s="185"/>
      <c r="AA435" s="185"/>
      <c r="AB435" s="185"/>
      <c r="AC435" s="185"/>
      <c r="AD435" s="185"/>
      <c r="AE435" s="186"/>
    </row>
    <row r="436" spans="1:31" ht="3.4" customHeight="1">
      <c r="A436" s="1155"/>
      <c r="B436" s="1156"/>
      <c r="C436" s="1156"/>
      <c r="D436" s="1156"/>
      <c r="E436" s="1156"/>
      <c r="F436" s="1156"/>
      <c r="G436" s="1156"/>
      <c r="H436" s="1156"/>
      <c r="I436" s="1156"/>
      <c r="J436" s="1156"/>
      <c r="K436" s="1156"/>
      <c r="L436" s="1156"/>
      <c r="M436" s="1156"/>
      <c r="N436" s="1156"/>
      <c r="O436" s="1156"/>
      <c r="P436" s="1156"/>
      <c r="Q436" s="1157"/>
      <c r="R436" s="1029"/>
      <c r="S436" s="1029"/>
    </row>
    <row r="437" spans="1:31" ht="11.25" customHeight="1">
      <c r="B437" s="187" t="s">
        <v>2922</v>
      </c>
      <c r="C437" s="188"/>
      <c r="D437" s="742"/>
      <c r="E437" s="742"/>
      <c r="F437" s="742"/>
      <c r="G437" s="742"/>
      <c r="H437" s="742"/>
      <c r="I437" s="742"/>
      <c r="J437" s="742"/>
      <c r="K437" s="742"/>
      <c r="L437" s="742"/>
      <c r="M437" s="742"/>
      <c r="N437" s="742"/>
      <c r="O437" s="742"/>
      <c r="P437" s="742"/>
      <c r="Q437" s="742"/>
    </row>
    <row r="438" spans="1:31" ht="37.15" customHeight="1">
      <c r="A438" s="991"/>
      <c r="B438" s="992"/>
      <c r="C438" s="992"/>
      <c r="D438" s="992"/>
      <c r="E438" s="992"/>
      <c r="F438" s="992"/>
      <c r="G438" s="992"/>
      <c r="H438" s="992"/>
      <c r="I438" s="992"/>
      <c r="J438" s="992"/>
      <c r="K438" s="992"/>
      <c r="L438" s="992"/>
      <c r="M438" s="992"/>
      <c r="N438" s="992"/>
      <c r="O438" s="992"/>
      <c r="P438" s="992"/>
      <c r="Q438" s="993"/>
    </row>
    <row r="439" spans="1:31" ht="37.15" customHeight="1">
      <c r="A439" s="1011"/>
      <c r="B439" s="1012"/>
      <c r="C439" s="1012"/>
      <c r="D439" s="1012"/>
      <c r="E439" s="1012"/>
      <c r="F439" s="1012"/>
      <c r="G439" s="1012"/>
      <c r="H439" s="1012"/>
      <c r="I439" s="1012"/>
      <c r="J439" s="1012"/>
      <c r="K439" s="1012"/>
      <c r="L439" s="1012"/>
      <c r="M439" s="1012"/>
      <c r="N439" s="1012"/>
      <c r="O439" s="1012"/>
      <c r="P439" s="1012"/>
      <c r="Q439" s="1013"/>
    </row>
    <row r="440" spans="1:31" ht="37.15" customHeight="1">
      <c r="A440" s="1011"/>
      <c r="B440" s="1012"/>
      <c r="C440" s="1012"/>
      <c r="D440" s="1012"/>
      <c r="E440" s="1012"/>
      <c r="F440" s="1012"/>
      <c r="G440" s="1012"/>
      <c r="H440" s="1012"/>
      <c r="I440" s="1012"/>
      <c r="J440" s="1012"/>
      <c r="K440" s="1012"/>
      <c r="L440" s="1012"/>
      <c r="M440" s="1012"/>
      <c r="N440" s="1012"/>
      <c r="O440" s="1012"/>
      <c r="P440" s="1012"/>
      <c r="Q440" s="1013"/>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4" customHeight="1">
      <c r="A442" s="740"/>
      <c r="B442" s="179"/>
      <c r="C442" s="742"/>
      <c r="D442" s="742"/>
      <c r="E442" s="742"/>
      <c r="F442" s="742"/>
      <c r="G442" s="742"/>
      <c r="H442" s="742"/>
      <c r="I442" s="742"/>
      <c r="J442" s="742"/>
      <c r="K442" s="742"/>
      <c r="L442" s="742"/>
      <c r="M442" s="742"/>
      <c r="N442" s="742"/>
      <c r="O442" s="742"/>
      <c r="P442" s="742"/>
      <c r="Q442" s="740"/>
    </row>
    <row r="443" spans="1:31" ht="8.65" customHeight="1">
      <c r="A443" s="740"/>
      <c r="B443" s="179"/>
      <c r="C443" s="742"/>
      <c r="D443" s="742"/>
      <c r="E443" s="742"/>
      <c r="F443" s="742"/>
      <c r="G443" s="742"/>
      <c r="H443" s="742"/>
      <c r="I443" s="742"/>
      <c r="J443" s="742"/>
      <c r="K443" s="742"/>
      <c r="L443" s="742"/>
      <c r="M443" s="742"/>
    </row>
    <row r="444" spans="1:31" ht="3.4" customHeight="1">
      <c r="A444" s="740"/>
      <c r="B444" s="179"/>
      <c r="C444" s="742"/>
      <c r="D444" s="742"/>
      <c r="E444" s="742"/>
      <c r="F444" s="742"/>
      <c r="G444" s="742"/>
      <c r="H444" s="742"/>
      <c r="I444" s="742"/>
      <c r="J444" s="742"/>
      <c r="K444" s="742"/>
      <c r="L444" s="742"/>
      <c r="M444" s="742"/>
      <c r="N444" s="742"/>
      <c r="O444" s="742"/>
      <c r="P444" s="742"/>
      <c r="Q444" s="740"/>
    </row>
    <row r="445" spans="1:31" ht="12.4" customHeight="1">
      <c r="A445" s="1278"/>
      <c r="B445" s="1278" t="s">
        <v>1239</v>
      </c>
      <c r="C445" s="1278" t="s">
        <v>796</v>
      </c>
      <c r="D445" s="1278"/>
      <c r="E445" s="1278"/>
      <c r="F445" s="1278"/>
      <c r="G445" s="1278"/>
      <c r="H445" s="1278"/>
      <c r="I445" s="1278"/>
      <c r="J445" s="1278"/>
      <c r="K445" s="1278"/>
      <c r="L445" s="1278"/>
      <c r="M445" s="1278"/>
      <c r="N445" s="1278"/>
      <c r="O445" s="1278" t="s">
        <v>1239</v>
      </c>
      <c r="P445" s="1278"/>
      <c r="Q445" s="1278"/>
    </row>
    <row r="446" spans="1:31" ht="12.4" customHeight="1">
      <c r="A446" s="1278"/>
      <c r="B446" s="1278"/>
      <c r="C446" s="1278" t="s">
        <v>2765</v>
      </c>
      <c r="D446" s="1278" t="s">
        <v>884</v>
      </c>
      <c r="E446" s="1278"/>
      <c r="F446" s="1278"/>
      <c r="G446" s="1278"/>
      <c r="H446" s="1278"/>
      <c r="I446" s="1278"/>
      <c r="J446" s="1278"/>
      <c r="K446" s="1278"/>
      <c r="L446" s="1278"/>
      <c r="M446" s="1278"/>
      <c r="N446" s="1278"/>
      <c r="O446" s="1278" t="s">
        <v>2765</v>
      </c>
      <c r="P446" s="1278"/>
      <c r="Q446" s="1278"/>
    </row>
    <row r="447" spans="1:31" ht="12.4" customHeight="1">
      <c r="A447" s="1278"/>
      <c r="B447" s="1278"/>
      <c r="C447" s="1278" t="s">
        <v>2766</v>
      </c>
      <c r="D447" s="1278" t="s">
        <v>0</v>
      </c>
      <c r="E447" s="1278"/>
      <c r="F447" s="1278"/>
      <c r="G447" s="1278"/>
      <c r="H447" s="1278"/>
      <c r="I447" s="1278"/>
      <c r="J447" s="1278"/>
      <c r="K447" s="1278"/>
      <c r="L447" s="1278"/>
      <c r="M447" s="1278"/>
      <c r="N447" s="1278"/>
      <c r="O447" s="1278" t="s">
        <v>2766</v>
      </c>
      <c r="P447" s="1278"/>
      <c r="Q447" s="1278"/>
    </row>
    <row r="448" spans="1:31" ht="12.4" customHeight="1">
      <c r="A448" s="1278"/>
      <c r="B448" s="1278"/>
      <c r="C448" s="1278" t="s">
        <v>2767</v>
      </c>
      <c r="D448" s="1278" t="s">
        <v>797</v>
      </c>
      <c r="E448" s="1278"/>
      <c r="F448" s="1278"/>
      <c r="G448" s="1278"/>
      <c r="H448" s="1278"/>
      <c r="I448" s="1278"/>
      <c r="J448" s="1278"/>
      <c r="K448" s="1278"/>
      <c r="L448" s="1278"/>
      <c r="M448" s="1278"/>
      <c r="N448" s="1278"/>
      <c r="O448" s="1278" t="s">
        <v>2767</v>
      </c>
      <c r="P448" s="1278"/>
      <c r="Q448" s="1278"/>
    </row>
    <row r="449" spans="1:19" ht="12.4" customHeight="1">
      <c r="A449" s="1278"/>
      <c r="B449" s="1278"/>
      <c r="C449" s="1278" t="s">
        <v>3571</v>
      </c>
      <c r="D449" s="1278" t="s">
        <v>798</v>
      </c>
      <c r="E449" s="1278"/>
      <c r="F449" s="1278"/>
      <c r="G449" s="1278"/>
      <c r="H449" s="1278"/>
      <c r="I449" s="1278"/>
      <c r="J449" s="1278"/>
      <c r="K449" s="1278"/>
      <c r="L449" s="1278"/>
      <c r="M449" s="1278"/>
      <c r="N449" s="1278"/>
      <c r="O449" s="1278" t="s">
        <v>3571</v>
      </c>
      <c r="P449" s="1278"/>
      <c r="Q449" s="1278"/>
    </row>
    <row r="450" spans="1:19" ht="12.4" customHeight="1">
      <c r="A450" s="1278"/>
      <c r="B450" s="1278"/>
      <c r="C450" s="1278" t="s">
        <v>2304</v>
      </c>
      <c r="D450" s="1278" t="s">
        <v>799</v>
      </c>
      <c r="E450" s="1278"/>
      <c r="F450" s="1278"/>
      <c r="G450" s="1278"/>
      <c r="H450" s="1278"/>
      <c r="I450" s="1278"/>
      <c r="J450" s="1278"/>
      <c r="K450" s="1278"/>
      <c r="L450" s="1278"/>
      <c r="M450" s="1278"/>
      <c r="N450" s="1278"/>
      <c r="O450" s="1278" t="s">
        <v>2304</v>
      </c>
      <c r="P450" s="1278"/>
      <c r="Q450" s="1278"/>
    </row>
    <row r="451" spans="1:19" ht="12.4" customHeight="1">
      <c r="A451" s="1278"/>
      <c r="B451" s="1278"/>
      <c r="C451" s="1278" t="s">
        <v>2305</v>
      </c>
      <c r="D451" s="1278" t="s">
        <v>2357</v>
      </c>
      <c r="E451" s="1278"/>
      <c r="F451" s="1278"/>
      <c r="G451" s="1278"/>
      <c r="H451" s="1278"/>
      <c r="I451" s="1278"/>
      <c r="J451" s="1278"/>
      <c r="K451" s="1278"/>
      <c r="L451" s="1278"/>
      <c r="M451" s="1278"/>
      <c r="N451" s="1278"/>
      <c r="O451" s="1278" t="s">
        <v>2305</v>
      </c>
      <c r="P451" s="1278"/>
      <c r="Q451" s="1278"/>
    </row>
    <row r="452" spans="1:19" ht="12.4" customHeight="1">
      <c r="A452" s="1278"/>
      <c r="B452" s="1278"/>
      <c r="C452" s="1278" t="s">
        <v>112</v>
      </c>
      <c r="D452" s="1278" t="s">
        <v>800</v>
      </c>
      <c r="E452" s="1278"/>
      <c r="F452" s="1278"/>
      <c r="G452" s="1278"/>
      <c r="H452" s="1278"/>
      <c r="I452" s="1278"/>
      <c r="J452" s="1278"/>
      <c r="K452" s="1278"/>
      <c r="L452" s="1278"/>
      <c r="M452" s="1278"/>
      <c r="N452" s="1278"/>
      <c r="O452" s="1278" t="s">
        <v>112</v>
      </c>
      <c r="P452" s="1278"/>
      <c r="Q452" s="1278"/>
    </row>
    <row r="453" spans="1:19" ht="12.4" customHeight="1">
      <c r="A453" s="1278"/>
      <c r="B453" s="1278"/>
      <c r="C453" s="1278" t="s">
        <v>790</v>
      </c>
      <c r="D453" s="1278" t="s">
        <v>801</v>
      </c>
      <c r="E453" s="1278"/>
      <c r="F453" s="1278"/>
      <c r="G453" s="1278"/>
      <c r="H453" s="1278"/>
      <c r="I453" s="1278"/>
      <c r="J453" s="1278"/>
      <c r="K453" s="1278"/>
      <c r="L453" s="1278"/>
      <c r="M453" s="1278"/>
      <c r="N453" s="1278"/>
      <c r="O453" s="1278" t="s">
        <v>790</v>
      </c>
      <c r="P453" s="1278"/>
      <c r="Q453" s="1278"/>
    </row>
    <row r="454" spans="1:19" ht="12.4" customHeight="1">
      <c r="A454" s="1278"/>
      <c r="B454" s="1278"/>
      <c r="C454" s="1278" t="s">
        <v>791</v>
      </c>
      <c r="D454" s="1278" t="s">
        <v>2649</v>
      </c>
      <c r="E454" s="1278"/>
      <c r="F454" s="1278"/>
      <c r="G454" s="1278"/>
      <c r="H454" s="1278"/>
      <c r="I454" s="1278"/>
      <c r="J454" s="1278"/>
      <c r="K454" s="1278"/>
      <c r="L454" s="1278"/>
      <c r="M454" s="1278"/>
      <c r="N454" s="1278"/>
      <c r="O454" s="1278" t="s">
        <v>791</v>
      </c>
      <c r="P454" s="1278"/>
      <c r="Q454" s="1278"/>
    </row>
    <row r="455" spans="1:19" ht="12.4" customHeight="1">
      <c r="A455" s="1278"/>
      <c r="B455" s="1278"/>
      <c r="C455" s="1278" t="s">
        <v>792</v>
      </c>
      <c r="D455" s="1278" t="s">
        <v>2973</v>
      </c>
      <c r="E455" s="1278"/>
      <c r="F455" s="1278"/>
      <c r="G455" s="1278"/>
      <c r="H455" s="1278"/>
      <c r="I455" s="1278"/>
      <c r="J455" s="1278"/>
      <c r="K455" s="1278"/>
      <c r="L455" s="1278"/>
      <c r="M455" s="1278"/>
      <c r="N455" s="1278"/>
      <c r="O455" s="1278" t="s">
        <v>2975</v>
      </c>
      <c r="P455" s="1278"/>
      <c r="Q455" s="1278"/>
    </row>
    <row r="456" spans="1:19" ht="12.4" customHeight="1">
      <c r="A456" s="1278"/>
      <c r="B456" s="1278"/>
      <c r="C456" s="1278" t="s">
        <v>792</v>
      </c>
      <c r="D456" s="1278" t="s">
        <v>2974</v>
      </c>
      <c r="E456" s="1278"/>
      <c r="F456" s="1278"/>
      <c r="G456" s="1278"/>
      <c r="H456" s="1278"/>
      <c r="I456" s="1278"/>
      <c r="J456" s="1278"/>
      <c r="K456" s="1278"/>
      <c r="L456" s="1278"/>
      <c r="M456" s="1278"/>
      <c r="N456" s="1278"/>
      <c r="O456" s="1278"/>
      <c r="P456" s="1278"/>
      <c r="Q456" s="1278"/>
    </row>
    <row r="457" spans="1:19" ht="12.4" customHeight="1">
      <c r="A457" s="1278"/>
      <c r="B457" s="1278"/>
      <c r="C457" s="1278" t="s">
        <v>793</v>
      </c>
      <c r="D457" s="1278" t="s">
        <v>2976</v>
      </c>
      <c r="E457" s="1278"/>
      <c r="F457" s="1278"/>
      <c r="G457" s="1278"/>
      <c r="H457" s="1278"/>
      <c r="I457" s="1278"/>
      <c r="J457" s="1278"/>
      <c r="K457" s="1278"/>
      <c r="L457" s="1278"/>
      <c r="M457" s="1278"/>
      <c r="N457" s="1278"/>
      <c r="O457" s="1278" t="s">
        <v>793</v>
      </c>
      <c r="P457" s="1278"/>
      <c r="Q457" s="1278"/>
    </row>
    <row r="458" spans="1:19" ht="12.4" customHeight="1">
      <c r="A458" s="1278"/>
      <c r="B458" s="1278"/>
      <c r="C458" s="1278" t="s">
        <v>794</v>
      </c>
      <c r="D458" s="1278" t="s">
        <v>2977</v>
      </c>
      <c r="E458" s="1278"/>
      <c r="F458" s="1278"/>
      <c r="G458" s="1278"/>
      <c r="H458" s="1278"/>
      <c r="I458" s="1278"/>
      <c r="J458" s="1278"/>
      <c r="K458" s="1278"/>
      <c r="L458" s="1278"/>
      <c r="M458" s="1278"/>
      <c r="N458" s="1278"/>
      <c r="O458" s="1278" t="s">
        <v>794</v>
      </c>
      <c r="P458" s="1278"/>
      <c r="Q458" s="1278"/>
    </row>
    <row r="459" spans="1:19" ht="12.4" customHeight="1">
      <c r="A459" s="1278"/>
      <c r="B459" s="1278"/>
      <c r="C459" s="1278" t="s">
        <v>795</v>
      </c>
      <c r="D459" s="1278" t="s">
        <v>2978</v>
      </c>
      <c r="E459" s="1278"/>
      <c r="F459" s="1278"/>
      <c r="G459" s="1278"/>
      <c r="H459" s="1278" t="s">
        <v>2801</v>
      </c>
      <c r="I459" s="1278"/>
      <c r="J459" s="1278"/>
      <c r="K459" s="1278"/>
      <c r="L459" s="1278"/>
      <c r="M459" s="1278"/>
      <c r="N459" s="1278"/>
      <c r="O459" s="1278" t="s">
        <v>795</v>
      </c>
      <c r="P459" s="1278"/>
      <c r="Q459" s="1278"/>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2635</v>
      </c>
      <c r="D462" s="113"/>
      <c r="E462" s="113"/>
      <c r="F462" s="113"/>
      <c r="G462" s="113"/>
      <c r="H462" s="113"/>
      <c r="I462" s="113"/>
      <c r="J462" s="113" t="s">
        <v>1629</v>
      </c>
      <c r="K462" s="209"/>
      <c r="L462" s="166"/>
      <c r="M462" s="166"/>
      <c r="N462" s="364"/>
      <c r="O462" s="363"/>
      <c r="P462" s="363"/>
      <c r="Q462" s="218"/>
      <c r="R462" s="218"/>
      <c r="S462" s="218"/>
    </row>
    <row r="463" spans="1:19" s="31" customFormat="1">
      <c r="A463" s="218"/>
      <c r="B463" s="166"/>
      <c r="C463" s="166" t="s">
        <v>3185</v>
      </c>
      <c r="D463" s="166"/>
      <c r="E463" s="166"/>
      <c r="F463" s="166"/>
      <c r="G463" s="166"/>
      <c r="H463" s="166"/>
      <c r="I463" s="166"/>
      <c r="J463" s="166" t="s">
        <v>2801</v>
      </c>
      <c r="K463" s="166"/>
      <c r="L463" s="166"/>
      <c r="M463" s="166"/>
      <c r="N463" s="364"/>
      <c r="O463" s="363"/>
      <c r="P463" s="363"/>
      <c r="Q463" s="218"/>
      <c r="R463" s="218"/>
      <c r="S463" s="218"/>
    </row>
    <row r="464" spans="1:19" s="31" customFormat="1" ht="15">
      <c r="A464" s="218"/>
      <c r="B464" s="166"/>
      <c r="C464" s="113" t="s">
        <v>3842</v>
      </c>
      <c r="D464" s="113"/>
      <c r="E464" s="113"/>
      <c r="F464" s="113"/>
      <c r="G464" s="113"/>
      <c r="H464" s="113"/>
      <c r="I464" s="113"/>
      <c r="J464" s="358" t="s">
        <v>2751</v>
      </c>
      <c r="K464" s="209"/>
      <c r="L464" s="166"/>
      <c r="M464" s="166"/>
      <c r="N464" s="364"/>
      <c r="O464" s="363"/>
      <c r="P464" s="363"/>
      <c r="Q464" s="218"/>
      <c r="R464" s="218"/>
      <c r="S464" s="218"/>
    </row>
    <row r="465" spans="1:19" s="31" customFormat="1" ht="15">
      <c r="A465" s="218"/>
      <c r="B465" s="166"/>
      <c r="C465" s="113" t="s">
        <v>3186</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3187</v>
      </c>
      <c r="D466" s="113"/>
      <c r="E466" s="113"/>
      <c r="F466" s="113"/>
      <c r="G466" s="113"/>
      <c r="H466" s="113"/>
      <c r="I466" s="113"/>
      <c r="J466" s="362" t="s">
        <v>1832</v>
      </c>
      <c r="K466" s="209"/>
      <c r="L466" s="166"/>
      <c r="M466" s="166"/>
      <c r="N466" s="364"/>
      <c r="O466" s="363"/>
      <c r="P466" s="363"/>
      <c r="Q466" s="218"/>
      <c r="R466" s="218"/>
      <c r="S466" s="218"/>
    </row>
    <row r="467" spans="1:19" s="31" customFormat="1" ht="15">
      <c r="A467" s="218"/>
      <c r="B467" s="166"/>
      <c r="C467" s="359" t="s">
        <v>3188</v>
      </c>
      <c r="D467" s="113"/>
      <c r="E467" s="113"/>
      <c r="F467" s="113"/>
      <c r="G467" s="113"/>
      <c r="H467" s="113"/>
      <c r="I467" s="113"/>
      <c r="J467" s="365" t="s">
        <v>3200</v>
      </c>
      <c r="K467" s="209"/>
      <c r="L467" s="166"/>
      <c r="M467" s="166"/>
      <c r="N467" s="364"/>
      <c r="O467" s="363"/>
      <c r="P467" s="363"/>
      <c r="Q467" s="218"/>
      <c r="R467" s="218"/>
      <c r="S467" s="218"/>
    </row>
    <row r="468" spans="1:19" s="31" customFormat="1" ht="15">
      <c r="A468" s="218"/>
      <c r="B468" s="166"/>
      <c r="C468" s="359" t="s">
        <v>3189</v>
      </c>
      <c r="D468" s="113"/>
      <c r="E468" s="113"/>
      <c r="F468" s="113"/>
      <c r="G468" s="113"/>
      <c r="H468" s="113"/>
      <c r="I468" s="113"/>
      <c r="J468" s="358" t="s">
        <v>2647</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1840</v>
      </c>
      <c r="K469" s="209"/>
      <c r="L469" s="166"/>
      <c r="M469" s="166"/>
      <c r="N469" s="364"/>
      <c r="O469" s="363"/>
      <c r="P469" s="363"/>
      <c r="Q469" s="218"/>
      <c r="R469" s="218"/>
      <c r="S469" s="218"/>
    </row>
    <row r="470" spans="1:19" s="31" customFormat="1" ht="15">
      <c r="A470" s="218"/>
      <c r="B470" s="166"/>
      <c r="C470" s="166" t="s">
        <v>2801</v>
      </c>
      <c r="D470" s="113"/>
      <c r="E470" s="113"/>
      <c r="F470" s="113"/>
      <c r="G470" s="113"/>
      <c r="H470" s="113"/>
      <c r="I470" s="113"/>
      <c r="J470" s="358" t="s">
        <v>2644</v>
      </c>
      <c r="K470" s="209"/>
      <c r="L470" s="166"/>
      <c r="M470" s="166"/>
      <c r="N470" s="364"/>
      <c r="O470" s="363"/>
      <c r="P470" s="363"/>
      <c r="Q470" s="218"/>
      <c r="R470" s="218"/>
      <c r="S470" s="218"/>
    </row>
    <row r="471" spans="1:19" s="31" customFormat="1" ht="15">
      <c r="A471" s="218"/>
      <c r="B471" s="166"/>
      <c r="C471" s="360" t="s">
        <v>2099</v>
      </c>
      <c r="D471" s="113"/>
      <c r="E471" s="113"/>
      <c r="F471" s="113"/>
      <c r="G471" s="113"/>
      <c r="H471" s="113"/>
      <c r="I471" s="113"/>
      <c r="J471" s="358" t="s">
        <v>3201</v>
      </c>
      <c r="K471" s="209"/>
      <c r="L471" s="166"/>
      <c r="M471" s="166"/>
      <c r="N471" s="364"/>
      <c r="O471" s="363"/>
      <c r="P471" s="363"/>
      <c r="Q471" s="218"/>
      <c r="R471" s="218"/>
      <c r="S471" s="218"/>
    </row>
    <row r="472" spans="1:19" s="31" customFormat="1" ht="15">
      <c r="A472" s="218"/>
      <c r="B472" s="166"/>
      <c r="C472" s="360" t="s">
        <v>2100</v>
      </c>
      <c r="D472" s="113"/>
      <c r="E472" s="113"/>
      <c r="F472" s="113"/>
      <c r="G472" s="113"/>
      <c r="H472" s="113"/>
      <c r="I472" s="113"/>
      <c r="J472" s="358" t="s">
        <v>2637</v>
      </c>
      <c r="K472" s="209"/>
      <c r="L472" s="166"/>
      <c r="M472" s="166"/>
      <c r="N472" s="364"/>
      <c r="O472" s="363"/>
      <c r="P472" s="363"/>
      <c r="Q472" s="218"/>
      <c r="R472" s="218"/>
      <c r="S472" s="218"/>
    </row>
    <row r="473" spans="1:19" s="31" customFormat="1" ht="15">
      <c r="A473" s="218"/>
      <c r="B473" s="166"/>
      <c r="C473" s="361" t="s">
        <v>3230</v>
      </c>
      <c r="D473" s="113"/>
      <c r="E473" s="113"/>
      <c r="F473" s="113"/>
      <c r="G473" s="113"/>
      <c r="H473" s="113"/>
      <c r="I473" s="113"/>
      <c r="J473" s="358" t="s">
        <v>1841</v>
      </c>
      <c r="K473" s="209"/>
      <c r="L473" s="166"/>
      <c r="M473" s="166"/>
      <c r="N473" s="364"/>
      <c r="O473" s="363"/>
      <c r="P473" s="363"/>
      <c r="Q473" s="218"/>
      <c r="R473" s="218"/>
      <c r="S473" s="218"/>
    </row>
    <row r="474" spans="1:19" s="31" customFormat="1" ht="15">
      <c r="A474" s="218"/>
      <c r="B474" s="166"/>
      <c r="C474" s="361" t="s">
        <v>2096</v>
      </c>
      <c r="D474" s="113"/>
      <c r="E474" s="113"/>
      <c r="F474" s="113"/>
      <c r="G474" s="113"/>
      <c r="H474" s="113"/>
      <c r="I474" s="113"/>
      <c r="J474" s="358" t="s">
        <v>907</v>
      </c>
      <c r="K474" s="209"/>
      <c r="L474" s="166"/>
      <c r="M474" s="166"/>
      <c r="N474" s="364"/>
      <c r="O474" s="363"/>
      <c r="P474" s="363"/>
      <c r="Q474" s="218"/>
      <c r="R474" s="218"/>
      <c r="S474" s="218"/>
    </row>
    <row r="475" spans="1:19" s="31" customFormat="1" ht="15">
      <c r="A475" s="218"/>
      <c r="B475" s="166"/>
      <c r="C475" s="361" t="s">
        <v>2097</v>
      </c>
      <c r="D475" s="113"/>
      <c r="E475" s="113"/>
      <c r="F475" s="113"/>
      <c r="G475" s="113"/>
      <c r="H475" s="113"/>
      <c r="I475" s="113"/>
      <c r="J475" s="358" t="s">
        <v>2643</v>
      </c>
      <c r="K475" s="209"/>
      <c r="L475" s="166"/>
      <c r="M475" s="166"/>
      <c r="N475" s="364"/>
      <c r="O475" s="363"/>
      <c r="P475" s="363"/>
      <c r="Q475" s="218"/>
      <c r="R475" s="218"/>
      <c r="S475" s="218"/>
    </row>
    <row r="476" spans="1:19" s="31" customFormat="1" ht="15">
      <c r="A476" s="218"/>
      <c r="B476" s="166"/>
      <c r="C476" s="360" t="s">
        <v>3225</v>
      </c>
      <c r="D476" s="113"/>
      <c r="E476" s="113"/>
      <c r="F476" s="113"/>
      <c r="G476" s="113"/>
      <c r="H476" s="113"/>
      <c r="I476" s="113"/>
      <c r="J476" s="358" t="s">
        <v>1834</v>
      </c>
      <c r="K476" s="209"/>
      <c r="L476" s="166"/>
      <c r="M476" s="166"/>
      <c r="N476" s="364"/>
      <c r="O476" s="363"/>
      <c r="P476" s="363"/>
      <c r="Q476" s="218"/>
      <c r="R476" s="218"/>
      <c r="S476" s="218"/>
    </row>
    <row r="477" spans="1:19" s="31" customFormat="1" ht="15">
      <c r="A477" s="218"/>
      <c r="B477" s="166"/>
      <c r="C477" s="360" t="s">
        <v>3226</v>
      </c>
      <c r="D477" s="113"/>
      <c r="E477" s="113"/>
      <c r="F477" s="113"/>
      <c r="G477" s="113"/>
      <c r="H477" s="113"/>
      <c r="I477" s="113"/>
      <c r="J477" s="358" t="s">
        <v>1833</v>
      </c>
      <c r="K477" s="166"/>
      <c r="L477" s="166"/>
      <c r="M477" s="166"/>
      <c r="N477" s="364"/>
      <c r="O477" s="363"/>
      <c r="P477" s="363"/>
      <c r="Q477" s="218"/>
      <c r="R477" s="218"/>
      <c r="S477" s="218"/>
    </row>
    <row r="478" spans="1:19" s="31" customFormat="1" ht="15">
      <c r="A478" s="218"/>
      <c r="B478" s="166"/>
      <c r="C478" s="360" t="s">
        <v>3227</v>
      </c>
      <c r="D478" s="166"/>
      <c r="E478" s="166"/>
      <c r="F478" s="166"/>
      <c r="G478" s="166"/>
      <c r="H478" s="166"/>
      <c r="I478" s="166"/>
      <c r="J478" s="358" t="s">
        <v>2752</v>
      </c>
      <c r="K478" s="166"/>
      <c r="L478" s="166"/>
      <c r="M478" s="166"/>
      <c r="N478" s="364"/>
      <c r="O478" s="363"/>
      <c r="P478" s="363"/>
      <c r="Q478" s="218"/>
      <c r="R478" s="218"/>
      <c r="S478" s="218"/>
    </row>
    <row r="479" spans="1:19" s="31" customFormat="1" ht="15">
      <c r="A479" s="218"/>
      <c r="B479" s="166"/>
      <c r="C479" s="360" t="s">
        <v>3228</v>
      </c>
      <c r="D479" s="166"/>
      <c r="E479" s="166"/>
      <c r="F479" s="166"/>
      <c r="G479" s="166"/>
      <c r="H479" s="166"/>
      <c r="I479" s="166"/>
      <c r="J479" s="358" t="s">
        <v>2646</v>
      </c>
      <c r="K479" s="166"/>
      <c r="L479" s="166"/>
      <c r="M479" s="166"/>
      <c r="N479" s="364"/>
      <c r="O479" s="363"/>
      <c r="P479" s="363"/>
      <c r="Q479" s="218"/>
      <c r="R479" s="218"/>
      <c r="S479" s="218"/>
    </row>
    <row r="480" spans="1:19" s="31" customFormat="1" ht="15">
      <c r="A480" s="218"/>
      <c r="B480" s="166"/>
      <c r="C480" s="360" t="s">
        <v>3229</v>
      </c>
      <c r="D480" s="166"/>
      <c r="E480" s="166"/>
      <c r="F480" s="166"/>
      <c r="G480" s="166"/>
      <c r="H480" s="166"/>
      <c r="I480" s="166"/>
      <c r="J480" s="358" t="s">
        <v>2638</v>
      </c>
      <c r="K480" s="166"/>
      <c r="L480" s="166"/>
      <c r="M480" s="166"/>
      <c r="N480" s="364"/>
      <c r="O480" s="363"/>
      <c r="P480" s="363"/>
      <c r="Q480" s="218"/>
      <c r="R480" s="218"/>
      <c r="S480" s="218"/>
    </row>
    <row r="481" spans="1:19" s="31" customFormat="1" ht="15">
      <c r="A481" s="218"/>
      <c r="B481" s="166"/>
      <c r="C481" s="360" t="s">
        <v>2098</v>
      </c>
      <c r="D481" s="166"/>
      <c r="E481" s="166"/>
      <c r="F481" s="166"/>
      <c r="G481" s="166"/>
      <c r="H481" s="166"/>
      <c r="I481" s="166"/>
      <c r="J481" s="358" t="s">
        <v>3199</v>
      </c>
      <c r="K481" s="166"/>
      <c r="L481" s="166"/>
      <c r="M481" s="166"/>
      <c r="N481" s="364"/>
      <c r="O481" s="363"/>
      <c r="P481" s="363"/>
      <c r="Q481" s="218"/>
      <c r="R481" s="218"/>
      <c r="S481" s="218"/>
    </row>
    <row r="482" spans="1:19" s="31" customFormat="1">
      <c r="A482" s="218"/>
      <c r="B482" s="166"/>
      <c r="C482" s="360" t="s">
        <v>3415</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2346</v>
      </c>
      <c r="D486" s="113"/>
      <c r="E486" s="113"/>
      <c r="F486" s="113"/>
      <c r="G486" s="113"/>
      <c r="H486" s="113"/>
      <c r="I486" s="113"/>
      <c r="J486" s="113"/>
      <c r="K486" s="113"/>
      <c r="L486" s="113"/>
      <c r="M486" s="113"/>
      <c r="N486" s="113"/>
      <c r="O486" s="113"/>
      <c r="P486" s="113"/>
      <c r="Q486" s="9"/>
      <c r="R486" s="9"/>
      <c r="S486" s="9"/>
    </row>
    <row r="487" spans="1:19">
      <c r="A487" s="9"/>
      <c r="B487" s="113"/>
      <c r="C487" s="113" t="s">
        <v>2801</v>
      </c>
      <c r="D487" s="113"/>
      <c r="E487" s="113"/>
      <c r="F487" s="113"/>
      <c r="G487" s="113"/>
      <c r="H487" s="113"/>
      <c r="I487" s="113"/>
      <c r="J487" s="113"/>
      <c r="K487" s="113"/>
      <c r="L487" s="113"/>
      <c r="M487" s="113"/>
      <c r="N487" s="113"/>
      <c r="O487" s="113"/>
      <c r="P487" s="113"/>
      <c r="Q487" s="9"/>
      <c r="R487" s="9"/>
      <c r="S487" s="9"/>
    </row>
    <row r="488" spans="1:19">
      <c r="A488" s="9"/>
      <c r="B488" s="113"/>
      <c r="C488" s="113" t="s">
        <v>3185</v>
      </c>
      <c r="D488" s="113"/>
      <c r="E488" s="123"/>
      <c r="F488" s="123"/>
      <c r="G488" s="123"/>
      <c r="H488" s="123"/>
      <c r="I488" s="123"/>
      <c r="J488" s="123"/>
      <c r="K488" s="123"/>
      <c r="L488" s="123"/>
      <c r="M488" s="123"/>
      <c r="N488" s="113"/>
      <c r="O488" s="113"/>
      <c r="P488" s="113"/>
      <c r="Q488" s="9"/>
      <c r="R488" s="9"/>
      <c r="S488" s="9"/>
    </row>
    <row r="489" spans="1:19">
      <c r="A489" s="9"/>
      <c r="B489" s="113"/>
      <c r="C489" s="113" t="s">
        <v>3842</v>
      </c>
      <c r="D489" s="123"/>
      <c r="E489" s="123"/>
      <c r="F489" s="123"/>
      <c r="G489" s="123"/>
      <c r="H489" s="113"/>
      <c r="I489" s="123"/>
      <c r="J489" s="123"/>
      <c r="K489" s="123"/>
      <c r="L489" s="123"/>
      <c r="M489" s="123"/>
      <c r="N489" s="113"/>
      <c r="O489" s="113"/>
      <c r="P489" s="113"/>
      <c r="Q489" s="9"/>
      <c r="R489" s="9"/>
      <c r="S489" s="9"/>
    </row>
    <row r="490" spans="1:19">
      <c r="A490" s="9"/>
      <c r="B490" s="113"/>
      <c r="C490" s="113" t="s">
        <v>3186</v>
      </c>
      <c r="D490" s="123"/>
      <c r="E490" s="123"/>
      <c r="F490" s="123"/>
      <c r="G490" s="123"/>
      <c r="H490" s="123"/>
      <c r="I490" s="123"/>
      <c r="J490" s="123"/>
      <c r="K490" s="123"/>
      <c r="L490" s="123"/>
      <c r="M490" s="123"/>
      <c r="N490" s="113"/>
      <c r="O490" s="113"/>
      <c r="P490" s="113"/>
      <c r="Q490" s="9"/>
      <c r="R490" s="9"/>
      <c r="S490" s="9"/>
    </row>
    <row r="491" spans="1:19">
      <c r="A491" s="9"/>
      <c r="B491" s="113"/>
      <c r="C491" s="113" t="s">
        <v>2636</v>
      </c>
      <c r="D491" s="123"/>
      <c r="E491" s="123"/>
      <c r="F491" s="123"/>
      <c r="G491" s="123"/>
      <c r="H491" s="113"/>
      <c r="I491" s="123"/>
      <c r="J491" s="123"/>
      <c r="K491" s="123"/>
      <c r="L491" s="123"/>
      <c r="M491" s="123"/>
      <c r="N491" s="113"/>
      <c r="O491" s="113"/>
      <c r="P491" s="113"/>
      <c r="Q491" s="9"/>
      <c r="R491" s="9"/>
      <c r="S491" s="9"/>
    </row>
    <row r="492" spans="1:19">
      <c r="A492" s="9"/>
      <c r="B492" s="113"/>
      <c r="C492" s="359" t="s">
        <v>3092</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2637</v>
      </c>
      <c r="D494" s="123"/>
      <c r="E494" s="123"/>
      <c r="F494" s="123"/>
      <c r="G494" s="123"/>
      <c r="H494" s="113"/>
      <c r="I494" s="123"/>
      <c r="J494" s="113"/>
      <c r="K494" s="123"/>
      <c r="L494" s="123"/>
      <c r="M494" s="123"/>
      <c r="N494" s="113"/>
      <c r="O494" s="113"/>
      <c r="P494" s="113"/>
      <c r="Q494" s="9"/>
      <c r="R494" s="9"/>
      <c r="S494" s="9"/>
    </row>
    <row r="495" spans="1:19">
      <c r="A495" s="9"/>
      <c r="B495" s="113"/>
      <c r="C495" s="113" t="s">
        <v>2638</v>
      </c>
      <c r="D495" s="123"/>
      <c r="E495" s="123"/>
      <c r="F495" s="123"/>
      <c r="G495" s="123"/>
      <c r="H495" s="113"/>
      <c r="I495" s="123"/>
      <c r="J495" s="113"/>
      <c r="K495" s="123"/>
      <c r="L495" s="123"/>
      <c r="M495" s="123"/>
      <c r="N495" s="113"/>
      <c r="O495" s="113"/>
      <c r="P495" s="113"/>
      <c r="Q495" s="9"/>
      <c r="R495" s="9"/>
      <c r="S495" s="9"/>
    </row>
    <row r="496" spans="1:19">
      <c r="A496" s="9"/>
      <c r="B496" s="113"/>
      <c r="C496" s="113" t="s">
        <v>3784</v>
      </c>
      <c r="D496" s="123"/>
      <c r="E496" s="123"/>
      <c r="F496" s="123"/>
      <c r="G496" s="123"/>
      <c r="H496" s="123"/>
      <c r="I496" s="123"/>
      <c r="J496" s="123"/>
      <c r="K496" s="123"/>
      <c r="L496" s="123"/>
      <c r="M496" s="123"/>
      <c r="N496" s="113"/>
      <c r="O496" s="113"/>
      <c r="P496" s="113"/>
      <c r="Q496" s="9"/>
      <c r="R496" s="9"/>
      <c r="S496" s="9"/>
    </row>
    <row r="497" spans="1:19">
      <c r="A497" s="9"/>
      <c r="B497" s="113"/>
      <c r="C497" s="113" t="s">
        <v>2347</v>
      </c>
      <c r="D497" s="123"/>
      <c r="E497" s="123"/>
      <c r="F497" s="123"/>
      <c r="G497" s="123"/>
      <c r="H497" s="123"/>
      <c r="I497" s="123"/>
      <c r="J497" s="123"/>
      <c r="K497" s="123"/>
      <c r="L497" s="123"/>
      <c r="M497" s="123"/>
      <c r="N497" s="113"/>
      <c r="O497" s="113"/>
      <c r="P497" s="113"/>
      <c r="Q497" s="9"/>
      <c r="R497" s="9"/>
      <c r="S497" s="9"/>
    </row>
    <row r="498" spans="1:19">
      <c r="A498" s="9"/>
      <c r="B498" s="113"/>
      <c r="C498" s="113" t="s">
        <v>2640</v>
      </c>
      <c r="D498" s="123"/>
      <c r="E498" s="123"/>
      <c r="F498" s="123"/>
      <c r="G498" s="123"/>
      <c r="H498" s="123"/>
      <c r="I498" s="123"/>
      <c r="J498" s="123"/>
      <c r="K498" s="123"/>
      <c r="L498" s="123"/>
      <c r="M498" s="123"/>
      <c r="N498" s="113"/>
      <c r="O498" s="113"/>
      <c r="P498" s="113"/>
      <c r="Q498" s="9"/>
      <c r="R498" s="9"/>
      <c r="S498" s="9"/>
    </row>
    <row r="499" spans="1:19">
      <c r="A499" s="9"/>
      <c r="B499" s="113"/>
      <c r="C499" s="113" t="s">
        <v>3787</v>
      </c>
      <c r="D499" s="123"/>
      <c r="E499" s="123"/>
      <c r="F499" s="123"/>
      <c r="G499" s="123"/>
      <c r="H499" s="123"/>
      <c r="I499" s="123"/>
      <c r="J499" s="123"/>
      <c r="K499" s="123"/>
      <c r="L499" s="123"/>
      <c r="M499" s="123"/>
      <c r="N499" s="113"/>
      <c r="O499" s="113"/>
      <c r="P499" s="113"/>
      <c r="Q499" s="9"/>
      <c r="R499" s="9"/>
      <c r="S499" s="9"/>
    </row>
    <row r="500" spans="1:19">
      <c r="A500" s="9"/>
      <c r="B500" s="113"/>
      <c r="C500" s="113" t="s">
        <v>2642</v>
      </c>
      <c r="D500" s="123"/>
      <c r="E500" s="123"/>
      <c r="F500" s="123"/>
      <c r="G500" s="123"/>
      <c r="H500" s="123"/>
      <c r="I500" s="123"/>
      <c r="J500" s="123"/>
      <c r="K500" s="123"/>
      <c r="L500" s="123"/>
      <c r="M500" s="123"/>
      <c r="N500" s="113" t="s">
        <v>3785</v>
      </c>
      <c r="O500" s="113"/>
      <c r="P500" s="113"/>
      <c r="Q500" s="9"/>
      <c r="R500" s="9"/>
      <c r="S500" s="9"/>
    </row>
    <row r="501" spans="1:19">
      <c r="A501" s="9"/>
      <c r="B501" s="113"/>
      <c r="C501" s="113" t="s">
        <v>2643</v>
      </c>
      <c r="D501" s="123"/>
      <c r="E501" s="123"/>
      <c r="F501" s="123"/>
      <c r="G501" s="123"/>
      <c r="H501" s="123"/>
      <c r="I501" s="123"/>
      <c r="J501" s="123"/>
      <c r="K501" s="123"/>
      <c r="L501" s="123"/>
      <c r="M501" s="123"/>
      <c r="N501" s="113"/>
      <c r="O501" s="113"/>
      <c r="P501" s="113"/>
      <c r="Q501" s="9"/>
      <c r="R501" s="9"/>
      <c r="S501" s="9"/>
    </row>
    <row r="502" spans="1:19">
      <c r="A502" s="9"/>
      <c r="B502" s="113"/>
      <c r="C502" s="113" t="s">
        <v>2644</v>
      </c>
      <c r="D502" s="123"/>
      <c r="E502" s="123"/>
      <c r="F502" s="123"/>
      <c r="G502" s="123"/>
      <c r="H502" s="123"/>
      <c r="I502" s="123"/>
      <c r="J502" s="123"/>
      <c r="K502" s="123"/>
      <c r="L502" s="123"/>
      <c r="M502" s="123"/>
      <c r="N502" s="113"/>
      <c r="O502" s="113"/>
      <c r="P502" s="113"/>
      <c r="Q502" s="9"/>
      <c r="R502" s="9"/>
      <c r="S502" s="9"/>
    </row>
    <row r="503" spans="1:19">
      <c r="A503" s="9"/>
      <c r="B503" s="113"/>
      <c r="C503" s="113" t="s">
        <v>907</v>
      </c>
      <c r="D503" s="123"/>
      <c r="E503" s="123"/>
      <c r="F503" s="123"/>
      <c r="G503" s="123"/>
      <c r="H503" s="123"/>
      <c r="I503" s="123"/>
      <c r="J503" s="123"/>
      <c r="K503" s="123"/>
      <c r="L503" s="123"/>
      <c r="M503" s="123"/>
      <c r="N503" s="113"/>
      <c r="O503" s="113"/>
      <c r="P503" s="113"/>
      <c r="Q503" s="9"/>
      <c r="R503" s="9"/>
      <c r="S503" s="9"/>
    </row>
    <row r="504" spans="1:19">
      <c r="A504" s="9"/>
      <c r="B504" s="113"/>
      <c r="C504" s="113" t="s">
        <v>2645</v>
      </c>
      <c r="D504" s="123"/>
      <c r="E504" s="123"/>
      <c r="F504" s="123"/>
      <c r="G504" s="123"/>
      <c r="H504" s="123"/>
      <c r="I504" s="123"/>
      <c r="J504" s="123"/>
      <c r="K504" s="123"/>
      <c r="L504" s="123"/>
      <c r="M504" s="123"/>
      <c r="N504" s="113"/>
      <c r="O504" s="113"/>
      <c r="P504" s="113"/>
      <c r="Q504" s="9"/>
      <c r="R504" s="9"/>
      <c r="S504" s="9"/>
    </row>
    <row r="505" spans="1:19">
      <c r="A505" s="9"/>
      <c r="B505" s="113"/>
      <c r="C505" s="113" t="s">
        <v>2937</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2821</v>
      </c>
      <c r="D510" s="113"/>
      <c r="E510" s="113"/>
      <c r="F510" s="113"/>
      <c r="G510" s="113"/>
      <c r="H510" s="113"/>
      <c r="I510" s="113"/>
      <c r="J510" s="113"/>
      <c r="K510" s="113"/>
      <c r="L510" s="113"/>
      <c r="M510" s="113"/>
      <c r="N510" s="113"/>
      <c r="O510" s="113"/>
      <c r="P510" s="113"/>
      <c r="Q510" s="9"/>
      <c r="R510" s="9"/>
      <c r="S510" s="9"/>
    </row>
    <row r="511" spans="1:19">
      <c r="A511" s="9"/>
      <c r="B511" s="113"/>
      <c r="C511" s="113" t="s">
        <v>1523</v>
      </c>
      <c r="D511" s="113"/>
      <c r="E511" s="113"/>
      <c r="F511" s="113"/>
      <c r="G511" s="113"/>
      <c r="H511" s="113"/>
      <c r="I511" s="113"/>
      <c r="J511" s="113"/>
      <c r="K511" s="113"/>
      <c r="L511" s="113"/>
      <c r="M511" s="113"/>
      <c r="N511" s="113"/>
      <c r="O511" s="113"/>
      <c r="P511" s="113"/>
      <c r="Q511" s="9"/>
      <c r="R511" s="9"/>
      <c r="S511" s="9"/>
    </row>
    <row r="512" spans="1:19">
      <c r="A512" s="9"/>
      <c r="B512" s="113"/>
      <c r="C512" s="360" t="s">
        <v>2535</v>
      </c>
      <c r="D512" s="113"/>
      <c r="E512" s="113"/>
      <c r="F512" s="113"/>
      <c r="G512" s="113"/>
      <c r="H512" s="113"/>
      <c r="I512" s="113"/>
      <c r="J512" s="113"/>
      <c r="K512" s="113"/>
      <c r="L512" s="113"/>
      <c r="M512" s="113"/>
      <c r="N512" s="113"/>
      <c r="O512" s="113"/>
      <c r="P512" s="113"/>
      <c r="Q512" s="9"/>
      <c r="R512" s="9"/>
      <c r="S512" s="9"/>
    </row>
    <row r="513" spans="1:19">
      <c r="A513" s="9"/>
      <c r="B513" s="113"/>
      <c r="C513" s="360" t="s">
        <v>1088</v>
      </c>
      <c r="D513" s="113"/>
      <c r="E513" s="113"/>
      <c r="F513" s="113"/>
      <c r="G513" s="113"/>
      <c r="H513" s="113"/>
      <c r="I513" s="113"/>
      <c r="J513" s="113"/>
      <c r="K513" s="113"/>
      <c r="L513" s="360"/>
      <c r="M513" s="113"/>
      <c r="N513" s="113"/>
      <c r="O513" s="113"/>
      <c r="P513" s="113"/>
      <c r="Q513" s="9"/>
      <c r="R513" s="9"/>
      <c r="S513" s="9"/>
    </row>
    <row r="514" spans="1:19">
      <c r="A514" s="9"/>
      <c r="B514" s="113"/>
      <c r="C514" s="360" t="s">
        <v>1089</v>
      </c>
      <c r="D514" s="113"/>
      <c r="E514" s="113"/>
      <c r="F514" s="113"/>
      <c r="G514" s="113"/>
      <c r="H514" s="113"/>
      <c r="I514" s="113"/>
      <c r="J514" s="113"/>
      <c r="K514" s="113"/>
      <c r="L514" s="360"/>
      <c r="M514" s="113"/>
      <c r="N514" s="113"/>
      <c r="O514" s="113"/>
      <c r="P514" s="113"/>
      <c r="Q514" s="9"/>
      <c r="R514" s="9"/>
      <c r="S514" s="9"/>
    </row>
    <row r="515" spans="1:19">
      <c r="A515" s="9"/>
      <c r="B515" s="113"/>
      <c r="C515" s="360" t="s">
        <v>3260</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2942</v>
      </c>
      <c r="D518" s="113"/>
      <c r="E518" s="113"/>
      <c r="F518" s="113"/>
      <c r="G518" s="113"/>
      <c r="H518" s="113"/>
      <c r="I518" s="113"/>
      <c r="J518" s="113"/>
      <c r="K518" s="113"/>
      <c r="L518" s="113"/>
      <c r="M518" s="113"/>
      <c r="N518" s="113"/>
      <c r="O518" s="113"/>
      <c r="P518" s="113"/>
      <c r="Q518" s="9"/>
      <c r="R518" s="9"/>
      <c r="S518" s="9"/>
    </row>
    <row r="519" spans="1:19">
      <c r="A519" s="9"/>
      <c r="B519" s="113"/>
      <c r="C519" s="360" t="s">
        <v>1543</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1018</v>
      </c>
      <c r="D523" s="113"/>
      <c r="E523" s="113"/>
      <c r="F523" s="113"/>
      <c r="G523" s="113"/>
      <c r="H523" s="113"/>
      <c r="I523" s="113"/>
      <c r="J523" s="113"/>
      <c r="K523" s="113"/>
      <c r="L523" s="113"/>
      <c r="M523" s="113"/>
      <c r="N523" s="113"/>
      <c r="O523" s="113"/>
      <c r="P523" s="113"/>
      <c r="Q523" s="9"/>
      <c r="R523" s="9"/>
      <c r="S523" s="9"/>
    </row>
    <row r="524" spans="1:19">
      <c r="A524" s="9"/>
      <c r="B524" s="113"/>
      <c r="C524" s="360" t="s">
        <v>3091</v>
      </c>
      <c r="D524" s="113"/>
      <c r="E524" s="113"/>
      <c r="F524" s="113"/>
      <c r="G524" s="113"/>
      <c r="H524" s="113"/>
      <c r="I524" s="113"/>
      <c r="J524" s="113"/>
      <c r="K524" s="113"/>
      <c r="L524" s="360"/>
      <c r="M524" s="113"/>
      <c r="N524" s="113"/>
      <c r="O524" s="113"/>
      <c r="P524" s="113"/>
      <c r="Q524" s="9"/>
      <c r="R524" s="9"/>
      <c r="S524" s="9"/>
    </row>
    <row r="525" spans="1:19">
      <c r="A525" s="9"/>
      <c r="B525" s="113"/>
      <c r="C525" s="207" t="s">
        <v>3916</v>
      </c>
      <c r="D525" s="113"/>
      <c r="E525" s="113"/>
      <c r="F525" s="113"/>
      <c r="G525" s="113"/>
      <c r="H525" s="113"/>
      <c r="I525" s="113"/>
      <c r="J525" s="113"/>
      <c r="K525" s="113"/>
      <c r="L525" s="360"/>
      <c r="M525" s="113"/>
      <c r="N525" s="113"/>
      <c r="O525" s="113"/>
      <c r="P525" s="113"/>
      <c r="Q525" s="9"/>
      <c r="R525" s="9"/>
      <c r="S525" s="9"/>
    </row>
    <row r="526" spans="1:19">
      <c r="A526" s="9"/>
      <c r="B526" s="113"/>
      <c r="C526" s="207" t="s">
        <v>2089</v>
      </c>
      <c r="D526" s="113"/>
      <c r="E526" s="113"/>
      <c r="F526" s="113"/>
      <c r="G526" s="113"/>
      <c r="H526" s="113"/>
      <c r="I526" s="113"/>
      <c r="J526" s="113"/>
      <c r="K526" s="113"/>
      <c r="L526" s="360"/>
      <c r="M526" s="113"/>
      <c r="N526" s="113"/>
      <c r="O526" s="113"/>
      <c r="P526" s="113"/>
      <c r="Q526" s="9"/>
      <c r="R526" s="9"/>
      <c r="S526" s="9"/>
    </row>
    <row r="527" spans="1:19">
      <c r="A527" s="9"/>
      <c r="B527" s="113"/>
      <c r="C527" s="207" t="s">
        <v>2344</v>
      </c>
      <c r="D527" s="113"/>
      <c r="E527" s="113"/>
      <c r="F527" s="113"/>
      <c r="G527" s="113"/>
      <c r="H527" s="113"/>
      <c r="I527" s="113"/>
      <c r="J527" s="113"/>
      <c r="K527" s="367" t="s">
        <v>676</v>
      </c>
      <c r="L527" s="360"/>
      <c r="M527" s="113"/>
      <c r="N527" s="113"/>
      <c r="O527" s="113"/>
      <c r="P527" s="113"/>
      <c r="Q527" s="9"/>
      <c r="R527" s="9"/>
      <c r="S527" s="9"/>
    </row>
    <row r="528" spans="1:19">
      <c r="A528" s="9"/>
      <c r="B528" s="113"/>
      <c r="C528" s="207" t="s">
        <v>2536</v>
      </c>
      <c r="D528" s="113"/>
      <c r="E528" s="113"/>
      <c r="F528" s="113"/>
      <c r="G528" s="113"/>
      <c r="H528" s="113"/>
      <c r="I528" s="113"/>
      <c r="J528" s="113"/>
      <c r="K528" s="113" t="s">
        <v>1714</v>
      </c>
      <c r="L528" s="360"/>
      <c r="M528" s="113"/>
      <c r="N528" s="113"/>
      <c r="O528" s="113"/>
      <c r="P528" s="113"/>
      <c r="Q528" s="9"/>
      <c r="R528" s="9"/>
      <c r="S528" s="9"/>
    </row>
    <row r="529" spans="1:19">
      <c r="A529" s="9"/>
      <c r="B529" s="113"/>
      <c r="C529" s="207" t="s">
        <v>1077</v>
      </c>
      <c r="D529" s="113"/>
      <c r="E529" s="113"/>
      <c r="F529" s="113"/>
      <c r="G529" s="113"/>
      <c r="H529" s="113"/>
      <c r="I529" s="113"/>
      <c r="J529" s="113"/>
      <c r="K529" s="113" t="s">
        <v>1713</v>
      </c>
      <c r="L529" s="113"/>
      <c r="M529" s="113"/>
      <c r="N529" s="113"/>
      <c r="O529" s="113"/>
      <c r="P529" s="113"/>
      <c r="Q529" s="9"/>
      <c r="R529" s="9"/>
      <c r="S529" s="9"/>
    </row>
    <row r="530" spans="1:19">
      <c r="A530" s="9"/>
      <c r="B530" s="113"/>
      <c r="C530" s="360" t="s">
        <v>1866</v>
      </c>
      <c r="D530" s="113"/>
      <c r="E530" s="113"/>
      <c r="F530" s="113"/>
      <c r="G530" s="113"/>
      <c r="H530" s="113"/>
      <c r="I530" s="113"/>
      <c r="J530" s="113"/>
      <c r="K530" s="113" t="s">
        <v>3370</v>
      </c>
      <c r="L530" s="113"/>
      <c r="M530" s="113"/>
      <c r="N530" s="113"/>
      <c r="O530" s="113"/>
      <c r="P530" s="113"/>
      <c r="Q530" s="9"/>
      <c r="R530" s="9"/>
      <c r="S530" s="9"/>
    </row>
    <row r="531" spans="1:19">
      <c r="A531" s="9"/>
      <c r="B531" s="113"/>
      <c r="C531" s="113"/>
      <c r="D531" s="113"/>
      <c r="E531" s="113"/>
      <c r="F531" s="113"/>
      <c r="G531" s="113"/>
      <c r="H531" s="113"/>
      <c r="I531" s="113"/>
      <c r="J531" s="113"/>
      <c r="K531" s="113" t="s">
        <v>1715</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3369</v>
      </c>
      <c r="L532" s="113"/>
      <c r="M532" s="113"/>
      <c r="N532" s="113"/>
      <c r="O532" s="113"/>
      <c r="P532" s="113"/>
      <c r="Q532" s="9"/>
      <c r="R532" s="9"/>
      <c r="S532" s="9"/>
    </row>
    <row r="533" spans="1:19">
      <c r="A533" s="9"/>
      <c r="B533" s="113"/>
      <c r="C533" s="113" t="s">
        <v>1716</v>
      </c>
      <c r="D533" s="113"/>
      <c r="E533" s="113"/>
      <c r="F533" s="113"/>
      <c r="G533" s="113"/>
      <c r="H533" s="113"/>
      <c r="I533" s="113"/>
      <c r="J533" s="113"/>
      <c r="K533" s="113" t="s">
        <v>3472</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2168</v>
      </c>
      <c r="L534" s="113"/>
      <c r="M534" s="113"/>
      <c r="N534" s="113"/>
      <c r="O534" s="113"/>
      <c r="P534" s="113"/>
      <c r="Q534" s="9"/>
      <c r="R534" s="9"/>
      <c r="S534" s="9"/>
    </row>
    <row r="535" spans="1:19">
      <c r="A535" s="9"/>
      <c r="B535" s="113"/>
      <c r="C535" s="113" t="s">
        <v>2278</v>
      </c>
      <c r="D535" s="113"/>
      <c r="E535" s="113"/>
      <c r="F535" s="113"/>
      <c r="G535" s="113"/>
      <c r="H535" s="113"/>
      <c r="I535" s="113"/>
      <c r="J535" s="113"/>
      <c r="K535" s="209" t="s">
        <v>1772</v>
      </c>
      <c r="L535" s="113"/>
      <c r="M535" s="113"/>
      <c r="N535" s="113"/>
      <c r="O535" s="113"/>
      <c r="P535" s="113"/>
      <c r="Q535" s="9"/>
      <c r="R535" s="9"/>
      <c r="S535" s="9"/>
    </row>
    <row r="536" spans="1:19">
      <c r="A536" s="9"/>
      <c r="B536" s="113"/>
      <c r="C536" s="113" t="s">
        <v>3215</v>
      </c>
      <c r="D536" s="113"/>
      <c r="E536" s="113"/>
      <c r="F536" s="113"/>
      <c r="G536" s="113"/>
      <c r="H536" s="113"/>
      <c r="I536" s="113"/>
      <c r="J536" s="113"/>
      <c r="K536" s="209" t="s">
        <v>1771</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1766</v>
      </c>
      <c r="L537" s="113"/>
      <c r="M537" s="113"/>
      <c r="N537" s="113"/>
      <c r="O537" s="113"/>
      <c r="P537" s="113"/>
      <c r="Q537" s="9"/>
      <c r="R537" s="9"/>
      <c r="S537" s="9"/>
    </row>
    <row r="538" spans="1:19">
      <c r="A538" s="9"/>
      <c r="B538" s="113"/>
      <c r="C538" s="209"/>
      <c r="D538" s="113"/>
      <c r="E538" s="113"/>
      <c r="F538" s="113"/>
      <c r="G538" s="113"/>
      <c r="H538" s="113"/>
      <c r="I538" s="113"/>
      <c r="J538" s="113"/>
      <c r="K538" s="367" t="s">
        <v>3021</v>
      </c>
      <c r="L538" s="113"/>
      <c r="M538" s="113"/>
      <c r="N538" s="113"/>
      <c r="O538" s="113"/>
      <c r="P538" s="113"/>
      <c r="Q538" s="9"/>
      <c r="R538" s="9"/>
      <c r="S538" s="9"/>
    </row>
    <row r="539" spans="1:19">
      <c r="A539" s="9"/>
      <c r="B539" s="113"/>
      <c r="C539" s="209"/>
      <c r="D539" s="113"/>
      <c r="E539" s="113"/>
      <c r="F539" s="113"/>
      <c r="G539" s="113"/>
      <c r="H539" s="113"/>
      <c r="I539" s="113"/>
      <c r="J539" s="113"/>
      <c r="K539" s="113" t="s">
        <v>1712</v>
      </c>
      <c r="L539" s="113"/>
      <c r="M539" s="113"/>
      <c r="N539" s="113"/>
      <c r="O539" s="113"/>
      <c r="P539" s="113"/>
      <c r="Q539" s="9"/>
      <c r="R539" s="9"/>
      <c r="S539" s="9"/>
    </row>
    <row r="540" spans="1:19">
      <c r="A540" s="9"/>
      <c r="B540" s="113"/>
      <c r="C540" s="113"/>
      <c r="D540" s="113"/>
      <c r="E540" s="113"/>
      <c r="F540" s="113"/>
      <c r="G540" s="113"/>
      <c r="H540" s="113"/>
      <c r="I540" s="113"/>
      <c r="J540" s="113"/>
      <c r="K540" s="113" t="s">
        <v>2780</v>
      </c>
      <c r="L540" s="113"/>
      <c r="M540" s="113"/>
      <c r="N540" s="113"/>
      <c r="O540" s="113"/>
      <c r="P540" s="113"/>
      <c r="Q540" s="9"/>
      <c r="R540" s="9"/>
      <c r="S540" s="9"/>
    </row>
    <row r="541" spans="1:19">
      <c r="A541" s="9"/>
      <c r="B541" s="113"/>
      <c r="C541" s="113"/>
      <c r="D541" s="113"/>
      <c r="E541" s="113"/>
      <c r="F541" s="113"/>
      <c r="G541" s="113"/>
      <c r="H541" s="113"/>
      <c r="I541" s="113"/>
      <c r="J541" s="113"/>
      <c r="K541" s="113" t="s">
        <v>1773</v>
      </c>
      <c r="L541" s="113"/>
      <c r="M541" s="113"/>
      <c r="N541" s="113"/>
      <c r="O541" s="113"/>
      <c r="P541" s="113"/>
      <c r="Q541" s="9"/>
      <c r="R541" s="9"/>
      <c r="S541" s="9"/>
    </row>
    <row r="542" spans="1:19">
      <c r="A542" s="9"/>
      <c r="B542" s="113"/>
      <c r="C542" s="113"/>
      <c r="D542" s="113"/>
      <c r="E542" s="113"/>
      <c r="F542" s="113"/>
      <c r="G542" s="113"/>
      <c r="H542" s="113"/>
      <c r="I542" s="113"/>
      <c r="J542" s="113"/>
      <c r="K542" s="113" t="s">
        <v>2781</v>
      </c>
      <c r="L542" s="113"/>
      <c r="M542" s="113"/>
      <c r="N542" s="113"/>
      <c r="O542" s="113"/>
      <c r="P542" s="113"/>
      <c r="Q542" s="9"/>
      <c r="R542" s="9"/>
      <c r="S542" s="9"/>
    </row>
    <row r="543" spans="1:19">
      <c r="A543" s="9"/>
      <c r="B543" s="113"/>
      <c r="C543" s="113"/>
      <c r="D543" s="113"/>
      <c r="E543" s="113"/>
      <c r="F543" s="113"/>
      <c r="G543" s="113"/>
      <c r="H543" s="113"/>
      <c r="I543" s="113"/>
      <c r="J543" s="113"/>
      <c r="K543" s="113" t="s">
        <v>3578</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1630</v>
      </c>
      <c r="D545" s="113"/>
      <c r="E545" s="113"/>
      <c r="F545" s="113"/>
      <c r="G545" s="113"/>
      <c r="H545" s="113"/>
      <c r="I545" s="113"/>
      <c r="J545" s="113"/>
      <c r="K545" s="366" t="s">
        <v>1631</v>
      </c>
      <c r="L545" s="113"/>
      <c r="M545" s="113"/>
      <c r="N545" s="113"/>
      <c r="O545" s="113"/>
      <c r="P545" s="113"/>
      <c r="Q545" s="9"/>
      <c r="R545" s="9"/>
      <c r="S545" s="9"/>
    </row>
    <row r="546" spans="1:19">
      <c r="A546" s="9"/>
      <c r="B546" s="113"/>
      <c r="C546" s="113" t="s">
        <v>1629</v>
      </c>
      <c r="D546" s="113"/>
      <c r="E546" s="113"/>
      <c r="F546" s="113"/>
      <c r="G546" s="113"/>
      <c r="H546" s="113"/>
      <c r="I546" s="113"/>
      <c r="J546" s="113"/>
      <c r="K546" s="113" t="s">
        <v>1629</v>
      </c>
      <c r="L546" s="113"/>
      <c r="M546" s="113"/>
      <c r="N546" s="113"/>
      <c r="O546" s="113"/>
      <c r="P546" s="113"/>
      <c r="Q546" s="9"/>
      <c r="R546" s="9"/>
      <c r="S546" s="9"/>
    </row>
    <row r="547" spans="1:19">
      <c r="A547" s="9"/>
      <c r="B547" s="113"/>
      <c r="C547" s="113" t="s">
        <v>3185</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3842</v>
      </c>
      <c r="D548" s="113"/>
      <c r="E548" s="113"/>
      <c r="F548" s="113"/>
      <c r="G548" s="113"/>
      <c r="H548" s="113"/>
      <c r="I548" s="113"/>
      <c r="J548" s="113"/>
      <c r="K548" s="113" t="s">
        <v>714</v>
      </c>
      <c r="L548" s="113"/>
      <c r="M548" s="113"/>
      <c r="N548" s="113"/>
      <c r="O548" s="113"/>
      <c r="P548" s="113"/>
      <c r="Q548" s="9"/>
      <c r="R548" s="9"/>
      <c r="S548" s="9"/>
    </row>
    <row r="549" spans="1:19">
      <c r="A549" s="9"/>
      <c r="B549" s="113"/>
      <c r="C549" s="113" t="s">
        <v>3186</v>
      </c>
      <c r="D549" s="113"/>
      <c r="E549" s="113"/>
      <c r="F549" s="113"/>
      <c r="G549" s="113"/>
      <c r="H549" s="113"/>
      <c r="I549" s="113"/>
      <c r="J549" s="113"/>
      <c r="K549" s="113" t="s">
        <v>3784</v>
      </c>
      <c r="L549" s="113"/>
      <c r="M549" s="113"/>
      <c r="N549" s="113"/>
      <c r="O549" s="113"/>
      <c r="P549" s="113"/>
      <c r="Q549" s="9"/>
      <c r="R549" s="9"/>
      <c r="S549" s="9"/>
    </row>
    <row r="550" spans="1:19">
      <c r="A550" s="9"/>
      <c r="B550" s="113"/>
      <c r="C550" s="113" t="s">
        <v>3025</v>
      </c>
      <c r="D550" s="113"/>
      <c r="E550" s="113"/>
      <c r="F550" s="113"/>
      <c r="G550" s="113"/>
      <c r="H550" s="113"/>
      <c r="I550" s="113"/>
      <c r="J550" s="113"/>
      <c r="K550" s="113" t="s">
        <v>3034</v>
      </c>
      <c r="L550" s="113"/>
      <c r="M550" s="113"/>
      <c r="N550" s="113"/>
      <c r="O550" s="113"/>
      <c r="P550" s="113"/>
      <c r="Q550" s="9"/>
      <c r="R550" s="9"/>
      <c r="S550" s="9"/>
    </row>
    <row r="551" spans="1:19">
      <c r="A551" s="9"/>
      <c r="B551" s="113"/>
      <c r="C551" s="113" t="s">
        <v>906</v>
      </c>
      <c r="D551" s="113"/>
      <c r="E551" s="113"/>
      <c r="F551" s="113"/>
      <c r="G551" s="113"/>
      <c r="H551" s="113"/>
      <c r="I551" s="113"/>
      <c r="J551" s="113"/>
      <c r="K551" s="113" t="s">
        <v>3786</v>
      </c>
      <c r="L551" s="113"/>
      <c r="M551" s="113"/>
      <c r="N551" s="113"/>
      <c r="O551" s="113"/>
      <c r="P551" s="113"/>
      <c r="Q551" s="9"/>
      <c r="R551" s="9"/>
      <c r="S551" s="9"/>
    </row>
    <row r="552" spans="1:19">
      <c r="A552" s="9"/>
      <c r="B552" s="113"/>
      <c r="C552" s="113" t="s">
        <v>3303</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2863</v>
      </c>
      <c r="L553" s="113"/>
      <c r="M553" s="113"/>
      <c r="N553" s="113"/>
      <c r="O553" s="113"/>
      <c r="P553" s="113"/>
      <c r="Q553" s="9"/>
      <c r="R553" s="9"/>
      <c r="S553" s="9"/>
    </row>
    <row r="554" spans="1:19">
      <c r="A554" s="9"/>
      <c r="B554" s="113"/>
      <c r="C554" s="113"/>
      <c r="D554" s="113"/>
      <c r="E554" s="113"/>
      <c r="F554" s="113"/>
      <c r="G554" s="113"/>
      <c r="H554" s="113"/>
      <c r="I554" s="113"/>
      <c r="J554" s="113"/>
      <c r="K554" s="113" t="s">
        <v>3787</v>
      </c>
      <c r="L554" s="113"/>
      <c r="M554" s="113"/>
      <c r="N554" s="113"/>
      <c r="O554" s="113"/>
      <c r="P554" s="113"/>
      <c r="Q554" s="9"/>
      <c r="R554" s="9"/>
      <c r="S554" s="9"/>
    </row>
    <row r="555" spans="1:19">
      <c r="A555" s="9"/>
      <c r="B555" s="113"/>
      <c r="C555" s="113"/>
      <c r="D555" s="113"/>
      <c r="E555" s="113"/>
      <c r="F555" s="113"/>
      <c r="G555" s="113"/>
      <c r="H555" s="113"/>
      <c r="I555" s="113"/>
      <c r="J555" s="113"/>
      <c r="K555" s="113" t="s">
        <v>1807</v>
      </c>
      <c r="L555" s="113"/>
      <c r="M555" s="113"/>
      <c r="N555" s="113"/>
      <c r="O555" s="113"/>
      <c r="P555" s="113"/>
      <c r="Q555" s="9"/>
      <c r="R555" s="9"/>
      <c r="S555" s="9"/>
    </row>
    <row r="556" spans="1:19">
      <c r="A556" s="9"/>
      <c r="B556" s="113"/>
      <c r="C556" s="113"/>
      <c r="D556" s="113"/>
      <c r="E556" s="113"/>
      <c r="F556" s="113"/>
      <c r="G556" s="113"/>
      <c r="H556" s="113"/>
      <c r="I556" s="113"/>
      <c r="J556" s="113"/>
      <c r="K556" s="113" t="s">
        <v>2936</v>
      </c>
      <c r="L556" s="113"/>
      <c r="M556" s="113"/>
      <c r="N556" s="113"/>
      <c r="O556" s="113"/>
      <c r="P556" s="113"/>
      <c r="Q556" s="9"/>
      <c r="R556" s="9"/>
      <c r="S556" s="9"/>
    </row>
    <row r="557" spans="1:19">
      <c r="A557" s="9"/>
      <c r="B557" s="113"/>
      <c r="C557" s="113"/>
      <c r="D557" s="113"/>
      <c r="E557" s="113"/>
      <c r="F557" s="113"/>
      <c r="G557" s="113"/>
      <c r="H557" s="113"/>
      <c r="I557" s="113"/>
      <c r="J557" s="113"/>
      <c r="K557" s="113" t="s">
        <v>905</v>
      </c>
      <c r="L557" s="113"/>
      <c r="M557" s="113"/>
      <c r="N557" s="113"/>
      <c r="O557" s="113"/>
      <c r="P557" s="113"/>
      <c r="Q557" s="9"/>
      <c r="R557" s="9"/>
      <c r="S557" s="9"/>
    </row>
    <row r="558" spans="1:19">
      <c r="A558" s="9"/>
      <c r="B558" s="113"/>
      <c r="C558" s="113"/>
      <c r="D558" s="113"/>
      <c r="E558" s="113"/>
      <c r="F558" s="113"/>
      <c r="G558" s="113"/>
      <c r="H558" s="113"/>
      <c r="I558" s="113"/>
      <c r="J558" s="113"/>
      <c r="K558" s="113" t="s">
        <v>2937</v>
      </c>
      <c r="L558" s="113"/>
      <c r="M558" s="113"/>
      <c r="N558" s="113"/>
      <c r="O558" s="113"/>
      <c r="P558" s="113"/>
      <c r="Q558" s="9"/>
      <c r="R558" s="9"/>
      <c r="S558" s="9"/>
    </row>
    <row r="559" spans="1:19">
      <c r="A559" s="9"/>
      <c r="B559" s="113"/>
      <c r="C559" s="113"/>
      <c r="D559" s="113"/>
      <c r="E559" s="113"/>
      <c r="F559" s="113"/>
      <c r="G559" s="113"/>
      <c r="H559" s="113"/>
      <c r="I559" s="113"/>
      <c r="J559" s="113"/>
      <c r="K559" s="113" t="s">
        <v>907</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3126</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18:Q418"/>
    <mergeCell ref="H411:O411"/>
    <mergeCell ref="C400:N400"/>
    <mergeCell ref="C390:N390"/>
    <mergeCell ref="P395:Q395"/>
    <mergeCell ref="P367:Q367"/>
    <mergeCell ref="A416:Q416"/>
    <mergeCell ref="A413:Q413"/>
    <mergeCell ref="P389:Q389"/>
    <mergeCell ref="B395:G395"/>
    <mergeCell ref="K393:Q39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J47:L47"/>
    <mergeCell ref="C53:M53"/>
    <mergeCell ref="A60:Q60"/>
    <mergeCell ref="P65:Q65"/>
    <mergeCell ref="A63:Q63"/>
    <mergeCell ref="A59:Q59"/>
    <mergeCell ref="K49:Q49"/>
    <mergeCell ref="L57:P57"/>
    <mergeCell ref="P51:Q51"/>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42" bottom="0.4" header="0.18"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zoomScale="90" zoomScaleNormal="90" workbookViewId="0">
      <selection activeCell="A27" sqref="A27:E27"/>
    </sheetView>
  </sheetViews>
  <sheetFormatPr defaultColWidth="9.140625" defaultRowHeight="12.75"/>
  <cols>
    <col min="1" max="1" width="3.140625" style="31" customWidth="1"/>
    <col min="2" max="2" width="3" style="31" customWidth="1"/>
    <col min="3" max="3" width="10.7109375" style="31" customWidth="1"/>
    <col min="4" max="4" width="10.140625" style="31" customWidth="1"/>
    <col min="5" max="5" width="6.28515625" style="31" customWidth="1"/>
    <col min="6" max="6" width="9.140625" style="31" customWidth="1"/>
    <col min="7" max="9" width="11.710937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7109375" style="738" customWidth="1"/>
    <col min="17" max="20" width="9.140625" style="31" customWidth="1"/>
    <col min="21" max="21" width="8.28515625" style="31" customWidth="1"/>
    <col min="22" max="23" width="9.140625" style="31" customWidth="1"/>
    <col min="24" max="24" width="8.85546875" style="31" customWidth="1"/>
    <col min="25" max="16384" width="9.140625" style="31"/>
  </cols>
  <sheetData>
    <row r="1" spans="1:19" s="45" customFormat="1" ht="13.9" customHeight="1">
      <c r="A1" s="887" t="str">
        <f>CONCATENATE("PART NINE - SCORING CRITERIA","  -  ",'Part I-Project Information'!$O$4," ",'Part I-Project Information'!$F$22,", ",'Part I-Project Information'!F24,", ",'Part I-Project Information'!J25," County")</f>
        <v>PART NINE - SCORING CRITERIA  -  2011-044 Brentwood Place Apartments, Forsyth, Monroe County</v>
      </c>
      <c r="B1" s="888"/>
      <c r="C1" s="888"/>
      <c r="D1" s="888"/>
      <c r="E1" s="888"/>
      <c r="F1" s="888"/>
      <c r="G1" s="888"/>
      <c r="H1" s="888"/>
      <c r="I1" s="888"/>
      <c r="J1" s="888"/>
      <c r="K1" s="888"/>
      <c r="L1" s="888"/>
      <c r="M1" s="888"/>
      <c r="N1" s="888"/>
      <c r="O1" s="888"/>
      <c r="P1" s="889"/>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3337</v>
      </c>
      <c r="N3" s="93"/>
      <c r="O3" s="114" t="s">
        <v>3336</v>
      </c>
      <c r="P3" s="247" t="s">
        <v>334</v>
      </c>
    </row>
    <row r="4" spans="1:19" s="54" customFormat="1" ht="12.6" customHeight="1">
      <c r="A4" s="52"/>
      <c r="B4" s="52"/>
      <c r="C4" s="52"/>
      <c r="D4" s="52"/>
      <c r="E4" s="52"/>
      <c r="F4" s="52"/>
      <c r="G4" s="52"/>
      <c r="H4" s="52"/>
      <c r="I4" s="52"/>
      <c r="J4" s="52"/>
      <c r="K4" s="52"/>
      <c r="M4" s="249" t="s">
        <v>104</v>
      </c>
      <c r="N4" s="116"/>
      <c r="O4" s="248" t="s">
        <v>3337</v>
      </c>
      <c r="P4" s="115" t="s">
        <v>3337</v>
      </c>
    </row>
    <row r="5" spans="1:19" s="54" customFormat="1" ht="3.4"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1888</v>
      </c>
      <c r="M6" s="390">
        <v>90</v>
      </c>
      <c r="N6" s="10"/>
      <c r="O6" s="81">
        <f>O294</f>
        <v>62</v>
      </c>
      <c r="P6" s="81">
        <f>P294</f>
        <v>13</v>
      </c>
    </row>
    <row r="7" spans="1:19" s="54" customFormat="1" ht="3.4" customHeight="1">
      <c r="A7" s="52"/>
      <c r="B7" s="60"/>
      <c r="C7" s="52"/>
      <c r="D7" s="52"/>
      <c r="E7" s="52"/>
      <c r="F7" s="52"/>
      <c r="G7" s="52"/>
      <c r="H7" s="52"/>
      <c r="I7" s="52"/>
      <c r="J7" s="52"/>
      <c r="K7" s="52"/>
      <c r="M7" s="124"/>
      <c r="N7" s="11"/>
      <c r="O7" s="1"/>
      <c r="P7" s="36"/>
    </row>
    <row r="8" spans="1:19" s="52" customFormat="1" ht="12.6" customHeight="1">
      <c r="A8" s="210" t="s">
        <v>3064</v>
      </c>
      <c r="B8" s="143" t="s">
        <v>1672</v>
      </c>
      <c r="C8" s="5"/>
      <c r="D8" s="5"/>
      <c r="E8" s="5"/>
      <c r="F8" s="11"/>
      <c r="H8" s="59" t="s">
        <v>2524</v>
      </c>
      <c r="M8" s="3">
        <v>10</v>
      </c>
      <c r="N8" s="144"/>
      <c r="O8" s="81">
        <f>MIN($M8, $M8-O10-O11-O12)</f>
        <v>10</v>
      </c>
      <c r="P8" s="81">
        <f>MIN($M8, $M8-P10-P11-P12)</f>
        <v>10</v>
      </c>
      <c r="Q8" s="146" t="s">
        <v>652</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3060</v>
      </c>
      <c r="B10" s="238" t="s">
        <v>2924</v>
      </c>
      <c r="D10" s="58"/>
      <c r="E10" s="58"/>
      <c r="F10" s="713" t="s">
        <v>3894</v>
      </c>
      <c r="G10" s="40">
        <f>F17</f>
        <v>0</v>
      </c>
      <c r="H10" s="246" t="s">
        <v>321</v>
      </c>
      <c r="M10" s="7">
        <v>7</v>
      </c>
      <c r="N10" s="82" t="s">
        <v>3060</v>
      </c>
      <c r="O10" s="1151"/>
      <c r="P10" s="69"/>
    </row>
    <row r="11" spans="1:19" s="52" customFormat="1" ht="11.25" customHeight="1">
      <c r="A11" s="257" t="s">
        <v>3063</v>
      </c>
      <c r="B11" s="238" t="s">
        <v>1216</v>
      </c>
      <c r="D11" s="58"/>
      <c r="E11" s="58"/>
      <c r="F11" s="713" t="s">
        <v>3894</v>
      </c>
      <c r="G11" s="40">
        <f>K17</f>
        <v>0</v>
      </c>
      <c r="H11" s="246" t="s">
        <v>322</v>
      </c>
      <c r="J11" s="59"/>
      <c r="M11" s="7">
        <v>0</v>
      </c>
      <c r="N11" s="82" t="s">
        <v>3063</v>
      </c>
      <c r="O11" s="1151"/>
      <c r="P11" s="69"/>
      <c r="Q11" s="146"/>
    </row>
    <row r="12" spans="1:19" s="53" customFormat="1" ht="11.25" customHeight="1">
      <c r="A12" s="257" t="s">
        <v>1239</v>
      </c>
      <c r="B12" s="238" t="s">
        <v>3210</v>
      </c>
      <c r="D12" s="58"/>
      <c r="E12" s="58"/>
      <c r="F12" s="713" t="s">
        <v>3894</v>
      </c>
      <c r="G12" s="40">
        <f>P17</f>
        <v>0</v>
      </c>
      <c r="H12" s="246" t="s">
        <v>323</v>
      </c>
      <c r="J12" s="59"/>
      <c r="M12" s="7">
        <v>1</v>
      </c>
      <c r="N12" s="82" t="s">
        <v>1239</v>
      </c>
      <c r="O12" s="1151"/>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52" t="s">
        <v>4008</v>
      </c>
      <c r="B14" s="1153"/>
      <c r="C14" s="1153"/>
      <c r="D14" s="1153"/>
      <c r="E14" s="1153"/>
      <c r="F14" s="1153"/>
      <c r="G14" s="1153"/>
      <c r="H14" s="1153"/>
      <c r="I14" s="1153"/>
      <c r="J14" s="1153"/>
      <c r="K14" s="1153"/>
      <c r="L14" s="1153"/>
      <c r="M14" s="1153"/>
      <c r="N14" s="1153"/>
      <c r="O14" s="1153"/>
      <c r="P14" s="1154"/>
      <c r="Q14" s="1029" t="s">
        <v>1933</v>
      </c>
      <c r="R14" s="1029"/>
    </row>
    <row r="15" spans="1:19" s="52" customFormat="1" ht="5.25" customHeight="1">
      <c r="A15" s="1155"/>
      <c r="B15" s="1156"/>
      <c r="C15" s="1156"/>
      <c r="D15" s="1156"/>
      <c r="E15" s="1156"/>
      <c r="F15" s="1156"/>
      <c r="G15" s="1156"/>
      <c r="H15" s="1156"/>
      <c r="I15" s="1156"/>
      <c r="J15" s="1156"/>
      <c r="K15" s="1156"/>
      <c r="L15" s="1156"/>
      <c r="M15" s="1156"/>
      <c r="N15" s="1156"/>
      <c r="O15" s="1156"/>
      <c r="P15" s="1157"/>
      <c r="Q15" s="1029"/>
      <c r="R15" s="1029"/>
      <c r="S15" s="217"/>
    </row>
    <row r="16" spans="1:19" s="52" customFormat="1" ht="10.9" customHeight="1">
      <c r="A16" s="260" t="s">
        <v>2922</v>
      </c>
      <c r="C16" s="129"/>
      <c r="D16" s="129"/>
      <c r="F16" s="179" t="s">
        <v>2740</v>
      </c>
      <c r="K16" s="179" t="s">
        <v>2740</v>
      </c>
      <c r="P16" s="62" t="s">
        <v>2740</v>
      </c>
      <c r="R16" s="217"/>
      <c r="S16" s="217"/>
    </row>
    <row r="17" spans="1:19" s="52" customFormat="1" ht="12.4" customHeight="1">
      <c r="A17" s="1066" t="s">
        <v>3639</v>
      </c>
      <c r="B17" s="1066"/>
      <c r="C17" s="1066"/>
      <c r="D17" s="1066"/>
      <c r="E17" s="83" t="s">
        <v>786</v>
      </c>
      <c r="F17" s="96">
        <f>SUM(F18:F29)</f>
        <v>0</v>
      </c>
      <c r="G17" s="1067" t="s">
        <v>3640</v>
      </c>
      <c r="H17" s="1066"/>
      <c r="I17" s="1066"/>
      <c r="J17" s="83" t="s">
        <v>786</v>
      </c>
      <c r="K17" s="96">
        <f>SUM(K18:K29)</f>
        <v>0</v>
      </c>
      <c r="L17" s="747" t="s">
        <v>2248</v>
      </c>
      <c r="M17" s="129"/>
      <c r="N17" s="127"/>
      <c r="O17" s="83"/>
      <c r="P17" s="96">
        <f>SUM(P18:P29)</f>
        <v>0</v>
      </c>
      <c r="R17" s="217"/>
      <c r="S17" s="217"/>
    </row>
    <row r="18" spans="1:19" s="52" customFormat="1" ht="24.6" customHeight="1">
      <c r="A18" s="1048">
        <v>1</v>
      </c>
      <c r="B18" s="1064"/>
      <c r="C18" s="1064"/>
      <c r="D18" s="1064"/>
      <c r="E18" s="1065"/>
      <c r="F18" s="308"/>
      <c r="G18" s="1068">
        <v>1</v>
      </c>
      <c r="H18" s="1069"/>
      <c r="I18" s="1069"/>
      <c r="J18" s="1069"/>
      <c r="K18" s="308"/>
      <c r="L18" s="1068">
        <v>1</v>
      </c>
      <c r="M18" s="1069"/>
      <c r="N18" s="1069"/>
      <c r="O18" s="1069"/>
      <c r="P18" s="308"/>
      <c r="Q18" s="1029" t="s">
        <v>1933</v>
      </c>
      <c r="R18" s="1029"/>
      <c r="S18" s="217"/>
    </row>
    <row r="19" spans="1:19" s="52" customFormat="1" ht="24.6" customHeight="1">
      <c r="A19" s="1059">
        <v>2</v>
      </c>
      <c r="B19" s="1060"/>
      <c r="C19" s="1060"/>
      <c r="D19" s="1060"/>
      <c r="E19" s="1061"/>
      <c r="F19" s="309"/>
      <c r="G19" s="1062">
        <v>2</v>
      </c>
      <c r="H19" s="1063"/>
      <c r="I19" s="1063"/>
      <c r="J19" s="1063"/>
      <c r="K19" s="309"/>
      <c r="L19" s="1062">
        <v>2</v>
      </c>
      <c r="M19" s="1063"/>
      <c r="N19" s="1063"/>
      <c r="O19" s="1063"/>
      <c r="P19" s="309"/>
      <c r="Q19" s="1029"/>
      <c r="R19" s="1029"/>
      <c r="S19" s="217"/>
    </row>
    <row r="20" spans="1:19" s="52" customFormat="1" ht="24.6" customHeight="1">
      <c r="A20" s="1059">
        <v>3</v>
      </c>
      <c r="B20" s="1060"/>
      <c r="C20" s="1060"/>
      <c r="D20" s="1060"/>
      <c r="E20" s="1061"/>
      <c r="F20" s="309"/>
      <c r="G20" s="1062">
        <v>3</v>
      </c>
      <c r="H20" s="1063"/>
      <c r="I20" s="1063"/>
      <c r="J20" s="1063"/>
      <c r="K20" s="309"/>
      <c r="L20" s="1062">
        <v>3</v>
      </c>
      <c r="M20" s="1063"/>
      <c r="N20" s="1063"/>
      <c r="O20" s="1063"/>
      <c r="P20" s="309"/>
      <c r="Q20" s="1029"/>
      <c r="R20" s="1029"/>
      <c r="S20" s="217"/>
    </row>
    <row r="21" spans="1:19" s="52" customFormat="1" ht="24.6" customHeight="1">
      <c r="A21" s="1059">
        <v>4</v>
      </c>
      <c r="B21" s="1060"/>
      <c r="C21" s="1060"/>
      <c r="D21" s="1060"/>
      <c r="E21" s="1061"/>
      <c r="F21" s="309"/>
      <c r="G21" s="1062">
        <v>4</v>
      </c>
      <c r="H21" s="1063"/>
      <c r="I21" s="1063"/>
      <c r="J21" s="1063"/>
      <c r="K21" s="309"/>
      <c r="L21" s="1062">
        <v>4</v>
      </c>
      <c r="M21" s="1063"/>
      <c r="N21" s="1063"/>
      <c r="O21" s="1063"/>
      <c r="P21" s="309"/>
      <c r="Q21" s="1029"/>
      <c r="R21" s="1029"/>
      <c r="S21" s="217"/>
    </row>
    <row r="22" spans="1:19" s="52" customFormat="1" ht="24.6" customHeight="1">
      <c r="A22" s="1059">
        <v>5</v>
      </c>
      <c r="B22" s="1060"/>
      <c r="C22" s="1060"/>
      <c r="D22" s="1060"/>
      <c r="E22" s="1061"/>
      <c r="F22" s="309"/>
      <c r="G22" s="1062">
        <v>5</v>
      </c>
      <c r="H22" s="1063"/>
      <c r="I22" s="1063"/>
      <c r="J22" s="1063"/>
      <c r="K22" s="309"/>
      <c r="L22" s="1062">
        <v>5</v>
      </c>
      <c r="M22" s="1063"/>
      <c r="N22" s="1063"/>
      <c r="O22" s="1063"/>
      <c r="P22" s="309"/>
      <c r="R22" s="217"/>
      <c r="S22" s="217"/>
    </row>
    <row r="23" spans="1:19" s="52" customFormat="1" ht="24.6" customHeight="1">
      <c r="A23" s="1059">
        <v>6</v>
      </c>
      <c r="B23" s="1060"/>
      <c r="C23" s="1060"/>
      <c r="D23" s="1060"/>
      <c r="E23" s="1061"/>
      <c r="F23" s="309"/>
      <c r="G23" s="1062">
        <v>6</v>
      </c>
      <c r="H23" s="1063"/>
      <c r="I23" s="1063"/>
      <c r="J23" s="1063"/>
      <c r="K23" s="309"/>
      <c r="L23" s="1062">
        <v>6</v>
      </c>
      <c r="M23" s="1063"/>
      <c r="N23" s="1063"/>
      <c r="O23" s="1063"/>
      <c r="P23" s="309"/>
      <c r="R23" s="217"/>
      <c r="S23" s="217"/>
    </row>
    <row r="24" spans="1:19" s="52" customFormat="1" ht="24.6" customHeight="1">
      <c r="A24" s="1059">
        <v>7</v>
      </c>
      <c r="B24" s="1060"/>
      <c r="C24" s="1060"/>
      <c r="D24" s="1060"/>
      <c r="E24" s="1061"/>
      <c r="F24" s="309"/>
      <c r="G24" s="1062">
        <v>7</v>
      </c>
      <c r="H24" s="1063"/>
      <c r="I24" s="1063"/>
      <c r="J24" s="1063"/>
      <c r="K24" s="309"/>
      <c r="L24" s="1062">
        <v>7</v>
      </c>
      <c r="M24" s="1063"/>
      <c r="N24" s="1063"/>
      <c r="O24" s="1063"/>
      <c r="P24" s="309"/>
      <c r="R24" s="217"/>
      <c r="S24" s="217"/>
    </row>
    <row r="25" spans="1:19" s="52" customFormat="1" ht="24.6" customHeight="1">
      <c r="A25" s="1059">
        <v>8</v>
      </c>
      <c r="B25" s="1060"/>
      <c r="C25" s="1060"/>
      <c r="D25" s="1060"/>
      <c r="E25" s="1061"/>
      <c r="F25" s="309"/>
      <c r="G25" s="1062">
        <v>8</v>
      </c>
      <c r="H25" s="1063"/>
      <c r="I25" s="1063"/>
      <c r="J25" s="1063"/>
      <c r="K25" s="309"/>
      <c r="L25" s="1062">
        <v>8</v>
      </c>
      <c r="M25" s="1063"/>
      <c r="N25" s="1063"/>
      <c r="O25" s="1063"/>
      <c r="P25" s="309"/>
      <c r="R25" s="217"/>
      <c r="S25" s="217"/>
    </row>
    <row r="26" spans="1:19" s="52" customFormat="1" ht="24.6" customHeight="1">
      <c r="A26" s="1059">
        <v>9</v>
      </c>
      <c r="B26" s="1060"/>
      <c r="C26" s="1060"/>
      <c r="D26" s="1060"/>
      <c r="E26" s="1061"/>
      <c r="F26" s="309"/>
      <c r="G26" s="1062">
        <v>9</v>
      </c>
      <c r="H26" s="1063"/>
      <c r="I26" s="1063"/>
      <c r="J26" s="1063"/>
      <c r="K26" s="309"/>
      <c r="L26" s="1062">
        <v>9</v>
      </c>
      <c r="M26" s="1063"/>
      <c r="N26" s="1063"/>
      <c r="O26" s="1063"/>
      <c r="P26" s="309"/>
      <c r="R26" s="217"/>
      <c r="S26" s="217"/>
    </row>
    <row r="27" spans="1:19" s="52" customFormat="1" ht="24.6" customHeight="1">
      <c r="A27" s="1059">
        <v>10</v>
      </c>
      <c r="B27" s="1060"/>
      <c r="C27" s="1060"/>
      <c r="D27" s="1060"/>
      <c r="E27" s="1061"/>
      <c r="F27" s="309"/>
      <c r="G27" s="1062">
        <v>10</v>
      </c>
      <c r="H27" s="1063"/>
      <c r="I27" s="1063"/>
      <c r="J27" s="1063"/>
      <c r="K27" s="309"/>
      <c r="L27" s="1062">
        <v>10</v>
      </c>
      <c r="M27" s="1063"/>
      <c r="N27" s="1063"/>
      <c r="O27" s="1063"/>
      <c r="P27" s="309"/>
      <c r="R27" s="217"/>
      <c r="S27" s="217"/>
    </row>
    <row r="28" spans="1:19" s="52" customFormat="1" ht="24.6" customHeight="1">
      <c r="A28" s="1059">
        <v>11</v>
      </c>
      <c r="B28" s="1060"/>
      <c r="C28" s="1060"/>
      <c r="D28" s="1060"/>
      <c r="E28" s="1061"/>
      <c r="F28" s="309"/>
      <c r="G28" s="1062">
        <v>11</v>
      </c>
      <c r="H28" s="1063"/>
      <c r="I28" s="1063"/>
      <c r="J28" s="1063"/>
      <c r="K28" s="309"/>
      <c r="L28" s="1062">
        <v>11</v>
      </c>
      <c r="M28" s="1063"/>
      <c r="N28" s="1063"/>
      <c r="O28" s="1063"/>
      <c r="P28" s="309"/>
      <c r="R28" s="217"/>
      <c r="S28" s="217"/>
    </row>
    <row r="29" spans="1:19" s="52" customFormat="1" ht="24.6" customHeight="1">
      <c r="A29" s="1045">
        <v>12</v>
      </c>
      <c r="B29" s="1071"/>
      <c r="C29" s="1071"/>
      <c r="D29" s="1071"/>
      <c r="E29" s="1072"/>
      <c r="F29" s="310"/>
      <c r="G29" s="1076">
        <v>12</v>
      </c>
      <c r="H29" s="1077"/>
      <c r="I29" s="1077"/>
      <c r="J29" s="1077"/>
      <c r="K29" s="310"/>
      <c r="L29" s="1076">
        <v>12</v>
      </c>
      <c r="M29" s="1077"/>
      <c r="N29" s="1077"/>
      <c r="O29" s="1077"/>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3066</v>
      </c>
      <c r="B31" s="151" t="s">
        <v>1632</v>
      </c>
      <c r="E31" s="72"/>
      <c r="G31" s="119"/>
      <c r="H31" s="65"/>
      <c r="K31" s="149"/>
      <c r="L31" s="573" t="str">
        <f>IF($O31&gt;$M31,"* * Check Score! * *","")</f>
        <v/>
      </c>
      <c r="M31" s="1">
        <v>3</v>
      </c>
      <c r="N31" s="8"/>
      <c r="O31" s="1151">
        <v>3</v>
      </c>
      <c r="P31" s="69"/>
      <c r="Q31" s="146" t="s">
        <v>652</v>
      </c>
      <c r="R31" s="573" t="str">
        <f>IF(OR($O31=$M31,$O31=0,$O31=""),"","* * Check Score! * *")</f>
        <v/>
      </c>
    </row>
    <row r="32" spans="1:19" s="53" customFormat="1" ht="11.25" customHeight="1">
      <c r="A32" s="52"/>
      <c r="B32" s="154" t="s">
        <v>1939</v>
      </c>
      <c r="E32" s="72"/>
      <c r="H32" s="588" t="s">
        <v>130</v>
      </c>
      <c r="J32" s="1158">
        <v>16</v>
      </c>
      <c r="L32" s="82" t="s">
        <v>1940</v>
      </c>
      <c r="M32" s="148">
        <f>IF(OR('Part VI-Revenues &amp; Expenses'!$M$61="", 'Part VI-Revenues &amp; Expenses'!$M$61=0),"",J32/'Part VI-Revenues &amp; Expenses'!$M$61)</f>
        <v>0.20253164556962025</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159" t="s">
        <v>4009</v>
      </c>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2922</v>
      </c>
      <c r="C35" s="52"/>
      <c r="D35" s="117"/>
      <c r="E35" s="742"/>
      <c r="F35" s="742"/>
      <c r="G35" s="742"/>
      <c r="H35" s="742"/>
      <c r="I35" s="742"/>
      <c r="J35" s="742"/>
      <c r="K35" s="742"/>
      <c r="L35" s="742"/>
      <c r="M35" s="742"/>
      <c r="N35" s="94"/>
      <c r="O35" s="90"/>
      <c r="P35" s="3"/>
    </row>
    <row r="36" spans="1:18" s="53" customFormat="1" ht="12.6" customHeight="1">
      <c r="A36" s="998"/>
      <c r="B36" s="999"/>
      <c r="C36" s="999"/>
      <c r="D36" s="999"/>
      <c r="E36" s="999"/>
      <c r="F36" s="999"/>
      <c r="G36" s="999"/>
      <c r="H36" s="999"/>
      <c r="I36" s="999"/>
      <c r="J36" s="999"/>
      <c r="K36" s="999"/>
      <c r="L36" s="999"/>
      <c r="M36" s="999"/>
      <c r="N36" s="999"/>
      <c r="O36" s="999"/>
      <c r="P36" s="1000"/>
    </row>
    <row r="37" spans="1:18" ht="13.15" customHeight="1"/>
    <row r="38" spans="1:18" s="53" customFormat="1" ht="12.6" customHeight="1">
      <c r="A38" s="210" t="s">
        <v>3822</v>
      </c>
      <c r="B38" s="142" t="s">
        <v>2930</v>
      </c>
      <c r="D38" s="51"/>
      <c r="H38" s="246" t="s">
        <v>927</v>
      </c>
      <c r="I38" s="49"/>
      <c r="J38" s="58"/>
      <c r="K38" s="46"/>
      <c r="M38" s="3">
        <v>12</v>
      </c>
      <c r="N38" s="62"/>
      <c r="O38" s="205">
        <f>IF(AND(O41&gt;=$M41,O43=0),O40+O42,O40)</f>
        <v>12</v>
      </c>
      <c r="P38" s="205">
        <f>IF(AND(P41&gt;=$M41,P43=0),P40+P42,P40)</f>
        <v>0</v>
      </c>
      <c r="Q38" s="146" t="s">
        <v>652</v>
      </c>
    </row>
    <row r="39" spans="1:18" s="53" customFormat="1" ht="3.4" customHeight="1">
      <c r="A39" s="52"/>
      <c r="D39" s="49"/>
      <c r="E39" s="46"/>
      <c r="F39" s="1"/>
      <c r="G39" s="1"/>
      <c r="H39" s="1"/>
      <c r="I39" s="1"/>
      <c r="J39" s="40"/>
      <c r="K39" s="40"/>
      <c r="L39" s="40"/>
      <c r="M39" s="75"/>
      <c r="N39" s="1"/>
      <c r="O39" s="33"/>
      <c r="P39" s="4"/>
    </row>
    <row r="40" spans="1:18" s="53" customFormat="1" ht="12.4"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926</v>
      </c>
      <c r="R40" s="573"/>
    </row>
    <row r="41" spans="1:18" s="53" customFormat="1" ht="12.4" customHeight="1">
      <c r="A41" s="189" t="s">
        <v>3060</v>
      </c>
      <c r="B41" s="238" t="s">
        <v>2932</v>
      </c>
      <c r="C41" s="5"/>
      <c r="D41" s="5"/>
      <c r="E41" s="246" t="s">
        <v>2935</v>
      </c>
      <c r="F41" s="461"/>
      <c r="G41" s="246" t="s">
        <v>2931</v>
      </c>
      <c r="I41" s="49"/>
      <c r="K41" s="58"/>
      <c r="L41" s="1158"/>
      <c r="M41" s="3">
        <v>10</v>
      </c>
      <c r="N41" s="252" t="s">
        <v>3060</v>
      </c>
      <c r="O41" s="1162">
        <v>10</v>
      </c>
      <c r="P41" s="89"/>
      <c r="R41" s="573"/>
    </row>
    <row r="42" spans="1:18" s="53" customFormat="1" ht="12.6" customHeight="1">
      <c r="A42" s="189" t="s">
        <v>3063</v>
      </c>
      <c r="B42" s="238" t="s">
        <v>2933</v>
      </c>
      <c r="E42" s="594" t="s">
        <v>3557</v>
      </c>
      <c r="F42" s="599"/>
      <c r="G42" s="599"/>
      <c r="K42" s="58"/>
      <c r="L42" s="573" t="str">
        <f>IF(OR($O42=$M42,$O42=0,$O42=""),"","* * Check Score! * *")</f>
        <v/>
      </c>
      <c r="M42" s="3">
        <v>2</v>
      </c>
      <c r="N42" s="62" t="s">
        <v>3063</v>
      </c>
      <c r="O42" s="1162">
        <v>2</v>
      </c>
      <c r="P42" s="89"/>
      <c r="R42" s="573"/>
    </row>
    <row r="43" spans="1:18" s="53" customFormat="1" ht="12.6" customHeight="1">
      <c r="A43" s="189" t="s">
        <v>1239</v>
      </c>
      <c r="B43" s="238" t="s">
        <v>2934</v>
      </c>
      <c r="D43" s="51"/>
      <c r="E43" s="246" t="s">
        <v>625</v>
      </c>
      <c r="F43" s="599"/>
      <c r="G43" s="246" t="s">
        <v>626</v>
      </c>
      <c r="L43" s="1158">
        <v>1</v>
      </c>
      <c r="M43" s="7" t="s">
        <v>1901</v>
      </c>
      <c r="N43" s="252" t="s">
        <v>1239</v>
      </c>
      <c r="O43" s="1151">
        <v>0</v>
      </c>
      <c r="P43" s="89"/>
      <c r="Q43" s="146"/>
      <c r="R43" s="573"/>
    </row>
    <row r="44" spans="1:18" s="53" customFormat="1" ht="12.4"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72.75" customHeight="1">
      <c r="A46" s="1152" t="s">
        <v>4041</v>
      </c>
      <c r="B46" s="1153"/>
      <c r="C46" s="1153"/>
      <c r="D46" s="1153"/>
      <c r="E46" s="1153"/>
      <c r="F46" s="1153"/>
      <c r="G46" s="1153"/>
      <c r="H46" s="1153"/>
      <c r="I46" s="1153"/>
      <c r="J46" s="1153"/>
      <c r="K46" s="1153"/>
      <c r="L46" s="1153"/>
      <c r="M46" s="1153"/>
      <c r="N46" s="1153"/>
      <c r="O46" s="1153"/>
      <c r="P46" s="1154"/>
      <c r="Q46" s="1029" t="s">
        <v>1933</v>
      </c>
      <c r="R46" s="1029"/>
    </row>
    <row r="47" spans="1:18" s="53" customFormat="1" ht="6.75" customHeight="1">
      <c r="A47" s="1163"/>
      <c r="B47" s="1164"/>
      <c r="C47" s="1164"/>
      <c r="D47" s="1164"/>
      <c r="E47" s="1164"/>
      <c r="F47" s="1164"/>
      <c r="G47" s="1164"/>
      <c r="H47" s="1164"/>
      <c r="I47" s="1164"/>
      <c r="J47" s="1164"/>
      <c r="K47" s="1164"/>
      <c r="L47" s="1164"/>
      <c r="M47" s="1164"/>
      <c r="N47" s="1164"/>
      <c r="O47" s="1164"/>
      <c r="P47" s="1165"/>
      <c r="Q47" s="1029"/>
      <c r="R47" s="1029"/>
    </row>
    <row r="48" spans="1:18" s="53" customFormat="1" ht="3.7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2922</v>
      </c>
      <c r="C49" s="52"/>
      <c r="D49" s="187"/>
      <c r="E49" s="742"/>
      <c r="F49" s="742"/>
      <c r="G49" s="742"/>
      <c r="H49" s="742"/>
      <c r="I49" s="742"/>
      <c r="J49" s="742"/>
      <c r="K49" s="742"/>
      <c r="L49" s="742"/>
      <c r="M49" s="742"/>
      <c r="N49" s="94"/>
      <c r="O49" s="90"/>
      <c r="P49" s="3"/>
    </row>
    <row r="50" spans="1:18" s="53" customFormat="1" ht="23.45" customHeight="1">
      <c r="A50" s="991"/>
      <c r="B50" s="992"/>
      <c r="C50" s="992"/>
      <c r="D50" s="992"/>
      <c r="E50" s="992"/>
      <c r="F50" s="992"/>
      <c r="G50" s="992"/>
      <c r="H50" s="992"/>
      <c r="I50" s="992"/>
      <c r="J50" s="992"/>
      <c r="K50" s="992"/>
      <c r="L50" s="992"/>
      <c r="M50" s="992"/>
      <c r="N50" s="992"/>
      <c r="O50" s="992"/>
      <c r="P50" s="993"/>
      <c r="Q50" s="1029" t="s">
        <v>1933</v>
      </c>
      <c r="R50" s="1029"/>
    </row>
    <row r="51" spans="1:18" s="53" customFormat="1" ht="23.45" customHeight="1">
      <c r="A51" s="1011"/>
      <c r="B51" s="1012"/>
      <c r="C51" s="1012"/>
      <c r="D51" s="1012"/>
      <c r="E51" s="1012"/>
      <c r="F51" s="1012"/>
      <c r="G51" s="1012"/>
      <c r="H51" s="1012"/>
      <c r="I51" s="1012"/>
      <c r="J51" s="1012"/>
      <c r="K51" s="1012"/>
      <c r="L51" s="1012"/>
      <c r="M51" s="1012"/>
      <c r="N51" s="1012"/>
      <c r="O51" s="1012"/>
      <c r="P51" s="1013"/>
      <c r="Q51" s="1029"/>
      <c r="R51" s="1029"/>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4" customHeight="1"/>
    <row r="55" spans="1:18" s="53" customFormat="1" ht="12.6" customHeight="1">
      <c r="A55" s="210" t="s">
        <v>1886</v>
      </c>
      <c r="B55" s="142" t="s">
        <v>1941</v>
      </c>
      <c r="D55" s="51"/>
      <c r="H55" s="59" t="s">
        <v>2941</v>
      </c>
      <c r="I55" s="49"/>
      <c r="J55" s="58"/>
      <c r="K55" s="58"/>
      <c r="M55" s="3">
        <v>2</v>
      </c>
      <c r="N55" s="62"/>
      <c r="O55" s="205">
        <f>MIN($M55,(O56+O57))</f>
        <v>0</v>
      </c>
      <c r="P55" s="205">
        <f>MIN($M55,(P56+P57))</f>
        <v>0</v>
      </c>
      <c r="Q55" s="146" t="s">
        <v>652</v>
      </c>
    </row>
    <row r="56" spans="1:18" s="53" customFormat="1" ht="12.4" customHeight="1">
      <c r="A56" s="189" t="s">
        <v>3060</v>
      </c>
      <c r="B56" s="238" t="s">
        <v>1710</v>
      </c>
      <c r="C56" s="5"/>
      <c r="D56" s="5"/>
      <c r="E56" s="46"/>
      <c r="F56" s="5"/>
      <c r="G56" s="49"/>
      <c r="I56" s="49"/>
      <c r="K56" s="58"/>
      <c r="L56" s="573" t="str">
        <f>IF(OR($O56=$M56,$O56=0,$O56=""),"","* * Check Score! * *")</f>
        <v/>
      </c>
      <c r="M56" s="3">
        <v>2</v>
      </c>
      <c r="N56" s="252" t="s">
        <v>3060</v>
      </c>
      <c r="O56" s="1162">
        <v>0</v>
      </c>
      <c r="P56" s="89"/>
      <c r="R56" s="573"/>
    </row>
    <row r="57" spans="1:18" s="53" customFormat="1" ht="12.6" customHeight="1">
      <c r="A57" s="189" t="s">
        <v>3063</v>
      </c>
      <c r="B57" s="238" t="s">
        <v>1711</v>
      </c>
      <c r="E57" s="51"/>
      <c r="K57" s="58"/>
      <c r="L57" s="573" t="str">
        <f>IF(OR($O57=$M57,$O57=0,$O57=""),"","* * Check Score! * *")</f>
        <v/>
      </c>
      <c r="M57" s="3">
        <v>1</v>
      </c>
      <c r="N57" s="62" t="s">
        <v>3063</v>
      </c>
      <c r="O57" s="1162">
        <v>0</v>
      </c>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15" customHeight="1">
      <c r="A59" s="1159" t="s">
        <v>4042</v>
      </c>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2922</v>
      </c>
      <c r="C60" s="52"/>
      <c r="D60" s="133"/>
      <c r="E60" s="739"/>
      <c r="F60" s="739"/>
      <c r="G60" s="739"/>
      <c r="H60" s="739"/>
      <c r="I60" s="739"/>
      <c r="J60" s="739"/>
      <c r="K60" s="739"/>
      <c r="L60" s="739"/>
      <c r="M60" s="739"/>
      <c r="N60" s="127"/>
      <c r="O60" s="259"/>
      <c r="P60" s="3"/>
    </row>
    <row r="61" spans="1:18" s="53" customFormat="1" ht="23.45" customHeight="1">
      <c r="A61" s="991"/>
      <c r="B61" s="992"/>
      <c r="C61" s="992"/>
      <c r="D61" s="992"/>
      <c r="E61" s="992"/>
      <c r="F61" s="992"/>
      <c r="G61" s="992"/>
      <c r="H61" s="992"/>
      <c r="I61" s="992"/>
      <c r="J61" s="992"/>
      <c r="K61" s="992"/>
      <c r="L61" s="992"/>
      <c r="M61" s="992"/>
      <c r="N61" s="992"/>
      <c r="O61" s="992"/>
      <c r="P61" s="993"/>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4" customHeight="1">
      <c r="A63" s="253"/>
      <c r="B63" s="61"/>
      <c r="G63" s="51"/>
      <c r="J63" s="58"/>
      <c r="K63" s="58"/>
      <c r="M63" s="139"/>
      <c r="N63" s="61"/>
      <c r="O63" s="139"/>
      <c r="P63" s="139"/>
    </row>
    <row r="64" spans="1:18" s="53" customFormat="1" ht="12.6" customHeight="1">
      <c r="A64" s="210" t="s">
        <v>1887</v>
      </c>
      <c r="B64" s="142" t="s">
        <v>3703</v>
      </c>
      <c r="D64" s="51"/>
      <c r="E64" s="600" t="s">
        <v>3705</v>
      </c>
      <c r="I64" s="59" t="s">
        <v>2941</v>
      </c>
      <c r="M64" s="3">
        <v>1</v>
      </c>
      <c r="N64" s="616" t="str">
        <f>IF(OR($O64=$M64,$O64=0,$O64=""),"","***")</f>
        <v/>
      </c>
      <c r="O64" s="1162">
        <v>0</v>
      </c>
      <c r="P64" s="89"/>
      <c r="Q64" s="146" t="s">
        <v>652</v>
      </c>
    </row>
    <row r="65" spans="1:17" s="53" customFormat="1" ht="12.6" customHeight="1">
      <c r="A65" s="210"/>
      <c r="B65" s="600" t="s">
        <v>1212</v>
      </c>
      <c r="D65" s="51"/>
      <c r="H65" s="59"/>
      <c r="I65" s="59"/>
      <c r="J65" s="59"/>
      <c r="K65" s="59"/>
      <c r="L65" s="59"/>
      <c r="M65" s="3"/>
      <c r="N65" s="616"/>
      <c r="O65" s="1166"/>
      <c r="P65" s="234"/>
      <c r="Q65" s="146"/>
    </row>
    <row r="66" spans="1:17" s="53" customFormat="1" ht="12.6" customHeight="1">
      <c r="A66" s="210"/>
      <c r="B66" s="600" t="s">
        <v>1211</v>
      </c>
      <c r="D66" s="51"/>
      <c r="H66" s="59"/>
      <c r="I66" s="1167"/>
      <c r="J66" s="1168"/>
      <c r="K66" s="1168"/>
      <c r="L66" s="1169"/>
      <c r="M66" s="3"/>
      <c r="N66" s="616"/>
      <c r="O66" s="616"/>
      <c r="P66" s="616"/>
      <c r="Q66" s="146"/>
    </row>
    <row r="67" spans="1:17" s="53" customFormat="1" ht="12.6" customHeight="1">
      <c r="A67" s="210"/>
      <c r="B67" s="600" t="s">
        <v>1213</v>
      </c>
      <c r="D67" s="51"/>
      <c r="H67" s="59"/>
      <c r="I67" s="59"/>
      <c r="J67" s="59"/>
      <c r="K67" s="59"/>
      <c r="L67" s="59"/>
      <c r="M67" s="3"/>
      <c r="N67" s="616"/>
      <c r="O67" s="1166"/>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17.45" customHeight="1">
      <c r="A69" s="1159" t="s">
        <v>4042</v>
      </c>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2922</v>
      </c>
      <c r="C70" s="52"/>
      <c r="D70" s="133"/>
      <c r="E70" s="739"/>
      <c r="F70" s="739"/>
      <c r="G70" s="739"/>
      <c r="H70" s="739"/>
      <c r="I70" s="739"/>
      <c r="J70" s="739"/>
      <c r="K70" s="739"/>
      <c r="L70" s="739"/>
      <c r="M70" s="739"/>
      <c r="N70" s="127"/>
      <c r="O70" s="259"/>
      <c r="P70" s="3"/>
    </row>
    <row r="71" spans="1:17" s="53" customFormat="1" ht="23.45" customHeight="1">
      <c r="A71" s="991"/>
      <c r="B71" s="992"/>
      <c r="C71" s="992"/>
      <c r="D71" s="992"/>
      <c r="E71" s="992"/>
      <c r="F71" s="992"/>
      <c r="G71" s="992"/>
      <c r="H71" s="992"/>
      <c r="I71" s="992"/>
      <c r="J71" s="992"/>
      <c r="K71" s="992"/>
      <c r="L71" s="992"/>
      <c r="M71" s="992"/>
      <c r="N71" s="992"/>
      <c r="O71" s="992"/>
      <c r="P71" s="993"/>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4" customHeight="1">
      <c r="A73" s="253"/>
      <c r="B73" s="61"/>
      <c r="G73" s="51"/>
      <c r="J73" s="58"/>
      <c r="K73" s="58"/>
      <c r="M73" s="139"/>
      <c r="N73" s="61"/>
      <c r="O73" s="139"/>
      <c r="P73" s="139"/>
    </row>
    <row r="74" spans="1:17" s="53" customFormat="1" ht="12.6" customHeight="1">
      <c r="A74" s="210" t="s">
        <v>2943</v>
      </c>
      <c r="B74" s="142" t="s">
        <v>3704</v>
      </c>
      <c r="D74" s="51"/>
      <c r="E74" s="46" t="s">
        <v>2091</v>
      </c>
      <c r="I74" s="59" t="s">
        <v>2941</v>
      </c>
      <c r="M74" s="3">
        <v>2</v>
      </c>
      <c r="N74" s="62"/>
      <c r="O74" s="1162">
        <v>0</v>
      </c>
      <c r="P74" s="89"/>
      <c r="Q74" s="146" t="s">
        <v>652</v>
      </c>
    </row>
    <row r="75" spans="1:17" s="53" customFormat="1" ht="12.6" customHeight="1">
      <c r="A75" s="210"/>
      <c r="B75" s="600" t="s">
        <v>1214</v>
      </c>
      <c r="D75" s="51"/>
      <c r="E75" s="46"/>
      <c r="I75" s="1167"/>
      <c r="J75" s="1168"/>
      <c r="K75" s="1168"/>
      <c r="L75" s="116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18" customHeight="1">
      <c r="A77" s="1159" t="s">
        <v>4042</v>
      </c>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2922</v>
      </c>
      <c r="C78" s="52"/>
      <c r="D78" s="133"/>
      <c r="E78" s="739"/>
      <c r="F78" s="739"/>
      <c r="G78" s="739"/>
      <c r="H78" s="739"/>
      <c r="I78" s="739"/>
      <c r="J78" s="739"/>
      <c r="K78" s="739"/>
      <c r="L78" s="739"/>
      <c r="M78" s="739"/>
      <c r="N78" s="127"/>
      <c r="O78" s="259"/>
      <c r="P78" s="3"/>
    </row>
    <row r="79" spans="1:17" s="53" customFormat="1" ht="23.45" customHeight="1">
      <c r="A79" s="991"/>
      <c r="B79" s="992"/>
      <c r="C79" s="992"/>
      <c r="D79" s="992"/>
      <c r="E79" s="992"/>
      <c r="F79" s="992"/>
      <c r="G79" s="992"/>
      <c r="H79" s="992"/>
      <c r="I79" s="992"/>
      <c r="J79" s="992"/>
      <c r="K79" s="992"/>
      <c r="L79" s="992"/>
      <c r="M79" s="992"/>
      <c r="N79" s="992"/>
      <c r="O79" s="992"/>
      <c r="P79" s="993"/>
    </row>
    <row r="80" spans="1:17" s="53" customFormat="1" ht="23.45" customHeight="1">
      <c r="A80" s="995"/>
      <c r="B80" s="996"/>
      <c r="C80" s="996"/>
      <c r="D80" s="996"/>
      <c r="E80" s="996"/>
      <c r="F80" s="996"/>
      <c r="G80" s="996"/>
      <c r="H80" s="996"/>
      <c r="I80" s="996"/>
      <c r="J80" s="996"/>
      <c r="K80" s="996"/>
      <c r="L80" s="996"/>
      <c r="M80" s="996"/>
      <c r="N80" s="996"/>
      <c r="O80" s="996"/>
      <c r="P80" s="997"/>
    </row>
    <row r="81" spans="1:18" ht="3.4" customHeight="1">
      <c r="B81" s="159"/>
      <c r="C81" s="159"/>
      <c r="D81" s="159"/>
      <c r="E81" s="159"/>
      <c r="R81" s="53"/>
    </row>
    <row r="82" spans="1:18" s="53" customFormat="1" ht="12.6" customHeight="1">
      <c r="A82" s="210" t="s">
        <v>744</v>
      </c>
      <c r="B82" s="143" t="s">
        <v>277</v>
      </c>
      <c r="D82" s="49"/>
      <c r="E82" s="46"/>
      <c r="F82" s="246" t="s">
        <v>627</v>
      </c>
      <c r="I82" s="1170" t="s">
        <v>3958</v>
      </c>
      <c r="J82" s="1171"/>
      <c r="K82" s="1171"/>
      <c r="L82" s="1172"/>
      <c r="M82" s="3">
        <v>3</v>
      </c>
      <c r="O82" s="96">
        <f>IF(OR(I82="Earth Craft Communities",I82="LEED-ND"),3,IF(OR(I82="Earth Craft House",I82="LEED for Homes",I82="EF Green Communities"),2,0))</f>
        <v>2</v>
      </c>
      <c r="P82" s="89"/>
      <c r="Q82" s="146" t="s">
        <v>652</v>
      </c>
    </row>
    <row r="83" spans="1:18" s="139" customFormat="1" ht="13.9" customHeight="1">
      <c r="A83" s="52"/>
      <c r="B83" s="1173" t="s">
        <v>2659</v>
      </c>
      <c r="C83" s="1057"/>
      <c r="D83" s="1057"/>
      <c r="E83" s="1057"/>
      <c r="F83" s="1057"/>
      <c r="G83" s="1057"/>
      <c r="H83" s="1057"/>
      <c r="I83" s="1057"/>
      <c r="J83" s="1057"/>
      <c r="K83" s="1057"/>
      <c r="L83" s="1057"/>
      <c r="M83" s="1057"/>
      <c r="N83" s="1"/>
      <c r="O83" s="1174" t="s">
        <v>3919</v>
      </c>
      <c r="P83" s="551"/>
    </row>
    <row r="84" spans="1:18" s="598" customFormat="1" ht="35.1" customHeight="1">
      <c r="B84" s="194" t="s">
        <v>3060</v>
      </c>
      <c r="C84" s="1053" t="s">
        <v>1570</v>
      </c>
      <c r="D84" s="1004"/>
      <c r="E84" s="1004"/>
      <c r="F84" s="1004"/>
      <c r="G84" s="1004"/>
      <c r="H84" s="1004"/>
      <c r="I84" s="1004"/>
      <c r="J84" s="1004"/>
      <c r="K84" s="1004"/>
      <c r="L84" s="1004"/>
      <c r="M84" s="698" t="str">
        <f>IF(AND($I$93="Stable Communities &lt; 10%",O84=""), "X","")</f>
        <v/>
      </c>
      <c r="N84" s="221" t="s">
        <v>3060</v>
      </c>
      <c r="O84" s="1175" t="s">
        <v>3942</v>
      </c>
      <c r="P84" s="703"/>
    </row>
    <row r="85" spans="1:18" s="598" customFormat="1" ht="35.1" customHeight="1">
      <c r="B85" s="194" t="s">
        <v>3063</v>
      </c>
      <c r="C85" s="1002" t="s">
        <v>1571</v>
      </c>
      <c r="D85" s="1004"/>
      <c r="E85" s="1004"/>
      <c r="F85" s="1004"/>
      <c r="G85" s="1004"/>
      <c r="H85" s="1004"/>
      <c r="I85" s="1004"/>
      <c r="J85" s="1004"/>
      <c r="K85" s="1004"/>
      <c r="L85" s="1004"/>
      <c r="M85" s="698" t="str">
        <f>IF(AND($I$93="Stable Communities &lt; 10%",O85=""), "X","")</f>
        <v/>
      </c>
      <c r="N85" s="221" t="s">
        <v>3063</v>
      </c>
      <c r="O85" s="1176" t="s">
        <v>3942</v>
      </c>
      <c r="P85" s="704"/>
    </row>
    <row r="86" spans="1:18" s="139" customFormat="1" ht="11.45" customHeight="1">
      <c r="A86" s="52"/>
      <c r="B86" s="59" t="s">
        <v>333</v>
      </c>
      <c r="C86" s="52"/>
      <c r="D86" s="58"/>
      <c r="E86" s="58"/>
      <c r="F86" s="58"/>
      <c r="G86" s="58"/>
      <c r="K86" s="46"/>
      <c r="M86" s="56"/>
      <c r="N86" s="7"/>
      <c r="O86" s="4"/>
      <c r="P86" s="3"/>
    </row>
    <row r="87" spans="1:18" s="53" customFormat="1" ht="21.2" customHeight="1">
      <c r="A87" s="1177" t="s">
        <v>4078</v>
      </c>
      <c r="B87" s="1178"/>
      <c r="C87" s="1178"/>
      <c r="D87" s="1178"/>
      <c r="E87" s="1178"/>
      <c r="F87" s="1178"/>
      <c r="G87" s="1178"/>
      <c r="H87" s="1178"/>
      <c r="I87" s="1178"/>
      <c r="J87" s="1178"/>
      <c r="K87" s="1178"/>
      <c r="L87" s="1178"/>
      <c r="M87" s="1178"/>
      <c r="N87" s="1178"/>
      <c r="O87" s="1178"/>
      <c r="P87" s="1179"/>
    </row>
    <row r="88" spans="1:18" s="53" customFormat="1" ht="22.7" hidden="1"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2922</v>
      </c>
      <c r="C89" s="52"/>
      <c r="D89" s="117"/>
      <c r="E89" s="742"/>
      <c r="F89" s="742"/>
      <c r="G89" s="742"/>
      <c r="H89" s="742"/>
      <c r="I89" s="742"/>
      <c r="J89" s="742"/>
      <c r="K89" s="742"/>
      <c r="L89" s="742"/>
      <c r="M89" s="742"/>
      <c r="N89" s="94"/>
      <c r="O89" s="90"/>
      <c r="P89" s="3"/>
    </row>
    <row r="90" spans="1:18" s="53" customFormat="1" ht="24.6" customHeight="1">
      <c r="A90" s="1048"/>
      <c r="B90" s="1049"/>
      <c r="C90" s="1049"/>
      <c r="D90" s="1049"/>
      <c r="E90" s="1049"/>
      <c r="F90" s="1049"/>
      <c r="G90" s="1049"/>
      <c r="H90" s="1049"/>
      <c r="I90" s="1049"/>
      <c r="J90" s="1049"/>
      <c r="K90" s="1049"/>
      <c r="L90" s="1049"/>
      <c r="M90" s="1049"/>
      <c r="N90" s="1049"/>
      <c r="O90" s="1049"/>
      <c r="P90" s="1050"/>
    </row>
    <row r="91" spans="1:18" s="53" customFormat="1" ht="24.6" customHeight="1">
      <c r="A91" s="1045"/>
      <c r="B91" s="1046"/>
      <c r="C91" s="1046"/>
      <c r="D91" s="1046"/>
      <c r="E91" s="1046"/>
      <c r="F91" s="1046"/>
      <c r="G91" s="1046"/>
      <c r="H91" s="1046"/>
      <c r="I91" s="1046"/>
      <c r="J91" s="1046"/>
      <c r="K91" s="1046"/>
      <c r="L91" s="1046"/>
      <c r="M91" s="1046"/>
      <c r="N91" s="1046"/>
      <c r="O91" s="1046"/>
      <c r="P91" s="1047"/>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745</v>
      </c>
      <c r="B93" s="143" t="s">
        <v>3641</v>
      </c>
      <c r="C93" s="126"/>
      <c r="D93" s="74"/>
      <c r="E93" s="74"/>
      <c r="I93" s="1170" t="s">
        <v>3959</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2</v>
      </c>
      <c r="P93" s="89"/>
      <c r="Q93" s="146" t="s">
        <v>652</v>
      </c>
      <c r="R93" s="53"/>
    </row>
    <row r="94" spans="1:18" ht="12.4" customHeight="1">
      <c r="A94" s="1052" t="s">
        <v>509</v>
      </c>
      <c r="B94" s="1052"/>
      <c r="C94" s="1052"/>
      <c r="D94" s="1052"/>
      <c r="E94" s="1052"/>
      <c r="F94" s="1052"/>
      <c r="G94" s="1052"/>
      <c r="H94" s="1052"/>
      <c r="I94" s="1052"/>
      <c r="J94" s="1052"/>
      <c r="K94" s="1052"/>
      <c r="L94" s="1052"/>
      <c r="M94" s="1052"/>
      <c r="N94" s="1052"/>
      <c r="O94" s="1052"/>
      <c r="P94" s="1052"/>
    </row>
    <row r="95" spans="1:18" ht="11.45" customHeight="1">
      <c r="A95" s="189" t="s">
        <v>3060</v>
      </c>
      <c r="B95" s="256" t="s">
        <v>3793</v>
      </c>
      <c r="D95" s="42"/>
      <c r="H95" s="76"/>
      <c r="I95" s="42"/>
      <c r="J95" s="42"/>
      <c r="M95" s="156">
        <v>4</v>
      </c>
      <c r="N95" s="31"/>
      <c r="O95" s="31"/>
      <c r="P95" s="31"/>
    </row>
    <row r="96" spans="1:18" ht="11.45" customHeight="1">
      <c r="A96" s="564" t="str">
        <f>IF($I$93="Stable Communities &lt; 10%", "X","")</f>
        <v/>
      </c>
      <c r="B96" s="565" t="s">
        <v>3064</v>
      </c>
      <c r="C96" s="235" t="s">
        <v>868</v>
      </c>
      <c r="E96" s="159"/>
      <c r="N96" s="31"/>
      <c r="O96" s="161" t="s">
        <v>3794</v>
      </c>
      <c r="P96" s="161" t="s">
        <v>3794</v>
      </c>
    </row>
    <row r="97" spans="1:16" ht="11.45" customHeight="1">
      <c r="B97" s="233" t="s">
        <v>3681</v>
      </c>
      <c r="C97" s="584" t="s">
        <v>3622</v>
      </c>
      <c r="E97" s="159"/>
      <c r="G97" s="137" t="s">
        <v>3623</v>
      </c>
      <c r="M97" s="590" t="str">
        <f>IF(AND($I$93="Stable Communities &lt; 10%",O97=""), "X","")</f>
        <v/>
      </c>
      <c r="N97" s="233" t="s">
        <v>3681</v>
      </c>
      <c r="O97" s="1183" t="s">
        <v>3923</v>
      </c>
      <c r="P97" s="354"/>
    </row>
    <row r="98" spans="1:16" ht="11.45" customHeight="1">
      <c r="B98" s="233" t="s">
        <v>3682</v>
      </c>
      <c r="C98" s="585" t="s">
        <v>3624</v>
      </c>
      <c r="E98" s="159"/>
      <c r="G98" s="137" t="s">
        <v>3625</v>
      </c>
      <c r="M98" s="590" t="str">
        <f>IF(AND($I$93="Stable Communities &lt; 10%",O98=""), "X","")</f>
        <v/>
      </c>
      <c r="N98" s="233" t="s">
        <v>3682</v>
      </c>
      <c r="O98" s="1174" t="s">
        <v>3919</v>
      </c>
      <c r="P98" s="551"/>
    </row>
    <row r="99" spans="1:16" ht="11.45" customHeight="1">
      <c r="B99" s="233" t="s">
        <v>3683</v>
      </c>
      <c r="C99" s="585" t="s">
        <v>2191</v>
      </c>
      <c r="E99" s="159"/>
      <c r="M99" s="590" t="str">
        <f>IF(AND($I$93="Stable Communities &lt; 10%",O99=""), "X","")</f>
        <v/>
      </c>
      <c r="N99" s="233" t="s">
        <v>3685</v>
      </c>
      <c r="O99" s="1184" t="s">
        <v>3919</v>
      </c>
      <c r="P99" s="355"/>
    </row>
    <row r="100" spans="1:16" ht="11.45" customHeight="1">
      <c r="A100" s="564" t="str">
        <f>IF($I$93="Stable Communities &lt; 20%", "X","")</f>
        <v>X</v>
      </c>
      <c r="B100" s="565" t="s">
        <v>3066</v>
      </c>
      <c r="C100" s="235" t="s">
        <v>868</v>
      </c>
      <c r="E100" s="159"/>
      <c r="M100" s="591"/>
      <c r="N100" s="31"/>
      <c r="O100" s="161" t="s">
        <v>3794</v>
      </c>
      <c r="P100" s="161" t="s">
        <v>3794</v>
      </c>
    </row>
    <row r="101" spans="1:16" ht="11.45" customHeight="1">
      <c r="B101" s="233" t="s">
        <v>3681</v>
      </c>
      <c r="C101" s="584" t="s">
        <v>3706</v>
      </c>
      <c r="E101" s="159"/>
      <c r="G101" s="137" t="s">
        <v>3626</v>
      </c>
      <c r="M101" s="590" t="str">
        <f>IF(AND($I$93="Stable Communities &lt; 20%",O101=""), "X","")</f>
        <v/>
      </c>
      <c r="N101" s="233" t="s">
        <v>3681</v>
      </c>
      <c r="O101" s="1183" t="s">
        <v>3919</v>
      </c>
      <c r="P101" s="354"/>
    </row>
    <row r="102" spans="1:16" ht="11.45" customHeight="1">
      <c r="B102" s="233" t="s">
        <v>3682</v>
      </c>
      <c r="C102" s="585" t="s">
        <v>3624</v>
      </c>
      <c r="E102" s="159"/>
      <c r="G102" s="137" t="s">
        <v>3625</v>
      </c>
      <c r="M102" s="590" t="str">
        <f>IF(AND($I$93="Stable Communities &lt; 20%",O102=""), "X","")</f>
        <v/>
      </c>
      <c r="N102" s="233" t="s">
        <v>3682</v>
      </c>
      <c r="O102" s="1174" t="s">
        <v>3919</v>
      </c>
      <c r="P102" s="551"/>
    </row>
    <row r="103" spans="1:16" ht="11.45" customHeight="1">
      <c r="B103" s="233" t="s">
        <v>3683</v>
      </c>
      <c r="C103" s="585" t="s">
        <v>2191</v>
      </c>
      <c r="E103" s="159"/>
      <c r="M103" s="590" t="str">
        <f>IF(AND($I$93="Stable Communities &lt; 20%",O103=""), "X","")</f>
        <v/>
      </c>
      <c r="N103" s="233" t="s">
        <v>3685</v>
      </c>
      <c r="O103" s="1184" t="s">
        <v>3919</v>
      </c>
      <c r="P103" s="355"/>
    </row>
    <row r="104" spans="1:16" ht="11.45" customHeight="1">
      <c r="A104" s="189" t="s">
        <v>3063</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3064</v>
      </c>
      <c r="C105" s="118" t="s">
        <v>3707</v>
      </c>
      <c r="D105" s="139"/>
      <c r="G105" s="195"/>
      <c r="K105" s="139"/>
      <c r="L105" s="139"/>
      <c r="N105" s="31"/>
      <c r="O105" s="161" t="s">
        <v>3794</v>
      </c>
      <c r="P105" s="161" t="s">
        <v>3794</v>
      </c>
    </row>
    <row r="106" spans="1:16" ht="10.9" customHeight="1">
      <c r="B106" s="566" t="s">
        <v>3681</v>
      </c>
      <c r="C106" s="567" t="s">
        <v>914</v>
      </c>
      <c r="D106" s="137"/>
      <c r="M106" s="589" t="str">
        <f>IF(AND($I$93="HOPE VI Initiative",O106=""), "X","")</f>
        <v/>
      </c>
      <c r="N106" s="233" t="s">
        <v>3681</v>
      </c>
      <c r="O106" s="1183"/>
      <c r="P106" s="354"/>
    </row>
    <row r="107" spans="1:16" ht="10.9" customHeight="1">
      <c r="B107" s="566" t="s">
        <v>3682</v>
      </c>
      <c r="C107" s="567" t="s">
        <v>915</v>
      </c>
      <c r="M107" s="589" t="str">
        <f>IF(AND($I$93="HOPE VI Initiative",O107=""), "X","")</f>
        <v/>
      </c>
      <c r="N107" s="233" t="s">
        <v>3682</v>
      </c>
      <c r="O107" s="1174"/>
      <c r="P107" s="551"/>
    </row>
    <row r="108" spans="1:16" ht="10.9" customHeight="1">
      <c r="B108" s="566" t="s">
        <v>3683</v>
      </c>
      <c r="C108" s="567" t="s">
        <v>916</v>
      </c>
      <c r="M108" s="589" t="str">
        <f>IF(AND($I$93="HOPE VI Initiative",O108=""), "X","")</f>
        <v/>
      </c>
      <c r="N108" s="233" t="s">
        <v>3683</v>
      </c>
      <c r="O108" s="1174"/>
      <c r="P108" s="551"/>
    </row>
    <row r="109" spans="1:16" ht="10.9" customHeight="1">
      <c r="B109" s="566" t="s">
        <v>3684</v>
      </c>
      <c r="C109" s="72" t="s">
        <v>917</v>
      </c>
      <c r="M109" s="589" t="str">
        <f>IF(AND($I$93="HOPE VI Initiative",O109=""), "X","")</f>
        <v/>
      </c>
      <c r="N109" s="233" t="s">
        <v>3684</v>
      </c>
      <c r="O109" s="1184"/>
      <c r="P109" s="355"/>
    </row>
    <row r="110" spans="1:16" s="53" customFormat="1" ht="11.45" customHeight="1">
      <c r="A110" s="564"/>
      <c r="B110" s="565" t="s">
        <v>3066</v>
      </c>
      <c r="C110" s="153" t="s">
        <v>540</v>
      </c>
      <c r="D110" s="139"/>
      <c r="E110" s="50"/>
      <c r="G110" s="594" t="s">
        <v>921</v>
      </c>
      <c r="M110" s="70"/>
      <c r="N110" s="565" t="s">
        <v>3066</v>
      </c>
      <c r="O110" s="1184"/>
      <c r="P110" s="355"/>
    </row>
    <row r="111" spans="1:16" s="53" customFormat="1" ht="11.45" customHeight="1">
      <c r="A111" s="564" t="str">
        <f>IF($I$93="Redevelopment Zone", "X","")</f>
        <v/>
      </c>
      <c r="B111" s="565" t="s">
        <v>3822</v>
      </c>
      <c r="C111" s="153" t="s">
        <v>541</v>
      </c>
      <c r="D111" s="139"/>
      <c r="F111" s="589"/>
      <c r="G111" s="50" t="s">
        <v>1651</v>
      </c>
      <c r="H111" s="1185" t="s">
        <v>2801</v>
      </c>
      <c r="I111" s="161" t="s">
        <v>1563</v>
      </c>
      <c r="J111" s="1186"/>
      <c r="K111" s="1187"/>
      <c r="L111" s="1188"/>
      <c r="M111" s="70"/>
      <c r="N111" s="565" t="s">
        <v>3822</v>
      </c>
      <c r="O111" s="1184"/>
      <c r="P111" s="355"/>
    </row>
    <row r="112" spans="1:16" s="53" customFormat="1" ht="11.45" customHeight="1">
      <c r="A112" s="564" t="str">
        <f>IF($I$93="Local Redevelopment Plan", "X","")</f>
        <v/>
      </c>
      <c r="B112" s="565" t="s">
        <v>1886</v>
      </c>
      <c r="C112" s="153" t="s">
        <v>918</v>
      </c>
      <c r="D112" s="139"/>
      <c r="E112" s="50"/>
      <c r="F112" s="589"/>
      <c r="G112" s="50" t="s">
        <v>637</v>
      </c>
      <c r="H112" s="1189"/>
      <c r="I112" s="1190"/>
      <c r="J112" s="1190"/>
      <c r="K112" s="1190"/>
      <c r="L112" s="1191"/>
      <c r="M112" s="70"/>
      <c r="N112" s="565" t="s">
        <v>1886</v>
      </c>
      <c r="O112" s="1184"/>
      <c r="P112" s="355"/>
    </row>
    <row r="113" spans="1:16" ht="11.45" customHeight="1">
      <c r="B113" s="566" t="s">
        <v>3681</v>
      </c>
      <c r="C113" s="50" t="s">
        <v>922</v>
      </c>
      <c r="D113" s="137"/>
      <c r="G113" s="137" t="s">
        <v>920</v>
      </c>
      <c r="H113" s="1192"/>
      <c r="M113" s="589" t="str">
        <f>IF(AND($I$93="Local Redevelopment Plan",O113=""), "X","")</f>
        <v/>
      </c>
      <c r="N113" s="566" t="s">
        <v>3681</v>
      </c>
      <c r="O113" s="1183"/>
      <c r="P113" s="354"/>
    </row>
    <row r="114" spans="1:16" ht="10.9" customHeight="1">
      <c r="B114" s="566" t="s">
        <v>3682</v>
      </c>
      <c r="C114" s="567" t="s">
        <v>3710</v>
      </c>
      <c r="D114" s="137"/>
      <c r="M114" s="589"/>
      <c r="N114" s="566" t="s">
        <v>3682</v>
      </c>
      <c r="O114" s="1193"/>
      <c r="P114" s="617"/>
    </row>
    <row r="115" spans="1:16" ht="10.9" customHeight="1">
      <c r="B115" s="566" t="s">
        <v>3683</v>
      </c>
      <c r="C115" s="567" t="s">
        <v>3711</v>
      </c>
      <c r="M115" s="589" t="str">
        <f t="shared" ref="M115:M124" si="0">IF(AND($I$93="Local Redevelopment Plan",O115=""), "X","")</f>
        <v/>
      </c>
      <c r="N115" s="566" t="s">
        <v>3683</v>
      </c>
      <c r="O115" s="1174"/>
      <c r="P115" s="551"/>
    </row>
    <row r="116" spans="1:16" ht="10.9" customHeight="1">
      <c r="B116" s="566" t="s">
        <v>3684</v>
      </c>
      <c r="C116" s="567" t="s">
        <v>3712</v>
      </c>
      <c r="M116" s="589" t="str">
        <f t="shared" si="0"/>
        <v/>
      </c>
      <c r="N116" s="566" t="s">
        <v>3684</v>
      </c>
      <c r="O116" s="1174"/>
      <c r="P116" s="551"/>
    </row>
    <row r="117" spans="1:16" ht="10.9" customHeight="1">
      <c r="B117" s="566" t="s">
        <v>3685</v>
      </c>
      <c r="C117" s="72" t="s">
        <v>3713</v>
      </c>
      <c r="M117" s="589" t="str">
        <f t="shared" si="0"/>
        <v/>
      </c>
      <c r="N117" s="566" t="s">
        <v>3685</v>
      </c>
      <c r="O117" s="1174"/>
      <c r="P117" s="551"/>
    </row>
    <row r="118" spans="1:16" ht="10.9" customHeight="1">
      <c r="B118" s="566" t="s">
        <v>3708</v>
      </c>
      <c r="C118" s="567" t="s">
        <v>3714</v>
      </c>
      <c r="D118" s="137"/>
      <c r="M118" s="589" t="str">
        <f t="shared" si="0"/>
        <v/>
      </c>
      <c r="N118" s="566" t="s">
        <v>3708</v>
      </c>
      <c r="O118" s="1174"/>
      <c r="P118" s="551"/>
    </row>
    <row r="119" spans="1:16" ht="10.9" customHeight="1">
      <c r="B119" s="566" t="s">
        <v>3709</v>
      </c>
      <c r="C119" s="567" t="s">
        <v>3715</v>
      </c>
      <c r="M119" s="589" t="str">
        <f t="shared" si="0"/>
        <v/>
      </c>
      <c r="N119" s="566" t="s">
        <v>3709</v>
      </c>
      <c r="O119" s="1184"/>
      <c r="P119" s="355"/>
    </row>
    <row r="120" spans="1:16" ht="11.45" customHeight="1">
      <c r="A120" s="564" t="str">
        <f>IF($I$93="Stable Communities &lt; 20%", "X","")</f>
        <v>X</v>
      </c>
      <c r="B120" s="584" t="s">
        <v>3719</v>
      </c>
      <c r="E120" s="159"/>
      <c r="M120" s="591"/>
      <c r="N120" s="31"/>
      <c r="O120" s="161" t="s">
        <v>3794</v>
      </c>
      <c r="P120" s="161" t="s">
        <v>3794</v>
      </c>
    </row>
    <row r="121" spans="1:16" ht="10.9" customHeight="1">
      <c r="B121" s="566" t="s">
        <v>3716</v>
      </c>
      <c r="C121" s="567" t="s">
        <v>3720</v>
      </c>
      <c r="M121" s="589" t="str">
        <f t="shared" si="0"/>
        <v/>
      </c>
      <c r="N121" s="566" t="s">
        <v>3716</v>
      </c>
      <c r="O121" s="1183"/>
      <c r="P121" s="354"/>
    </row>
    <row r="122" spans="1:16" ht="10.9" customHeight="1">
      <c r="B122" s="566" t="s">
        <v>3717</v>
      </c>
      <c r="C122" s="72" t="s">
        <v>3721</v>
      </c>
      <c r="M122" s="589" t="str">
        <f t="shared" si="0"/>
        <v/>
      </c>
      <c r="N122" s="566" t="s">
        <v>3717</v>
      </c>
      <c r="O122" s="1174"/>
      <c r="P122" s="551"/>
    </row>
    <row r="123" spans="1:16" ht="10.9" customHeight="1">
      <c r="B123" s="566" t="s">
        <v>3718</v>
      </c>
      <c r="C123" s="567" t="s">
        <v>3722</v>
      </c>
      <c r="M123" s="589" t="str">
        <f t="shared" si="0"/>
        <v/>
      </c>
      <c r="N123" s="566" t="s">
        <v>3718</v>
      </c>
      <c r="O123" s="1174"/>
      <c r="P123" s="551"/>
    </row>
    <row r="124" spans="1:16" ht="10.9" customHeight="1">
      <c r="B124" s="566" t="s">
        <v>919</v>
      </c>
      <c r="C124" s="72" t="s">
        <v>3723</v>
      </c>
      <c r="M124" s="589" t="str">
        <f t="shared" si="0"/>
        <v/>
      </c>
      <c r="N124" s="566" t="s">
        <v>919</v>
      </c>
      <c r="O124" s="1184"/>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15.75" customHeight="1">
      <c r="A126" s="1177" t="s">
        <v>4043</v>
      </c>
      <c r="B126" s="1178"/>
      <c r="C126" s="1178"/>
      <c r="D126" s="1178"/>
      <c r="E126" s="1178"/>
      <c r="F126" s="1178"/>
      <c r="G126" s="1178"/>
      <c r="H126" s="1178"/>
      <c r="I126" s="1178"/>
      <c r="J126" s="1178"/>
      <c r="K126" s="1178"/>
      <c r="L126" s="1178"/>
      <c r="M126" s="1178"/>
      <c r="N126" s="1178"/>
      <c r="O126" s="1178"/>
      <c r="P126" s="1179"/>
    </row>
    <row r="127" spans="1:16" s="53" customFormat="1" ht="5.2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2922</v>
      </c>
      <c r="C128" s="52"/>
      <c r="D128" s="117"/>
      <c r="E128" s="742"/>
      <c r="F128" s="742"/>
      <c r="G128" s="742"/>
      <c r="H128" s="742"/>
      <c r="I128" s="742"/>
      <c r="J128" s="742"/>
      <c r="K128" s="742"/>
      <c r="L128" s="742"/>
      <c r="M128" s="742"/>
      <c r="N128" s="94"/>
      <c r="O128" s="90"/>
      <c r="P128" s="3"/>
    </row>
    <row r="129" spans="1:17" s="53" customFormat="1" ht="23.45" customHeight="1">
      <c r="A129" s="1048"/>
      <c r="B129" s="1049"/>
      <c r="C129" s="1049"/>
      <c r="D129" s="1049"/>
      <c r="E129" s="1049"/>
      <c r="F129" s="1049"/>
      <c r="G129" s="1049"/>
      <c r="H129" s="1049"/>
      <c r="I129" s="1049"/>
      <c r="J129" s="1049"/>
      <c r="K129" s="1049"/>
      <c r="L129" s="1049"/>
      <c r="M129" s="1049"/>
      <c r="N129" s="1049"/>
      <c r="O129" s="1049"/>
      <c r="P129" s="1050"/>
    </row>
    <row r="130" spans="1:17" s="53" customFormat="1" ht="23.45" customHeight="1">
      <c r="A130" s="1045"/>
      <c r="B130" s="1046"/>
      <c r="C130" s="1046"/>
      <c r="D130" s="1046"/>
      <c r="E130" s="1046"/>
      <c r="F130" s="1046"/>
      <c r="G130" s="1046"/>
      <c r="H130" s="1046"/>
      <c r="I130" s="1046"/>
      <c r="J130" s="1046"/>
      <c r="K130" s="1046"/>
      <c r="L130" s="1046"/>
      <c r="M130" s="1046"/>
      <c r="N130" s="1046"/>
      <c r="O130" s="1046"/>
      <c r="P130" s="1047"/>
    </row>
    <row r="131" spans="1:17" ht="3.6" customHeight="1">
      <c r="B131" s="159"/>
      <c r="C131" s="159"/>
      <c r="D131" s="159"/>
      <c r="E131" s="159"/>
    </row>
    <row r="132" spans="1:17" s="53" customFormat="1" ht="12.4" customHeight="1">
      <c r="A132" s="210" t="s">
        <v>279</v>
      </c>
      <c r="B132" s="142" t="s">
        <v>3724</v>
      </c>
      <c r="D132" s="51"/>
      <c r="E132" s="51"/>
      <c r="F132" s="51"/>
      <c r="H132" s="76"/>
      <c r="J132" s="76" t="s">
        <v>505</v>
      </c>
      <c r="K132" s="58"/>
      <c r="M132" s="3">
        <v>3</v>
      </c>
      <c r="N132" s="7"/>
      <c r="O132" s="96">
        <f>MIN($M132,(O133+O139))</f>
        <v>3</v>
      </c>
      <c r="P132" s="96">
        <f>MIN($M132,(P133+P139))</f>
        <v>3</v>
      </c>
      <c r="Q132" s="146" t="s">
        <v>652</v>
      </c>
    </row>
    <row r="133" spans="1:17" ht="12.4" customHeight="1">
      <c r="B133" s="740" t="s">
        <v>3060</v>
      </c>
      <c r="C133" s="256" t="s">
        <v>3358</v>
      </c>
      <c r="D133" s="42"/>
      <c r="E133" s="42"/>
      <c r="F133" s="42"/>
      <c r="G133" s="31" t="str">
        <f>IF(AND(O133&lt;0,M140&lt;0),"Select either A or B but not both!&gt;","")</f>
        <v/>
      </c>
      <c r="H133" s="42"/>
      <c r="I133" s="42"/>
      <c r="J133" s="42"/>
      <c r="K133" s="42"/>
      <c r="L133" s="573" t="str">
        <f>IF(OR($O133=$M133,$O133=0,$O133=""),"","* * Check Score! * *")</f>
        <v/>
      </c>
      <c r="M133" s="3">
        <v>3</v>
      </c>
      <c r="N133" s="62" t="s">
        <v>3060</v>
      </c>
      <c r="O133" s="1194">
        <v>0</v>
      </c>
      <c r="P133" s="696"/>
    </row>
    <row r="134" spans="1:17" s="137" customFormat="1" ht="22.9" customHeight="1">
      <c r="B134" s="596" t="s">
        <v>3064</v>
      </c>
      <c r="C134" s="1051" t="s">
        <v>1565</v>
      </c>
      <c r="D134" s="1004"/>
      <c r="E134" s="1004"/>
      <c r="F134" s="1004"/>
      <c r="G134" s="1004"/>
      <c r="H134" s="1004"/>
      <c r="I134" s="1004"/>
      <c r="J134" s="1004"/>
      <c r="K134" s="1004"/>
      <c r="L134" s="1004"/>
      <c r="M134" s="695"/>
      <c r="N134" s="596" t="s">
        <v>3064</v>
      </c>
      <c r="O134" s="1166" t="s">
        <v>3923</v>
      </c>
      <c r="P134" s="234"/>
    </row>
    <row r="135" spans="1:17" s="137" customFormat="1" ht="11.45" customHeight="1">
      <c r="B135" s="252"/>
      <c r="C135" s="160" t="s">
        <v>1566</v>
      </c>
      <c r="H135" s="137" t="s">
        <v>1564</v>
      </c>
      <c r="I135" s="1195"/>
      <c r="J135" s="137" t="s">
        <v>952</v>
      </c>
      <c r="K135" s="1196"/>
      <c r="L135" s="1197"/>
      <c r="M135" s="1198"/>
    </row>
    <row r="136" spans="1:17" s="137" customFormat="1" ht="11.45" customHeight="1">
      <c r="B136" s="252" t="s">
        <v>3066</v>
      </c>
      <c r="C136" s="160" t="s">
        <v>1567</v>
      </c>
      <c r="M136" s="8"/>
      <c r="N136" s="252" t="s">
        <v>3066</v>
      </c>
      <c r="O136" s="1183"/>
      <c r="P136" s="354"/>
    </row>
    <row r="137" spans="1:17" s="137" customFormat="1" ht="11.45" customHeight="1">
      <c r="B137" s="252" t="s">
        <v>3822</v>
      </c>
      <c r="C137" s="160" t="s">
        <v>1568</v>
      </c>
      <c r="M137" s="8"/>
      <c r="N137" s="252" t="s">
        <v>3822</v>
      </c>
      <c r="O137" s="1174"/>
      <c r="P137" s="551"/>
    </row>
    <row r="138" spans="1:17" s="137" customFormat="1" ht="11.45" customHeight="1">
      <c r="B138" s="252" t="s">
        <v>1886</v>
      </c>
      <c r="C138" s="160" t="s">
        <v>1569</v>
      </c>
      <c r="M138" s="8"/>
      <c r="N138" s="252" t="s">
        <v>1886</v>
      </c>
      <c r="O138" s="1184"/>
      <c r="P138" s="355"/>
    </row>
    <row r="139" spans="1:17" ht="12.4" customHeight="1">
      <c r="A139" s="256" t="s">
        <v>2056</v>
      </c>
      <c r="B139" s="740" t="s">
        <v>3063</v>
      </c>
      <c r="C139" s="256" t="s">
        <v>3359</v>
      </c>
      <c r="D139" s="159"/>
      <c r="E139" s="159"/>
      <c r="M139" s="3">
        <v>3</v>
      </c>
      <c r="N139" s="62" t="s">
        <v>3063</v>
      </c>
      <c r="O139" s="697">
        <f>IF($M140=4,3,IF($M140=3,2,IF($M140=2,1,0)))</f>
        <v>3</v>
      </c>
      <c r="P139" s="697">
        <f>IF($M140=4,3,IF($M140=3,2,IF($M140=2,1,0)))</f>
        <v>3</v>
      </c>
    </row>
    <row r="140" spans="1:17" ht="12.4" customHeight="1">
      <c r="B140" s="125"/>
      <c r="D140" s="42"/>
      <c r="E140" s="42"/>
      <c r="F140" s="42"/>
      <c r="G140" s="50"/>
      <c r="H140" s="50"/>
      <c r="I140" s="50"/>
      <c r="J140" s="50"/>
      <c r="L140" s="592" t="s">
        <v>735</v>
      </c>
      <c r="M140" s="1166">
        <v>4</v>
      </c>
      <c r="N140" s="183" t="s">
        <v>736</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159" t="s">
        <v>3960</v>
      </c>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2922</v>
      </c>
      <c r="C143" s="135"/>
      <c r="D143" s="117"/>
      <c r="E143" s="136"/>
      <c r="F143" s="742"/>
      <c r="G143" s="742"/>
      <c r="H143" s="742"/>
      <c r="I143" s="742"/>
      <c r="J143" s="742"/>
      <c r="K143" s="742"/>
      <c r="L143" s="742"/>
      <c r="M143" s="742"/>
      <c r="N143" s="94"/>
      <c r="O143" s="90"/>
      <c r="P143" s="3"/>
    </row>
    <row r="144" spans="1:17" s="53" customFormat="1" ht="11.45" customHeight="1">
      <c r="A144" s="998"/>
      <c r="B144" s="999"/>
      <c r="C144" s="999"/>
      <c r="D144" s="999"/>
      <c r="E144" s="999"/>
      <c r="F144" s="999"/>
      <c r="G144" s="999"/>
      <c r="H144" s="999"/>
      <c r="I144" s="999"/>
      <c r="J144" s="999"/>
      <c r="K144" s="999"/>
      <c r="L144" s="999"/>
      <c r="M144" s="999"/>
      <c r="N144" s="999"/>
      <c r="O144" s="999"/>
      <c r="P144" s="1000"/>
    </row>
    <row r="145" spans="1:17" ht="8.65" customHeight="1">
      <c r="B145" s="159"/>
      <c r="C145" s="159"/>
      <c r="D145" s="159"/>
      <c r="E145" s="159"/>
    </row>
    <row r="146" spans="1:17" s="53" customFormat="1" ht="12.4" customHeight="1">
      <c r="A146" s="210" t="s">
        <v>280</v>
      </c>
      <c r="B146" s="142" t="s">
        <v>3725</v>
      </c>
      <c r="D146" s="51"/>
      <c r="E146" s="51"/>
      <c r="F146" s="51"/>
      <c r="H146" s="76"/>
      <c r="K146" s="58"/>
      <c r="L146" s="573" t="str">
        <f>IF(OR($O146=$M146,$O146=0,$O146=""),"","* * Check Score! * *")</f>
        <v/>
      </c>
      <c r="M146" s="3">
        <v>2</v>
      </c>
      <c r="N146" s="62"/>
      <c r="O146" s="1162">
        <v>2</v>
      </c>
      <c r="P146" s="89"/>
      <c r="Q146" s="146" t="s">
        <v>652</v>
      </c>
    </row>
    <row r="147" spans="1:17" ht="11.45" customHeight="1">
      <c r="B147" s="235" t="s">
        <v>2667</v>
      </c>
      <c r="E147" s="159"/>
      <c r="M147" s="591"/>
      <c r="N147" s="31"/>
      <c r="O147" s="31"/>
      <c r="P147" s="161" t="s">
        <v>3794</v>
      </c>
    </row>
    <row r="148" spans="1:17" ht="11.45" customHeight="1">
      <c r="A148" s="566" t="s">
        <v>3681</v>
      </c>
      <c r="B148" s="567" t="s">
        <v>3726</v>
      </c>
      <c r="D148" s="137"/>
      <c r="M148" s="589"/>
      <c r="N148" s="566"/>
      <c r="O148" s="566" t="s">
        <v>3681</v>
      </c>
      <c r="P148" s="354"/>
    </row>
    <row r="149" spans="1:17" ht="23.45" customHeight="1">
      <c r="A149" s="593" t="s">
        <v>3682</v>
      </c>
      <c r="B149" s="1070" t="s">
        <v>3727</v>
      </c>
      <c r="C149" s="1004"/>
      <c r="D149" s="1004"/>
      <c r="E149" s="1004"/>
      <c r="F149" s="1004"/>
      <c r="G149" s="1004"/>
      <c r="H149" s="1004"/>
      <c r="I149" s="1004"/>
      <c r="J149" s="1004"/>
      <c r="K149" s="1004"/>
      <c r="L149" s="1004"/>
      <c r="M149" s="1004"/>
      <c r="N149" s="1004"/>
      <c r="O149" s="566" t="s">
        <v>3682</v>
      </c>
      <c r="P149" s="551"/>
    </row>
    <row r="150" spans="1:17" ht="11.45" customHeight="1">
      <c r="A150" s="566" t="s">
        <v>3683</v>
      </c>
      <c r="B150" s="567" t="s">
        <v>3728</v>
      </c>
      <c r="M150" s="589"/>
      <c r="N150" s="566"/>
      <c r="O150" s="566" t="s">
        <v>3683</v>
      </c>
      <c r="P150" s="551"/>
    </row>
    <row r="151" spans="1:17" ht="11.45" customHeight="1">
      <c r="A151" s="566" t="s">
        <v>3684</v>
      </c>
      <c r="B151" s="72" t="s">
        <v>3340</v>
      </c>
      <c r="M151" s="589"/>
      <c r="N151" s="566"/>
      <c r="O151" s="566" t="s">
        <v>3684</v>
      </c>
      <c r="P151" s="551"/>
    </row>
    <row r="152" spans="1:17" ht="23.45" customHeight="1">
      <c r="A152" s="593" t="s">
        <v>3685</v>
      </c>
      <c r="B152" s="1070" t="s">
        <v>3341</v>
      </c>
      <c r="C152" s="1004"/>
      <c r="D152" s="1004"/>
      <c r="E152" s="1004"/>
      <c r="F152" s="1004"/>
      <c r="G152" s="1004"/>
      <c r="H152" s="1004"/>
      <c r="I152" s="1004"/>
      <c r="J152" s="1004"/>
      <c r="K152" s="1004"/>
      <c r="L152" s="1004"/>
      <c r="M152" s="1004"/>
      <c r="N152" s="1004"/>
      <c r="O152" s="566" t="s">
        <v>3685</v>
      </c>
      <c r="P152" s="551"/>
    </row>
    <row r="153" spans="1:17" ht="11.45" customHeight="1">
      <c r="A153" s="566" t="s">
        <v>3708</v>
      </c>
      <c r="B153" s="567" t="s">
        <v>3342</v>
      </c>
      <c r="M153" s="589"/>
      <c r="N153" s="566"/>
      <c r="O153" s="566" t="s">
        <v>3708</v>
      </c>
      <c r="P153" s="551"/>
    </row>
    <row r="154" spans="1:17" ht="11.45" customHeight="1">
      <c r="A154" s="566" t="s">
        <v>3709</v>
      </c>
      <c r="B154" s="567" t="s">
        <v>2668</v>
      </c>
      <c r="M154" s="589"/>
      <c r="N154" s="566"/>
      <c r="O154" s="566" t="s">
        <v>3709</v>
      </c>
      <c r="P154" s="551"/>
    </row>
    <row r="155" spans="1:17" ht="11.45" customHeight="1">
      <c r="A155" s="566" t="s">
        <v>3716</v>
      </c>
      <c r="B155" s="72" t="s">
        <v>2669</v>
      </c>
      <c r="M155" s="589"/>
      <c r="N155" s="566"/>
      <c r="O155" s="566" t="s">
        <v>3716</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48.4" customHeight="1">
      <c r="A157" s="1152" t="s">
        <v>4044</v>
      </c>
      <c r="B157" s="1153"/>
      <c r="C157" s="1153"/>
      <c r="D157" s="1153"/>
      <c r="E157" s="1153"/>
      <c r="F157" s="1153"/>
      <c r="G157" s="1153"/>
      <c r="H157" s="1153"/>
      <c r="I157" s="1153"/>
      <c r="J157" s="1153"/>
      <c r="K157" s="1153"/>
      <c r="L157" s="1153"/>
      <c r="M157" s="1153"/>
      <c r="N157" s="1153"/>
      <c r="O157" s="1153"/>
      <c r="P157" s="1154"/>
    </row>
    <row r="158" spans="1:17" s="53" customFormat="1" ht="24" hidden="1"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2922</v>
      </c>
      <c r="C159" s="52"/>
      <c r="D159" s="117"/>
      <c r="E159" s="742"/>
      <c r="F159" s="742"/>
      <c r="G159" s="742"/>
      <c r="H159" s="742"/>
      <c r="I159" s="742"/>
      <c r="J159" s="742"/>
      <c r="K159" s="742"/>
      <c r="L159" s="742"/>
      <c r="M159" s="742"/>
      <c r="N159" s="94"/>
      <c r="O159" s="90"/>
      <c r="P159" s="3"/>
    </row>
    <row r="160" spans="1:17" s="53" customFormat="1" ht="24" customHeight="1">
      <c r="A160" s="991"/>
      <c r="B160" s="992"/>
      <c r="C160" s="992"/>
      <c r="D160" s="992"/>
      <c r="E160" s="992"/>
      <c r="F160" s="992"/>
      <c r="G160" s="992"/>
      <c r="H160" s="992"/>
      <c r="I160" s="992"/>
      <c r="J160" s="992"/>
      <c r="K160" s="992"/>
      <c r="L160" s="992"/>
      <c r="M160" s="992"/>
      <c r="N160" s="992"/>
      <c r="O160" s="992"/>
      <c r="P160" s="993"/>
    </row>
    <row r="161" spans="1:18" s="53" customFormat="1" ht="24" customHeight="1">
      <c r="A161" s="1011"/>
      <c r="B161" s="1012"/>
      <c r="C161" s="1012"/>
      <c r="D161" s="1012"/>
      <c r="E161" s="1012"/>
      <c r="F161" s="1012"/>
      <c r="G161" s="1012"/>
      <c r="H161" s="1012"/>
      <c r="I161" s="1012"/>
      <c r="J161" s="1012"/>
      <c r="K161" s="1012"/>
      <c r="L161" s="1012"/>
      <c r="M161" s="1012"/>
      <c r="N161" s="1012"/>
      <c r="O161" s="1012"/>
      <c r="P161" s="1013"/>
    </row>
    <row r="162" spans="1:18" s="53" customFormat="1" ht="24" customHeight="1">
      <c r="A162" s="1011"/>
      <c r="B162" s="1012"/>
      <c r="C162" s="1012"/>
      <c r="D162" s="1012"/>
      <c r="E162" s="1012"/>
      <c r="F162" s="1012"/>
      <c r="G162" s="1012"/>
      <c r="H162" s="1012"/>
      <c r="I162" s="1012"/>
      <c r="J162" s="1012"/>
      <c r="K162" s="1012"/>
      <c r="L162" s="1012"/>
      <c r="M162" s="1012"/>
      <c r="N162" s="1012"/>
      <c r="O162" s="1012"/>
      <c r="P162" s="1013"/>
    </row>
    <row r="163" spans="1:18" s="53" customFormat="1" ht="24" customHeight="1">
      <c r="A163" s="1011"/>
      <c r="B163" s="1012"/>
      <c r="C163" s="1012"/>
      <c r="D163" s="1012"/>
      <c r="E163" s="1012"/>
      <c r="F163" s="1012"/>
      <c r="G163" s="1012"/>
      <c r="H163" s="1012"/>
      <c r="I163" s="1012"/>
      <c r="J163" s="1012"/>
      <c r="K163" s="1012"/>
      <c r="L163" s="1012"/>
      <c r="M163" s="1012"/>
      <c r="N163" s="1012"/>
      <c r="O163" s="1012"/>
      <c r="P163" s="1013"/>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4" customHeight="1">
      <c r="A166" s="211" t="s">
        <v>281</v>
      </c>
      <c r="B166" s="143" t="s">
        <v>3360</v>
      </c>
      <c r="C166" s="67"/>
      <c r="D166" s="158"/>
      <c r="E166" s="158"/>
      <c r="F166" s="51"/>
      <c r="H166" s="49"/>
      <c r="J166" s="76" t="s">
        <v>505</v>
      </c>
      <c r="K166" s="58"/>
      <c r="M166" s="3">
        <v>1</v>
      </c>
      <c r="N166" s="7"/>
      <c r="O166" s="96">
        <f>MIN($M166,SUM(O167:O168))</f>
        <v>1</v>
      </c>
      <c r="P166" s="96">
        <f>MIN($M166,SUM(P167:P168))</f>
        <v>0</v>
      </c>
      <c r="Q166" s="146" t="s">
        <v>652</v>
      </c>
    </row>
    <row r="167" spans="1:18" s="139" customFormat="1" ht="12.4" customHeight="1">
      <c r="B167" s="740" t="s">
        <v>3060</v>
      </c>
      <c r="C167" s="238" t="s">
        <v>3361</v>
      </c>
      <c r="D167" s="76"/>
      <c r="E167" s="76"/>
      <c r="G167" s="31"/>
      <c r="K167" s="62" t="s">
        <v>2216</v>
      </c>
      <c r="L167" s="1166" t="s">
        <v>3919</v>
      </c>
      <c r="M167" s="8">
        <v>1</v>
      </c>
      <c r="N167" s="62" t="s">
        <v>3060</v>
      </c>
      <c r="O167" s="1162">
        <v>1</v>
      </c>
      <c r="P167" s="89"/>
      <c r="Q167" s="146"/>
      <c r="R167" s="573" t="str">
        <f>IF(OR($O167=$M167,$O167=0,$O167=""),"","* * Check Score! * *")</f>
        <v/>
      </c>
    </row>
    <row r="168" spans="1:18" s="53" customFormat="1" ht="12.4" customHeight="1">
      <c r="B168" s="740" t="s">
        <v>3063</v>
      </c>
      <c r="C168" s="238" t="s">
        <v>3362</v>
      </c>
      <c r="D168" s="72"/>
      <c r="E168" s="40"/>
      <c r="F168" s="72"/>
      <c r="K168" s="65"/>
      <c r="L168" s="573" t="str">
        <f>IF(OR($O168=$M168,$O168=0,$O168=""),"","* * Check Score! * *")</f>
        <v/>
      </c>
      <c r="M168" s="8">
        <v>1</v>
      </c>
      <c r="N168" s="62" t="s">
        <v>3063</v>
      </c>
      <c r="O168" s="1162"/>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159" t="s">
        <v>3961</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2922</v>
      </c>
      <c r="C171" s="135"/>
      <c r="D171" s="117"/>
      <c r="E171" s="136"/>
      <c r="F171" s="742"/>
      <c r="G171" s="742"/>
      <c r="H171" s="742"/>
      <c r="I171" s="742"/>
      <c r="J171" s="742"/>
      <c r="K171" s="742"/>
      <c r="L171" s="742"/>
      <c r="M171" s="742"/>
      <c r="N171" s="94"/>
      <c r="O171" s="90"/>
      <c r="P171" s="3"/>
    </row>
    <row r="172" spans="1:18" s="53" customFormat="1" ht="12.6" customHeight="1">
      <c r="A172" s="991"/>
      <c r="B172" s="992"/>
      <c r="C172" s="992"/>
      <c r="D172" s="992"/>
      <c r="E172" s="992"/>
      <c r="F172" s="992"/>
      <c r="G172" s="992"/>
      <c r="H172" s="992"/>
      <c r="I172" s="992"/>
      <c r="J172" s="992"/>
      <c r="K172" s="992"/>
      <c r="L172" s="992"/>
      <c r="M172" s="992"/>
      <c r="N172" s="992"/>
      <c r="O172" s="992"/>
      <c r="P172" s="993"/>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2"/>
      <c r="D174" s="742"/>
      <c r="E174" s="742"/>
      <c r="F174" s="742"/>
      <c r="G174" s="742"/>
      <c r="H174" s="742"/>
      <c r="I174" s="742"/>
      <c r="J174" s="742"/>
      <c r="K174" s="742"/>
      <c r="L174" s="742"/>
      <c r="M174" s="742"/>
      <c r="N174" s="94"/>
      <c r="O174" s="90"/>
      <c r="P174" s="1"/>
    </row>
    <row r="175" spans="1:18" s="53" customFormat="1" ht="12.4" customHeight="1">
      <c r="A175" s="211" t="s">
        <v>300</v>
      </c>
      <c r="B175" s="143" t="s">
        <v>3664</v>
      </c>
      <c r="C175" s="67"/>
      <c r="D175" s="158"/>
      <c r="E175" s="158"/>
      <c r="F175" s="51"/>
      <c r="H175" s="49"/>
      <c r="J175" s="76" t="s">
        <v>505</v>
      </c>
      <c r="K175" s="58"/>
      <c r="M175" s="3">
        <v>6</v>
      </c>
      <c r="N175" s="7"/>
      <c r="O175" s="96">
        <f>MIN($M175,(O176+O180))</f>
        <v>0</v>
      </c>
      <c r="P175" s="96">
        <f>MIN($M175,(P176+P180))</f>
        <v>0</v>
      </c>
      <c r="Q175" s="146" t="s">
        <v>652</v>
      </c>
    </row>
    <row r="176" spans="1:18" s="53" customFormat="1" ht="12.4" customHeight="1">
      <c r="B176" s="740" t="s">
        <v>3060</v>
      </c>
      <c r="C176" s="238" t="s">
        <v>2842</v>
      </c>
      <c r="D176" s="158"/>
      <c r="E176" s="158"/>
      <c r="F176" s="51"/>
      <c r="H176" s="49"/>
      <c r="I176" s="49"/>
      <c r="J176" s="49"/>
      <c r="K176" s="49"/>
      <c r="L176" s="573" t="str">
        <f>IF($O176&lt;=$M176,"","* * Check Score! * *")</f>
        <v/>
      </c>
      <c r="M176" s="3">
        <v>3</v>
      </c>
      <c r="N176" s="83" t="s">
        <v>3060</v>
      </c>
      <c r="O176" s="128">
        <f>IF(O177="One",$M178, IF(O177="Two",$M179,0))</f>
        <v>0</v>
      </c>
      <c r="P176" s="128">
        <f>IF(P177="One",$M178, IF(P177="Two",$M179,0))</f>
        <v>0</v>
      </c>
      <c r="Q176" s="146"/>
    </row>
    <row r="177" spans="1:18" s="53" customFormat="1" ht="24" customHeight="1">
      <c r="B177" s="740"/>
      <c r="C177" s="1055" t="s">
        <v>190</v>
      </c>
      <c r="D177" s="892"/>
      <c r="E177" s="892"/>
      <c r="F177" s="892"/>
      <c r="G177" s="892"/>
      <c r="H177" s="892"/>
      <c r="I177" s="892"/>
      <c r="J177" s="892"/>
      <c r="K177" s="892"/>
      <c r="L177" s="892"/>
      <c r="M177" s="3"/>
      <c r="N177" s="83"/>
      <c r="O177" s="1162"/>
      <c r="P177" s="89"/>
      <c r="Q177" s="146"/>
    </row>
    <row r="178" spans="1:18" s="692" customFormat="1" ht="35.65" customHeight="1">
      <c r="A178" s="691" t="str">
        <f>IF($I$93="HOPE VI Initiative", "X","")</f>
        <v/>
      </c>
      <c r="B178" s="693" t="s">
        <v>3064</v>
      </c>
      <c r="C178" s="1055" t="s">
        <v>189</v>
      </c>
      <c r="D178" s="1055"/>
      <c r="E178" s="1055"/>
      <c r="F178" s="1055"/>
      <c r="G178" s="1055"/>
      <c r="H178" s="1055"/>
      <c r="I178" s="1055"/>
      <c r="J178" s="1055"/>
      <c r="K178" s="1055"/>
      <c r="L178" s="1055"/>
      <c r="M178" s="694">
        <v>3</v>
      </c>
    </row>
    <row r="179" spans="1:18" s="692" customFormat="1" ht="26.65" customHeight="1">
      <c r="A179" s="691" t="str">
        <f>IF($I$93="HOPE VI Initiative", "X","")</f>
        <v/>
      </c>
      <c r="B179" s="693" t="s">
        <v>3066</v>
      </c>
      <c r="C179" s="1055" t="s">
        <v>2902</v>
      </c>
      <c r="D179" s="1055"/>
      <c r="E179" s="1055"/>
      <c r="F179" s="1055"/>
      <c r="G179" s="1055"/>
      <c r="H179" s="1055"/>
      <c r="I179" s="1055"/>
      <c r="J179" s="1055"/>
      <c r="K179" s="1055"/>
      <c r="L179" s="1055"/>
      <c r="M179" s="694">
        <v>1</v>
      </c>
    </row>
    <row r="180" spans="1:18" ht="12.4" customHeight="1">
      <c r="B180" s="740" t="s">
        <v>3063</v>
      </c>
      <c r="C180" s="238" t="s">
        <v>2670</v>
      </c>
      <c r="D180" s="42"/>
      <c r="E180" s="42"/>
      <c r="F180" s="42"/>
      <c r="G180" s="157"/>
      <c r="H180" s="42"/>
      <c r="I180" s="42"/>
      <c r="J180" s="42"/>
      <c r="K180" s="42"/>
      <c r="L180" s="42"/>
      <c r="M180" s="1">
        <v>6</v>
      </c>
      <c r="N180" s="62" t="s">
        <v>3063</v>
      </c>
      <c r="O180" s="128">
        <f>IF((O181+O182+O183)=7,5,MIN($M180,(O181+O182+O183)))</f>
        <v>0</v>
      </c>
      <c r="P180" s="128">
        <f>IF((P181+P182+P183)=7,5,MIN($M180,(P181+P182+P183)))</f>
        <v>0</v>
      </c>
      <c r="R180" s="573" t="str">
        <f>IF(OR($O180=$M180,$O180=0,$O180=""),"","* * Check Score! * *")</f>
        <v/>
      </c>
    </row>
    <row r="181" spans="1:18" s="137" customFormat="1" ht="11.45" customHeight="1">
      <c r="B181" s="252" t="s">
        <v>3064</v>
      </c>
      <c r="C181" s="160" t="s">
        <v>2672</v>
      </c>
      <c r="L181" s="573"/>
      <c r="M181" s="8">
        <v>6</v>
      </c>
      <c r="N181" s="252" t="s">
        <v>3064</v>
      </c>
      <c r="O181" s="1162"/>
      <c r="P181" s="89"/>
    </row>
    <row r="182" spans="1:18" s="137" customFormat="1" ht="11.45" customHeight="1">
      <c r="B182" s="252" t="s">
        <v>3066</v>
      </c>
      <c r="C182" s="160" t="s">
        <v>2673</v>
      </c>
      <c r="L182" s="573" t="str">
        <f>IF(OR($O182=$M182,$O182=0,$O182=""),"","* * Check Score! * *")</f>
        <v/>
      </c>
      <c r="M182" s="8">
        <v>2</v>
      </c>
      <c r="N182" s="252" t="s">
        <v>3066</v>
      </c>
      <c r="O182" s="1162"/>
      <c r="P182" s="89"/>
    </row>
    <row r="183" spans="1:18" s="137" customFormat="1" ht="11.45" customHeight="1">
      <c r="B183" s="252" t="s">
        <v>3822</v>
      </c>
      <c r="C183" s="160" t="s">
        <v>2671</v>
      </c>
      <c r="L183" s="573" t="str">
        <f>IF(OR($O183=$M183,$O183=0,$O183=""),"","* * Check Score! * *")</f>
        <v/>
      </c>
      <c r="M183" s="8">
        <v>2</v>
      </c>
      <c r="N183" s="252" t="s">
        <v>3822</v>
      </c>
      <c r="O183" s="1162"/>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15" customHeight="1">
      <c r="A185" s="1159" t="s">
        <v>4042</v>
      </c>
      <c r="B185" s="1160"/>
      <c r="C185" s="1160"/>
      <c r="D185" s="1160"/>
      <c r="E185" s="1160"/>
      <c r="F185" s="1160"/>
      <c r="G185" s="1160"/>
      <c r="H185" s="1160"/>
      <c r="I185" s="1160"/>
      <c r="J185" s="1160"/>
      <c r="K185" s="1160"/>
      <c r="L185" s="1160"/>
      <c r="M185" s="1160"/>
      <c r="N185" s="1160"/>
      <c r="O185" s="1160"/>
      <c r="P185" s="1161"/>
    </row>
    <row r="186" spans="1:18" s="53" customFormat="1" ht="4.7"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2922</v>
      </c>
      <c r="C187" s="135"/>
      <c r="D187" s="117"/>
      <c r="E187" s="136"/>
      <c r="F187" s="742"/>
      <c r="G187" s="742"/>
      <c r="H187" s="742"/>
      <c r="I187" s="742"/>
      <c r="J187" s="742"/>
      <c r="K187" s="742"/>
      <c r="L187" s="742"/>
      <c r="M187" s="742"/>
      <c r="N187" s="94"/>
      <c r="O187" s="90"/>
      <c r="P187" s="3"/>
    </row>
    <row r="188" spans="1:18" s="53" customFormat="1" ht="25.15" customHeight="1">
      <c r="A188" s="991"/>
      <c r="B188" s="992"/>
      <c r="C188" s="992"/>
      <c r="D188" s="992"/>
      <c r="E188" s="992"/>
      <c r="F188" s="992"/>
      <c r="G188" s="992"/>
      <c r="H188" s="992"/>
      <c r="I188" s="992"/>
      <c r="J188" s="992"/>
      <c r="K188" s="992"/>
      <c r="L188" s="992"/>
      <c r="M188" s="992"/>
      <c r="N188" s="992"/>
      <c r="O188" s="992"/>
      <c r="P188" s="993"/>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4" customHeight="1">
      <c r="A190" s="52"/>
      <c r="B190" s="52"/>
      <c r="C190" s="742"/>
      <c r="D190" s="742"/>
      <c r="E190" s="742"/>
      <c r="F190" s="742"/>
      <c r="G190" s="742"/>
      <c r="H190" s="742"/>
      <c r="I190" s="742"/>
      <c r="J190" s="742"/>
      <c r="K190" s="742"/>
      <c r="L190" s="742"/>
      <c r="M190" s="742"/>
      <c r="N190" s="94"/>
      <c r="O190" s="90"/>
      <c r="P190" s="1"/>
    </row>
    <row r="191" spans="1:18" s="53" customFormat="1" ht="15">
      <c r="A191" s="211" t="s">
        <v>301</v>
      </c>
      <c r="B191" s="151" t="s">
        <v>1037</v>
      </c>
      <c r="C191" s="119"/>
      <c r="D191" s="73"/>
      <c r="E191" s="65"/>
      <c r="J191" s="76" t="s">
        <v>505</v>
      </c>
      <c r="M191" s="3">
        <v>3</v>
      </c>
      <c r="N191" s="7"/>
      <c r="O191" s="96">
        <f>MIN($M191,O193+O192)</f>
        <v>3</v>
      </c>
      <c r="P191" s="96">
        <f>MIN($M191,P193+P192)</f>
        <v>0</v>
      </c>
      <c r="Q191" s="146" t="s">
        <v>652</v>
      </c>
    </row>
    <row r="192" spans="1:18" s="53" customFormat="1" ht="12.4" customHeight="1">
      <c r="A192" s="189" t="s">
        <v>3060</v>
      </c>
      <c r="B192" s="398" t="s">
        <v>923</v>
      </c>
      <c r="D192" s="42"/>
      <c r="E192" s="42"/>
      <c r="F192" s="42"/>
      <c r="L192" s="573" t="str">
        <f>IF(OR($O192=$M192,$O192=0,$O192=""),"","* * Check Score! * *")</f>
        <v/>
      </c>
      <c r="M192" s="7">
        <v>3</v>
      </c>
      <c r="N192" s="62" t="s">
        <v>3060</v>
      </c>
      <c r="O192" s="1162">
        <v>3</v>
      </c>
      <c r="P192" s="89"/>
      <c r="Q192" s="146"/>
      <c r="R192" s="573" t="str">
        <f>IF(OR($O192=$M192,$O192=0,$O192=""),"","* * Check Score! * *")</f>
        <v/>
      </c>
    </row>
    <row r="193" spans="1:18" s="53" customFormat="1" ht="12.4" customHeight="1">
      <c r="A193" s="189" t="s">
        <v>3063</v>
      </c>
      <c r="B193" s="398" t="s">
        <v>2868</v>
      </c>
      <c r="D193" s="50"/>
      <c r="E193" s="50"/>
      <c r="F193" s="40"/>
      <c r="G193" s="139"/>
      <c r="H193" s="139"/>
      <c r="I193" s="139"/>
      <c r="J193" s="139"/>
      <c r="K193" s="139"/>
      <c r="L193" s="573" t="str">
        <f>IF(OR($O193=$M193,$O193=0,$O193=""),"","* * Check Score! * *")</f>
        <v/>
      </c>
      <c r="M193" s="7">
        <v>2</v>
      </c>
      <c r="N193" s="62" t="s">
        <v>3063</v>
      </c>
      <c r="O193" s="1162"/>
      <c r="P193" s="89"/>
      <c r="R193" s="573" t="str">
        <f>IF(OR($O193=$M193,$O193=0,$O193=""),"","* * Check Score! * *")</f>
        <v/>
      </c>
    </row>
    <row r="194" spans="1:18" s="53" customFormat="1" ht="12.4" customHeight="1">
      <c r="A194" s="52"/>
      <c r="B194" s="59" t="s">
        <v>333</v>
      </c>
      <c r="C194" s="52"/>
      <c r="D194" s="58"/>
      <c r="E194" s="58"/>
      <c r="F194" s="58"/>
      <c r="G194" s="58"/>
      <c r="H194" s="46"/>
      <c r="I194" s="46"/>
      <c r="J194" s="46"/>
      <c r="K194" s="46"/>
      <c r="M194" s="56"/>
      <c r="N194" s="77"/>
      <c r="O194" s="4"/>
      <c r="P194" s="33"/>
    </row>
    <row r="195" spans="1:18" s="53" customFormat="1" ht="25.15" customHeight="1">
      <c r="A195" s="1159" t="s">
        <v>4010</v>
      </c>
      <c r="B195" s="1160"/>
      <c r="C195" s="1160"/>
      <c r="D195" s="1160"/>
      <c r="E195" s="1160"/>
      <c r="F195" s="1160"/>
      <c r="G195" s="1160"/>
      <c r="H195" s="1160"/>
      <c r="I195" s="1160"/>
      <c r="J195" s="1160"/>
      <c r="K195" s="1160"/>
      <c r="L195" s="1160"/>
      <c r="M195" s="1160"/>
      <c r="N195" s="1160"/>
      <c r="O195" s="1160"/>
      <c r="P195" s="1161"/>
    </row>
    <row r="196" spans="1:18" s="53" customFormat="1" ht="12.4" customHeight="1">
      <c r="B196" s="117" t="s">
        <v>2922</v>
      </c>
      <c r="C196" s="135"/>
      <c r="D196" s="117"/>
      <c r="E196" s="136"/>
      <c r="F196" s="742"/>
      <c r="G196" s="742"/>
      <c r="H196" s="742"/>
      <c r="I196" s="742"/>
      <c r="J196" s="742"/>
      <c r="K196" s="742"/>
      <c r="L196" s="742"/>
      <c r="M196" s="742"/>
      <c r="N196" s="94"/>
      <c r="O196" s="90"/>
      <c r="P196" s="3"/>
    </row>
    <row r="197" spans="1:18" s="53" customFormat="1" ht="25.15" customHeight="1">
      <c r="A197" s="998"/>
      <c r="B197" s="999"/>
      <c r="C197" s="999"/>
      <c r="D197" s="999"/>
      <c r="E197" s="999"/>
      <c r="F197" s="999"/>
      <c r="G197" s="999"/>
      <c r="H197" s="999"/>
      <c r="I197" s="999"/>
      <c r="J197" s="999"/>
      <c r="K197" s="999"/>
      <c r="L197" s="999"/>
      <c r="M197" s="999"/>
      <c r="N197" s="999"/>
      <c r="O197" s="999"/>
      <c r="P197" s="1000"/>
    </row>
    <row r="198" spans="1:18" s="53" customFormat="1" ht="7.15" customHeight="1">
      <c r="A198" s="52"/>
      <c r="B198" s="52"/>
      <c r="C198" s="742"/>
      <c r="D198" s="742"/>
      <c r="E198" s="742"/>
      <c r="F198" s="742"/>
      <c r="G198" s="742"/>
      <c r="H198" s="742"/>
      <c r="I198" s="742"/>
      <c r="J198" s="742"/>
      <c r="K198" s="742"/>
      <c r="L198" s="742"/>
      <c r="M198" s="742"/>
      <c r="N198" s="94"/>
      <c r="O198" s="90"/>
      <c r="P198" s="1"/>
    </row>
    <row r="199" spans="1:18" s="53" customFormat="1" ht="15">
      <c r="A199" s="211" t="s">
        <v>2113</v>
      </c>
      <c r="B199" s="151" t="s">
        <v>2674</v>
      </c>
      <c r="C199" s="119"/>
      <c r="D199" s="73"/>
      <c r="E199" s="65"/>
      <c r="J199" s="76" t="s">
        <v>505</v>
      </c>
      <c r="M199" s="3">
        <v>2</v>
      </c>
      <c r="N199" s="7"/>
      <c r="O199" s="96">
        <f>MIN($M199,O201+O200)</f>
        <v>2</v>
      </c>
      <c r="P199" s="96">
        <f>MIN($M199,P201+P200)</f>
        <v>0</v>
      </c>
      <c r="Q199" s="146" t="s">
        <v>652</v>
      </c>
    </row>
    <row r="200" spans="1:18" s="53" customFormat="1" ht="12.4" customHeight="1">
      <c r="A200" s="189" t="s">
        <v>3060</v>
      </c>
      <c r="B200" s="147" t="s">
        <v>2675</v>
      </c>
      <c r="D200" s="42"/>
      <c r="E200" s="42"/>
      <c r="F200" s="42"/>
      <c r="L200" s="573" t="str">
        <f>IF(OR($O200=$M200,$O200=0,$O200=""),"","* * Check Score! * *")</f>
        <v/>
      </c>
      <c r="M200" s="7">
        <v>2</v>
      </c>
      <c r="N200" s="62" t="s">
        <v>3060</v>
      </c>
      <c r="O200" s="1162">
        <v>2</v>
      </c>
      <c r="P200" s="89"/>
      <c r="Q200" s="146"/>
      <c r="R200" s="573" t="str">
        <f>IF(OR($O200=$M200,$O200=0,$O200=""),"","* * Check Score! * *")</f>
        <v/>
      </c>
    </row>
    <row r="201" spans="1:18" s="53" customFormat="1" ht="12.4" customHeight="1">
      <c r="A201" s="189" t="s">
        <v>3063</v>
      </c>
      <c r="B201" s="147" t="s">
        <v>2676</v>
      </c>
      <c r="D201" s="50"/>
      <c r="E201" s="50"/>
      <c r="F201" s="40"/>
      <c r="G201" s="139"/>
      <c r="H201" s="139"/>
      <c r="I201" s="139"/>
      <c r="J201" s="139"/>
      <c r="K201" s="139"/>
      <c r="L201" s="46"/>
      <c r="M201" s="7">
        <v>1</v>
      </c>
      <c r="N201" s="62" t="s">
        <v>3063</v>
      </c>
      <c r="O201" s="1162"/>
      <c r="P201" s="89"/>
      <c r="R201" s="573" t="str">
        <f>IF(OR($O201=$M201,$O201=0,$O201=""),"","* * Check Score! * *")</f>
        <v/>
      </c>
    </row>
    <row r="202" spans="1:18" s="53" customFormat="1" ht="12.4" customHeight="1">
      <c r="A202" s="52"/>
      <c r="B202" s="59" t="s">
        <v>333</v>
      </c>
      <c r="C202" s="52"/>
      <c r="D202" s="58"/>
      <c r="E202" s="58"/>
      <c r="F202" s="58"/>
      <c r="G202" s="58"/>
      <c r="H202" s="46"/>
      <c r="I202" s="46"/>
      <c r="J202" s="46"/>
      <c r="K202" s="46"/>
      <c r="M202" s="56"/>
      <c r="N202" s="77"/>
      <c r="O202" s="4"/>
      <c r="P202" s="33"/>
    </row>
    <row r="203" spans="1:18" s="53" customFormat="1" ht="25.15" customHeight="1">
      <c r="A203" s="1159" t="s">
        <v>4011</v>
      </c>
      <c r="B203" s="1160"/>
      <c r="C203" s="1160"/>
      <c r="D203" s="1160"/>
      <c r="E203" s="1160"/>
      <c r="F203" s="1160"/>
      <c r="G203" s="1160"/>
      <c r="H203" s="1160"/>
      <c r="I203" s="1160"/>
      <c r="J203" s="1160"/>
      <c r="K203" s="1160"/>
      <c r="L203" s="1160"/>
      <c r="M203" s="1160"/>
      <c r="N203" s="1160"/>
      <c r="O203" s="1160"/>
      <c r="P203" s="1161"/>
    </row>
    <row r="204" spans="1:18" s="53" customFormat="1" ht="12.4" customHeight="1">
      <c r="B204" s="117" t="s">
        <v>2922</v>
      </c>
      <c r="C204" s="135"/>
      <c r="D204" s="117"/>
      <c r="E204" s="136"/>
      <c r="F204" s="742"/>
      <c r="G204" s="742"/>
      <c r="H204" s="742"/>
      <c r="I204" s="742"/>
      <c r="J204" s="742"/>
      <c r="K204" s="742"/>
      <c r="L204" s="742"/>
      <c r="M204" s="742"/>
      <c r="N204" s="94"/>
      <c r="O204" s="90"/>
      <c r="P204" s="3"/>
    </row>
    <row r="205" spans="1:18" s="53" customFormat="1" ht="25.15" customHeight="1">
      <c r="A205" s="998"/>
      <c r="B205" s="999"/>
      <c r="C205" s="999"/>
      <c r="D205" s="999"/>
      <c r="E205" s="999"/>
      <c r="F205" s="999"/>
      <c r="G205" s="999"/>
      <c r="H205" s="999"/>
      <c r="I205" s="999"/>
      <c r="J205" s="999"/>
      <c r="K205" s="999"/>
      <c r="L205" s="999"/>
      <c r="M205" s="999"/>
      <c r="N205" s="999"/>
      <c r="O205" s="999"/>
      <c r="P205" s="1000"/>
    </row>
    <row r="206" spans="1:18" ht="6.6" customHeight="1"/>
    <row r="207" spans="1:18" s="78" customFormat="1" ht="12.6" customHeight="1">
      <c r="A207" s="210" t="s">
        <v>2677</v>
      </c>
      <c r="B207" s="142" t="s">
        <v>1038</v>
      </c>
      <c r="G207" s="158"/>
      <c r="H207" s="158"/>
      <c r="I207" s="158"/>
      <c r="J207" s="263" t="s">
        <v>3642</v>
      </c>
      <c r="K207" s="158"/>
      <c r="L207" s="573" t="str">
        <f>IF(OR($O207=$M207,$O207=0,$O207=2,$O207=""),"","* * Check Score! * *")</f>
        <v/>
      </c>
      <c r="M207" s="3">
        <v>3</v>
      </c>
      <c r="N207" s="7"/>
      <c r="O207" s="81">
        <f>IF(OR(AND(J209=2,M209=3),AND(J209="",M209=3)),3,IF(AND(J209=3,M209=2),2,0))</f>
        <v>3</v>
      </c>
      <c r="P207" s="89"/>
      <c r="Q207" s="146" t="s">
        <v>652</v>
      </c>
      <c r="R207" s="31"/>
    </row>
    <row r="208" spans="1:18" s="78" customFormat="1" ht="25.15" customHeight="1">
      <c r="A208" s="210"/>
      <c r="B208" s="1058" t="s">
        <v>1572</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952</v>
      </c>
      <c r="D209" s="1199" t="s">
        <v>3962</v>
      </c>
      <c r="E209" s="1200"/>
      <c r="F209" s="1200"/>
      <c r="G209" s="1201"/>
      <c r="I209" s="702" t="s">
        <v>1573</v>
      </c>
      <c r="J209" s="1166"/>
      <c r="L209" s="702" t="s">
        <v>1574</v>
      </c>
      <c r="M209" s="1166">
        <v>3</v>
      </c>
      <c r="N209" s="64"/>
      <c r="O209" s="64"/>
      <c r="P209" s="64"/>
      <c r="Q209" s="701"/>
      <c r="R209" s="700"/>
    </row>
    <row r="210" spans="1:18" s="53" customFormat="1" ht="13.9" customHeight="1">
      <c r="A210" s="52"/>
      <c r="B210" s="59" t="s">
        <v>333</v>
      </c>
      <c r="C210" s="52"/>
      <c r="D210" s="58"/>
      <c r="E210" s="58"/>
      <c r="F210" s="58"/>
      <c r="G210" s="58"/>
      <c r="H210" s="46"/>
      <c r="I210" s="46"/>
      <c r="J210" s="117" t="s">
        <v>2922</v>
      </c>
      <c r="M210" s="56"/>
      <c r="N210" s="77"/>
      <c r="O210" s="4"/>
      <c r="P210" s="33"/>
    </row>
    <row r="211" spans="1:18" s="53" customFormat="1" ht="25.15" customHeight="1">
      <c r="A211" s="1159" t="s">
        <v>4045</v>
      </c>
      <c r="B211" s="1160"/>
      <c r="C211" s="1160"/>
      <c r="D211" s="1160"/>
      <c r="E211" s="1160"/>
      <c r="F211" s="1160"/>
      <c r="G211" s="1160"/>
      <c r="H211" s="1160"/>
      <c r="I211" s="1161"/>
      <c r="J211" s="998"/>
      <c r="K211" s="999"/>
      <c r="L211" s="999"/>
      <c r="M211" s="999"/>
      <c r="N211" s="999"/>
      <c r="O211" s="999"/>
      <c r="P211" s="1000"/>
    </row>
    <row r="212" spans="1:18" s="53" customFormat="1" ht="7.15" customHeight="1">
      <c r="A212" s="52"/>
      <c r="C212" s="742"/>
      <c r="D212" s="742"/>
      <c r="E212" s="742"/>
      <c r="F212" s="742"/>
      <c r="G212" s="742"/>
      <c r="H212" s="742"/>
      <c r="I212" s="742"/>
      <c r="J212" s="742"/>
      <c r="K212" s="742"/>
      <c r="L212" s="742"/>
      <c r="M212" s="742"/>
      <c r="N212" s="94"/>
      <c r="O212" s="90"/>
      <c r="P212" s="1"/>
    </row>
    <row r="213" spans="1:18" s="53" customFormat="1" ht="15">
      <c r="A213" s="210" t="s">
        <v>2679</v>
      </c>
      <c r="B213" s="152" t="s">
        <v>2678</v>
      </c>
      <c r="D213" s="120"/>
      <c r="E213" s="120"/>
      <c r="F213" s="65"/>
      <c r="G213" s="65"/>
      <c r="H213" s="65"/>
      <c r="I213" s="65"/>
      <c r="J213" s="67"/>
      <c r="K213" s="75"/>
      <c r="L213" s="573" t="str">
        <f>IF(OR($O213=$M213,$O213=0,$O213=""),"","* * Check Score! * *")</f>
        <v/>
      </c>
      <c r="M213" s="1">
        <v>1</v>
      </c>
      <c r="N213" s="62"/>
      <c r="O213" s="1162">
        <v>0</v>
      </c>
      <c r="P213" s="89"/>
      <c r="Q213" s="146" t="s">
        <v>652</v>
      </c>
    </row>
    <row r="214" spans="1:18" s="53" customFormat="1" ht="12.6" customHeight="1">
      <c r="A214" s="52"/>
      <c r="B214" s="153" t="s">
        <v>2893</v>
      </c>
      <c r="D214" s="139"/>
      <c r="E214" s="1202" t="s">
        <v>2814</v>
      </c>
      <c r="F214" s="1203"/>
      <c r="G214" s="1204"/>
      <c r="H214" s="1205"/>
      <c r="I214" s="64" t="s">
        <v>2892</v>
      </c>
      <c r="O214" s="161" t="s">
        <v>3794</v>
      </c>
      <c r="P214" s="161" t="s">
        <v>3794</v>
      </c>
    </row>
    <row r="215" spans="1:18" s="137" customFormat="1" ht="11.45" customHeight="1">
      <c r="B215" s="566" t="s">
        <v>3681</v>
      </c>
      <c r="C215" s="160" t="s">
        <v>2680</v>
      </c>
      <c r="D215" s="160"/>
      <c r="E215" s="160"/>
      <c r="F215" s="160"/>
      <c r="G215" s="1206" t="s">
        <v>3808</v>
      </c>
      <c r="H215" s="1207"/>
      <c r="I215" s="1208"/>
      <c r="J215" s="1206" t="s">
        <v>1838</v>
      </c>
      <c r="K215" s="1207"/>
      <c r="L215" s="1208"/>
      <c r="N215" s="566" t="s">
        <v>3681</v>
      </c>
      <c r="O215" s="1166"/>
      <c r="P215" s="234"/>
    </row>
    <row r="216" spans="1:18" s="137" customFormat="1" ht="11.45" customHeight="1">
      <c r="B216" s="566" t="s">
        <v>3682</v>
      </c>
      <c r="C216" s="160" t="s">
        <v>506</v>
      </c>
      <c r="D216" s="160"/>
      <c r="E216" s="160"/>
      <c r="F216" s="160"/>
      <c r="G216" s="160"/>
      <c r="L216" s="160"/>
      <c r="M216" s="160"/>
      <c r="N216" s="566" t="s">
        <v>3682</v>
      </c>
      <c r="O216" s="1166"/>
      <c r="P216" s="234"/>
    </row>
    <row r="217" spans="1:18" s="137" customFormat="1" ht="11.45" customHeight="1">
      <c r="B217" s="566" t="s">
        <v>3683</v>
      </c>
      <c r="C217" s="160" t="s">
        <v>2625</v>
      </c>
      <c r="D217" s="160"/>
      <c r="E217" s="160"/>
      <c r="F217" s="160"/>
      <c r="G217" s="160"/>
      <c r="H217" s="160"/>
      <c r="L217" s="160"/>
      <c r="M217" s="160"/>
      <c r="N217" s="566" t="s">
        <v>3683</v>
      </c>
      <c r="O217" s="1166"/>
      <c r="P217" s="234"/>
    </row>
    <row r="218" spans="1:18" s="137" customFormat="1" ht="11.45" customHeight="1">
      <c r="B218" s="566" t="s">
        <v>3684</v>
      </c>
      <c r="C218" s="160" t="s">
        <v>3491</v>
      </c>
      <c r="D218" s="160"/>
      <c r="E218" s="160"/>
      <c r="F218" s="160"/>
      <c r="G218" s="160"/>
      <c r="H218" s="160"/>
      <c r="I218" s="160"/>
      <c r="J218" s="160"/>
      <c r="K218" s="160"/>
      <c r="L218" s="160"/>
      <c r="M218" s="160"/>
      <c r="N218" s="566" t="s">
        <v>3684</v>
      </c>
      <c r="O218" s="1166"/>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15.75" customHeight="1">
      <c r="A221" s="1152" t="s">
        <v>4046</v>
      </c>
      <c r="B221" s="1153"/>
      <c r="C221" s="1153"/>
      <c r="D221" s="1153"/>
      <c r="E221" s="1153"/>
      <c r="F221" s="1153"/>
      <c r="G221" s="1153"/>
      <c r="H221" s="1153"/>
      <c r="I221" s="1153"/>
      <c r="J221" s="1153"/>
      <c r="K221" s="1153"/>
      <c r="L221" s="1153"/>
      <c r="M221" s="1153"/>
      <c r="N221" s="1153"/>
      <c r="O221" s="1153"/>
      <c r="P221" s="1154"/>
    </row>
    <row r="222" spans="1:18" s="53" customFormat="1" ht="4.7"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2922</v>
      </c>
      <c r="C223" s="135"/>
      <c r="D223" s="117"/>
      <c r="E223" s="136"/>
      <c r="F223" s="742"/>
      <c r="G223" s="742"/>
      <c r="H223" s="742"/>
      <c r="I223" s="742"/>
      <c r="J223" s="742"/>
      <c r="K223" s="742"/>
      <c r="L223" s="742"/>
      <c r="M223" s="742"/>
      <c r="N223" s="94"/>
      <c r="O223" s="90"/>
      <c r="P223" s="3"/>
    </row>
    <row r="224" spans="1:18" s="53" customFormat="1" ht="25.15" customHeight="1">
      <c r="A224" s="991"/>
      <c r="B224" s="992"/>
      <c r="C224" s="992"/>
      <c r="D224" s="992"/>
      <c r="E224" s="992"/>
      <c r="F224" s="992"/>
      <c r="G224" s="992"/>
      <c r="H224" s="992"/>
      <c r="I224" s="992"/>
      <c r="J224" s="992"/>
      <c r="K224" s="992"/>
      <c r="L224" s="992"/>
      <c r="M224" s="992"/>
      <c r="N224" s="992"/>
      <c r="O224" s="992"/>
      <c r="P224" s="993"/>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2681</v>
      </c>
      <c r="B227" s="152" t="s">
        <v>2894</v>
      </c>
      <c r="D227" s="120"/>
      <c r="E227" s="120"/>
      <c r="F227" s="65"/>
      <c r="G227" s="65"/>
      <c r="H227" s="65"/>
      <c r="I227" s="65"/>
      <c r="J227" s="67"/>
      <c r="K227" s="75"/>
      <c r="L227" s="71" t="str">
        <f>IF(M227&gt;14,"Over limit!","")</f>
        <v/>
      </c>
      <c r="M227" s="4">
        <v>8</v>
      </c>
      <c r="N227" s="7"/>
      <c r="O227" s="81">
        <f>MIN($M227,(O235+O245+O247))</f>
        <v>3</v>
      </c>
      <c r="P227" s="81">
        <f>MIN($M227,(P235+P245+P247))</f>
        <v>0</v>
      </c>
      <c r="Q227" s="146" t="s">
        <v>652</v>
      </c>
    </row>
    <row r="228" spans="1:18" s="53" customFormat="1" ht="12.75" customHeight="1">
      <c r="A228" s="52"/>
      <c r="B228" s="153" t="s">
        <v>869</v>
      </c>
      <c r="E228" s="120"/>
      <c r="F228" s="65"/>
      <c r="G228" s="65"/>
      <c r="H228" s="65"/>
      <c r="I228" s="65"/>
      <c r="J228" s="67"/>
      <c r="K228" s="75"/>
      <c r="L228" s="71" t="str">
        <f>IF(M228&gt;14,"Over limit!","")</f>
        <v/>
      </c>
      <c r="O228" s="161" t="s">
        <v>3794</v>
      </c>
      <c r="P228" s="161" t="s">
        <v>3794</v>
      </c>
    </row>
    <row r="229" spans="1:18" s="137" customFormat="1" ht="12.4" customHeight="1">
      <c r="B229" s="252" t="s">
        <v>3064</v>
      </c>
      <c r="C229" s="137" t="s">
        <v>870</v>
      </c>
      <c r="E229" s="120"/>
      <c r="F229" s="65"/>
      <c r="G229" s="65"/>
      <c r="H229" s="65"/>
      <c r="I229" s="65"/>
      <c r="J229" s="67"/>
      <c r="K229" s="75"/>
      <c r="L229" s="71" t="str">
        <f>IF(M229&gt;14,"Over limit!","")</f>
        <v/>
      </c>
      <c r="N229" s="252" t="s">
        <v>3064</v>
      </c>
      <c r="O229" s="1166"/>
      <c r="P229" s="234"/>
    </row>
    <row r="230" spans="1:18" s="137" customFormat="1" ht="12.4" customHeight="1">
      <c r="B230" s="252" t="s">
        <v>3066</v>
      </c>
      <c r="C230" s="137" t="s">
        <v>871</v>
      </c>
      <c r="N230" s="252" t="s">
        <v>3066</v>
      </c>
      <c r="O230" s="1166"/>
      <c r="P230" s="234"/>
    </row>
    <row r="231" spans="1:18" s="137" customFormat="1" ht="12.4" customHeight="1">
      <c r="B231" s="252" t="s">
        <v>3822</v>
      </c>
      <c r="C231" s="137" t="s">
        <v>872</v>
      </c>
      <c r="N231" s="252" t="s">
        <v>3822</v>
      </c>
      <c r="O231" s="1166"/>
      <c r="P231" s="234"/>
    </row>
    <row r="232" spans="1:18" s="137" customFormat="1" ht="12.4" customHeight="1">
      <c r="B232" s="252" t="s">
        <v>1886</v>
      </c>
      <c r="C232" s="137" t="s">
        <v>873</v>
      </c>
      <c r="N232" s="252" t="s">
        <v>1886</v>
      </c>
      <c r="O232" s="1166"/>
      <c r="P232" s="234"/>
    </row>
    <row r="233" spans="1:18" s="137" customFormat="1" ht="12.4" customHeight="1">
      <c r="B233" s="252" t="s">
        <v>1887</v>
      </c>
      <c r="C233" s="137" t="s">
        <v>885</v>
      </c>
      <c r="N233" s="252" t="s">
        <v>1887</v>
      </c>
      <c r="O233" s="116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3060</v>
      </c>
      <c r="B235" s="258" t="s">
        <v>2895</v>
      </c>
      <c r="D235" s="50"/>
      <c r="E235" s="50"/>
      <c r="F235" s="42"/>
      <c r="G235" s="139"/>
      <c r="H235" s="139"/>
      <c r="I235" s="139"/>
      <c r="J235" s="50"/>
      <c r="K235" s="139"/>
      <c r="L235" s="42"/>
      <c r="M235" s="1">
        <v>3</v>
      </c>
      <c r="N235" s="62" t="s">
        <v>3060</v>
      </c>
      <c r="O235" s="205">
        <f>MIN($M235,SUM(O236:O243))</f>
        <v>0</v>
      </c>
      <c r="P235" s="205">
        <f>MIN($M235,SUM(P236:P243))</f>
        <v>0</v>
      </c>
    </row>
    <row r="236" spans="1:18" s="53" customFormat="1" ht="12.4" customHeight="1">
      <c r="A236" s="253"/>
      <c r="B236" s="252" t="s">
        <v>3064</v>
      </c>
      <c r="C236" s="46" t="s">
        <v>2217</v>
      </c>
      <c r="H236" s="68" t="s">
        <v>2218</v>
      </c>
      <c r="K236" s="255"/>
      <c r="L236" s="573" t="str">
        <f t="shared" ref="L236:L243" si="1">IF(OR($O236=$M236,$O236=0,$O236=""),"","* * Check Score! * *")</f>
        <v/>
      </c>
      <c r="M236" s="7">
        <v>1</v>
      </c>
      <c r="N236" s="252" t="s">
        <v>3064</v>
      </c>
      <c r="O236" s="1166"/>
      <c r="P236" s="89"/>
      <c r="R236" s="573" t="str">
        <f>IF(OR($O236=$M236,$O236=0,$O236=""),"","* * Check Score! * *")</f>
        <v/>
      </c>
    </row>
    <row r="237" spans="1:18" ht="12.4" customHeight="1">
      <c r="A237" s="254"/>
      <c r="B237" s="252" t="s">
        <v>3066</v>
      </c>
      <c r="C237" s="46" t="s">
        <v>2221</v>
      </c>
      <c r="H237" s="68" t="s">
        <v>2218</v>
      </c>
      <c r="L237" s="573" t="str">
        <f t="shared" si="1"/>
        <v/>
      </c>
      <c r="M237" s="7">
        <v>1</v>
      </c>
      <c r="N237" s="252" t="s">
        <v>3066</v>
      </c>
      <c r="O237" s="1166"/>
      <c r="P237" s="89"/>
      <c r="R237" s="573" t="str">
        <f t="shared" ref="R237:R243" si="2">IF(OR($O237=$M237,$O237=0,$O237=""),"","* * Check Score! * *")</f>
        <v/>
      </c>
    </row>
    <row r="238" spans="1:18" ht="12.4" customHeight="1">
      <c r="B238" s="252" t="s">
        <v>3822</v>
      </c>
      <c r="C238" s="46" t="s">
        <v>2225</v>
      </c>
      <c r="H238" s="68" t="s">
        <v>2218</v>
      </c>
      <c r="L238" s="573" t="str">
        <f>IF(OR($O238=$M238,$O238=0,$O238=""),"","* * Check Score! * *")</f>
        <v/>
      </c>
      <c r="M238" s="7">
        <v>1</v>
      </c>
      <c r="N238" s="252" t="s">
        <v>3822</v>
      </c>
      <c r="O238" s="1166"/>
      <c r="P238" s="89"/>
      <c r="R238" s="573" t="str">
        <f>IF(OR($O238=$M238,$O238=0,$O238=""),"","* * Check Score! * *")</f>
        <v/>
      </c>
    </row>
    <row r="239" spans="1:18" ht="12.4" customHeight="1">
      <c r="A239" s="254"/>
      <c r="B239" s="252" t="s">
        <v>1886</v>
      </c>
      <c r="C239" s="46" t="s">
        <v>874</v>
      </c>
      <c r="L239" s="573" t="str">
        <f t="shared" si="1"/>
        <v/>
      </c>
      <c r="M239" s="7">
        <v>1</v>
      </c>
      <c r="N239" s="252" t="s">
        <v>1886</v>
      </c>
      <c r="O239" s="1166"/>
      <c r="P239" s="89"/>
      <c r="R239" s="573" t="str">
        <f t="shared" si="2"/>
        <v/>
      </c>
    </row>
    <row r="240" spans="1:18" s="53" customFormat="1" ht="12.4" customHeight="1">
      <c r="A240" s="253"/>
      <c r="B240" s="252" t="s">
        <v>1887</v>
      </c>
      <c r="C240" s="46" t="s">
        <v>2222</v>
      </c>
      <c r="H240" s="68" t="s">
        <v>2219</v>
      </c>
      <c r="K240" s="255"/>
      <c r="L240" s="573" t="str">
        <f t="shared" si="1"/>
        <v/>
      </c>
      <c r="M240" s="7">
        <v>2</v>
      </c>
      <c r="N240" s="252" t="s">
        <v>1887</v>
      </c>
      <c r="O240" s="1166"/>
      <c r="P240" s="89"/>
      <c r="R240" s="573" t="str">
        <f t="shared" si="2"/>
        <v/>
      </c>
    </row>
    <row r="241" spans="1:18" ht="12.4" customHeight="1">
      <c r="A241" s="254"/>
      <c r="B241" s="252" t="s">
        <v>2943</v>
      </c>
      <c r="C241" s="46" t="s">
        <v>2223</v>
      </c>
      <c r="H241" s="68" t="s">
        <v>2219</v>
      </c>
      <c r="L241" s="573" t="str">
        <f t="shared" si="1"/>
        <v/>
      </c>
      <c r="M241" s="7">
        <v>2</v>
      </c>
      <c r="N241" s="252" t="s">
        <v>2943</v>
      </c>
      <c r="O241" s="1166"/>
      <c r="P241" s="89"/>
      <c r="R241" s="573" t="str">
        <f t="shared" si="2"/>
        <v/>
      </c>
    </row>
    <row r="242" spans="1:18" ht="12.4" customHeight="1">
      <c r="A242" s="254"/>
      <c r="B242" s="252" t="s">
        <v>744</v>
      </c>
      <c r="C242" s="46" t="s">
        <v>2224</v>
      </c>
      <c r="H242" s="68" t="s">
        <v>2219</v>
      </c>
      <c r="L242" s="573" t="str">
        <f t="shared" si="1"/>
        <v/>
      </c>
      <c r="M242" s="7">
        <v>2</v>
      </c>
      <c r="N242" s="252" t="s">
        <v>744</v>
      </c>
      <c r="O242" s="1166"/>
      <c r="P242" s="89"/>
      <c r="R242" s="573" t="str">
        <f t="shared" si="2"/>
        <v/>
      </c>
    </row>
    <row r="243" spans="1:18" ht="12.4" customHeight="1">
      <c r="A243" s="254"/>
      <c r="B243" s="252" t="s">
        <v>745</v>
      </c>
      <c r="C243" s="46" t="s">
        <v>2226</v>
      </c>
      <c r="H243" s="68" t="s">
        <v>2220</v>
      </c>
      <c r="L243" s="573" t="str">
        <f t="shared" si="1"/>
        <v/>
      </c>
      <c r="M243" s="7">
        <v>3</v>
      </c>
      <c r="N243" s="252" t="s">
        <v>745</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3063</v>
      </c>
      <c r="B245" s="258" t="s">
        <v>2896</v>
      </c>
      <c r="D245" s="49"/>
      <c r="E245" s="46"/>
      <c r="F245" s="1"/>
      <c r="G245" s="1"/>
      <c r="H245" s="46" t="s">
        <v>2897</v>
      </c>
      <c r="I245" s="1"/>
      <c r="J245" s="40"/>
      <c r="K245" s="40"/>
      <c r="L245" s="40"/>
      <c r="M245" s="3">
        <v>3</v>
      </c>
      <c r="N245" s="62" t="s">
        <v>3063</v>
      </c>
      <c r="O245" s="1166">
        <v>3</v>
      </c>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1239</v>
      </c>
      <c r="B247" s="258" t="s">
        <v>983</v>
      </c>
      <c r="D247" s="49"/>
      <c r="E247" s="46"/>
      <c r="F247" s="1"/>
      <c r="G247" s="1"/>
      <c r="H247" s="1"/>
      <c r="I247" s="1"/>
      <c r="J247" s="40"/>
      <c r="K247" s="40"/>
      <c r="L247" s="573" t="str">
        <f>IF(OR($O247=$M247,$O247=0,$O247=""),"","* * Check Score! * *")</f>
        <v/>
      </c>
      <c r="M247" s="1">
        <v>2</v>
      </c>
      <c r="N247" s="62" t="s">
        <v>1239</v>
      </c>
      <c r="O247" s="1166"/>
      <c r="P247" s="89"/>
      <c r="R247" s="573" t="str">
        <f>IF(OR($O247=$M247,$O247=0,$O247=""),"","* * Check Score! * *")</f>
        <v/>
      </c>
    </row>
    <row r="248" spans="1:18" s="53" customFormat="1" ht="12.6" customHeight="1">
      <c r="A248" s="253"/>
      <c r="B248" s="252" t="s">
        <v>3064</v>
      </c>
      <c r="C248" s="46" t="s">
        <v>984</v>
      </c>
      <c r="E248" s="1209"/>
      <c r="F248" s="1210"/>
      <c r="G248" s="1210"/>
      <c r="H248" s="1211"/>
      <c r="K248" s="255"/>
      <c r="M248" s="7"/>
      <c r="N248" s="7"/>
      <c r="O248" s="7"/>
      <c r="P248" s="7"/>
    </row>
    <row r="249" spans="1:18" ht="33" customHeight="1">
      <c r="A249" s="254"/>
      <c r="B249" s="596" t="s">
        <v>3066</v>
      </c>
      <c r="C249" s="597" t="s">
        <v>3561</v>
      </c>
      <c r="D249" s="598"/>
      <c r="E249" s="1212"/>
      <c r="F249" s="1213"/>
      <c r="G249" s="1213"/>
      <c r="H249" s="1213"/>
      <c r="I249" s="1213"/>
      <c r="J249" s="1213"/>
      <c r="K249" s="1213"/>
      <c r="L249" s="1213"/>
      <c r="M249" s="1213"/>
      <c r="N249" s="1213"/>
      <c r="O249" s="1213"/>
      <c r="P249" s="1214"/>
    </row>
    <row r="250" spans="1:18" ht="12.6" customHeight="1">
      <c r="B250" s="252" t="s">
        <v>3822</v>
      </c>
      <c r="C250" s="46" t="s">
        <v>985</v>
      </c>
      <c r="E250" s="1215"/>
      <c r="F250" s="1216"/>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12.75" customHeight="1">
      <c r="A253" s="1152" t="s">
        <v>4047</v>
      </c>
      <c r="B253" s="1153"/>
      <c r="C253" s="1153"/>
      <c r="D253" s="1153"/>
      <c r="E253" s="1153"/>
      <c r="F253" s="1153"/>
      <c r="G253" s="1153"/>
      <c r="H253" s="1153"/>
      <c r="I253" s="1153"/>
      <c r="J253" s="1153"/>
      <c r="K253" s="1153"/>
      <c r="L253" s="1153"/>
      <c r="M253" s="1153"/>
      <c r="N253" s="1153"/>
      <c r="O253" s="1153"/>
      <c r="P253" s="1154"/>
    </row>
    <row r="254" spans="1:18" s="53" customFormat="1" ht="0.7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2922</v>
      </c>
      <c r="C255" s="135"/>
      <c r="D255" s="133"/>
      <c r="E255" s="261"/>
      <c r="F255" s="739"/>
      <c r="G255" s="739"/>
      <c r="H255" s="739"/>
      <c r="I255" s="739"/>
      <c r="J255" s="739"/>
      <c r="K255" s="739"/>
      <c r="L255" s="739"/>
      <c r="M255" s="739"/>
      <c r="N255" s="127"/>
      <c r="O255" s="259"/>
      <c r="P255" s="3"/>
    </row>
    <row r="256" spans="1:18" s="53" customFormat="1" ht="23.45" customHeight="1">
      <c r="A256" s="991"/>
      <c r="B256" s="992"/>
      <c r="C256" s="992"/>
      <c r="D256" s="992"/>
      <c r="E256" s="992"/>
      <c r="F256" s="992"/>
      <c r="G256" s="992"/>
      <c r="H256" s="992"/>
      <c r="I256" s="992"/>
      <c r="J256" s="992"/>
      <c r="K256" s="992"/>
      <c r="L256" s="992"/>
      <c r="M256" s="992"/>
      <c r="N256" s="992"/>
      <c r="O256" s="992"/>
      <c r="P256" s="993"/>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2682</v>
      </c>
      <c r="B259" s="142" t="s">
        <v>2683</v>
      </c>
      <c r="C259" s="83"/>
      <c r="E259" s="51"/>
      <c r="G259" s="46"/>
      <c r="H259" s="46"/>
      <c r="I259" s="49"/>
      <c r="J259" s="58"/>
      <c r="K259" s="58"/>
      <c r="L259" s="573" t="str">
        <f>IF(OR($O259=$M259,$O259=0,$O259=""),"","* * Check Score! * *")</f>
        <v/>
      </c>
      <c r="M259" s="3">
        <v>6</v>
      </c>
      <c r="N259" s="139"/>
      <c r="O259" s="56"/>
      <c r="P259" s="89"/>
      <c r="Q259" s="146" t="s">
        <v>652</v>
      </c>
      <c r="R259" s="573" t="str">
        <f>IF(OR($O259=$M259,$O259=0,$O259=""),"","* * Check Score! * *")</f>
        <v/>
      </c>
    </row>
    <row r="260" spans="1:18" s="53" customFormat="1" ht="12.4" customHeight="1">
      <c r="A260" s="52"/>
      <c r="B260" s="68" t="s">
        <v>3517</v>
      </c>
      <c r="C260" s="52"/>
      <c r="D260" s="58"/>
      <c r="E260" s="58"/>
      <c r="F260" s="58"/>
      <c r="G260" s="58"/>
      <c r="H260" s="46"/>
      <c r="I260" s="46"/>
      <c r="J260" s="46"/>
      <c r="K260" s="46"/>
      <c r="M260" s="56"/>
      <c r="N260" s="77"/>
      <c r="O260" s="1166" t="s">
        <v>3919</v>
      </c>
      <c r="P260" s="234"/>
    </row>
    <row r="261" spans="1:18" s="53" customFormat="1" ht="24.6" customHeight="1">
      <c r="A261" s="52"/>
      <c r="B261" s="1056" t="s">
        <v>3917</v>
      </c>
      <c r="C261" s="1057"/>
      <c r="D261" s="1057"/>
      <c r="E261" s="1057"/>
      <c r="F261" s="1057"/>
      <c r="G261" s="1057"/>
      <c r="H261" s="1057"/>
      <c r="I261" s="1057"/>
      <c r="J261" s="1057"/>
      <c r="K261" s="1057"/>
      <c r="L261" s="1057"/>
      <c r="M261" s="56"/>
      <c r="N261" s="77"/>
      <c r="O261" s="1166" t="s">
        <v>3919</v>
      </c>
      <c r="P261" s="234"/>
    </row>
    <row r="262" spans="1:18" s="53" customFormat="1" ht="12.4" customHeight="1">
      <c r="A262" s="52"/>
      <c r="B262" s="59" t="s">
        <v>333</v>
      </c>
      <c r="C262" s="52"/>
      <c r="D262" s="58"/>
      <c r="E262" s="58"/>
      <c r="F262" s="58"/>
      <c r="G262" s="58"/>
      <c r="H262" s="46"/>
      <c r="I262" s="46"/>
      <c r="J262" s="46"/>
      <c r="K262" s="46"/>
      <c r="M262" s="56"/>
      <c r="N262" s="77"/>
      <c r="O262" s="4"/>
      <c r="P262" s="33"/>
    </row>
    <row r="263" spans="1:18" s="53" customFormat="1" ht="12.4" customHeight="1">
      <c r="A263" s="1152" t="s">
        <v>4048</v>
      </c>
      <c r="B263" s="1153"/>
      <c r="C263" s="1153"/>
      <c r="D263" s="1153"/>
      <c r="E263" s="1153"/>
      <c r="F263" s="1153"/>
      <c r="G263" s="1153"/>
      <c r="H263" s="1153"/>
      <c r="I263" s="1153"/>
      <c r="J263" s="1153"/>
      <c r="K263" s="1153"/>
      <c r="L263" s="1153"/>
      <c r="M263" s="1153"/>
      <c r="N263" s="1153"/>
      <c r="O263" s="1153"/>
      <c r="P263" s="1154"/>
    </row>
    <row r="264" spans="1:18" s="53" customFormat="1" ht="6"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4" customHeight="1">
      <c r="A265" s="52"/>
      <c r="B265" s="133" t="s">
        <v>2922</v>
      </c>
      <c r="C265" s="135"/>
      <c r="D265" s="133"/>
      <c r="E265" s="261"/>
      <c r="F265" s="739"/>
      <c r="G265" s="739"/>
      <c r="H265" s="739"/>
      <c r="I265" s="739"/>
      <c r="J265" s="739"/>
      <c r="K265" s="739"/>
      <c r="L265" s="739"/>
      <c r="M265" s="739"/>
      <c r="N265" s="127"/>
      <c r="O265" s="259"/>
      <c r="P265" s="3"/>
    </row>
    <row r="266" spans="1:18" s="53" customFormat="1" ht="23.45" customHeight="1">
      <c r="A266" s="1073"/>
      <c r="B266" s="1074"/>
      <c r="C266" s="1074"/>
      <c r="D266" s="1074"/>
      <c r="E266" s="1074"/>
      <c r="F266" s="1074"/>
      <c r="G266" s="1074"/>
      <c r="H266" s="1074"/>
      <c r="I266" s="1074"/>
      <c r="J266" s="1074"/>
      <c r="K266" s="1074"/>
      <c r="L266" s="1074"/>
      <c r="M266" s="1074"/>
      <c r="N266" s="1074"/>
      <c r="O266" s="1074"/>
      <c r="P266" s="1075"/>
    </row>
    <row r="267" spans="1:18" s="53" customFormat="1" ht="23.45" customHeight="1">
      <c r="A267" s="1011"/>
      <c r="B267" s="1012"/>
      <c r="C267" s="1012"/>
      <c r="D267" s="1012"/>
      <c r="E267" s="1012"/>
      <c r="F267" s="1012"/>
      <c r="G267" s="1012"/>
      <c r="H267" s="1012"/>
      <c r="I267" s="1012"/>
      <c r="J267" s="1012"/>
      <c r="K267" s="1012"/>
      <c r="L267" s="1012"/>
      <c r="M267" s="1012"/>
      <c r="N267" s="1012"/>
      <c r="O267" s="1012"/>
      <c r="P267" s="1013"/>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2"/>
      <c r="D269" s="742"/>
      <c r="E269" s="742"/>
      <c r="F269" s="742"/>
      <c r="G269" s="742"/>
      <c r="H269" s="742"/>
      <c r="I269" s="742"/>
      <c r="J269" s="742"/>
      <c r="K269" s="742"/>
      <c r="L269" s="742"/>
      <c r="M269" s="742"/>
      <c r="N269" s="94"/>
      <c r="O269" s="90"/>
      <c r="P269" s="1"/>
    </row>
    <row r="270" spans="1:18" s="53" customFormat="1" ht="15">
      <c r="A270" s="211" t="s">
        <v>2684</v>
      </c>
      <c r="B270" s="151" t="s">
        <v>2686</v>
      </c>
      <c r="C270" s="119"/>
      <c r="D270" s="73"/>
      <c r="E270" s="65"/>
      <c r="J270" s="76"/>
      <c r="M270" s="3">
        <v>6</v>
      </c>
      <c r="N270" s="7"/>
      <c r="O270" s="96">
        <f>MIN($M270,O272+O271)</f>
        <v>6</v>
      </c>
      <c r="P270" s="96">
        <f>MIN($M270,P272+P271)</f>
        <v>0</v>
      </c>
      <c r="Q270" s="146" t="s">
        <v>652</v>
      </c>
    </row>
    <row r="271" spans="1:18" s="53" customFormat="1" ht="12.4" customHeight="1">
      <c r="A271" s="189" t="s">
        <v>3060</v>
      </c>
      <c r="B271" s="147" t="s">
        <v>2688</v>
      </c>
      <c r="D271" s="42"/>
      <c r="E271" s="42"/>
      <c r="F271" s="42"/>
      <c r="L271" s="573" t="str">
        <f>IF(OR($O271=$M271,$O271=0,$O271=""),"","* * Check Score! * *")</f>
        <v/>
      </c>
      <c r="M271" s="7">
        <v>3</v>
      </c>
      <c r="N271" s="62" t="s">
        <v>3060</v>
      </c>
      <c r="O271" s="1162">
        <v>3</v>
      </c>
      <c r="P271" s="89"/>
      <c r="Q271" s="146"/>
      <c r="R271" s="573" t="str">
        <f>IF(OR($O271=$M271,$O271=0,$O271=""),"","* * Check Score! * *")</f>
        <v/>
      </c>
    </row>
    <row r="272" spans="1:18" s="53" customFormat="1" ht="12.4" customHeight="1">
      <c r="A272" s="189" t="s">
        <v>3063</v>
      </c>
      <c r="B272" s="147" t="s">
        <v>2689</v>
      </c>
      <c r="D272" s="50"/>
      <c r="E272" s="50"/>
      <c r="F272" s="40"/>
      <c r="G272" s="139"/>
      <c r="H272" s="139"/>
      <c r="I272" s="139"/>
      <c r="J272" s="139"/>
      <c r="K272" s="139"/>
      <c r="L272" s="46"/>
      <c r="M272" s="7">
        <v>3</v>
      </c>
      <c r="N272" s="62" t="s">
        <v>3063</v>
      </c>
      <c r="O272" s="1162">
        <v>3</v>
      </c>
      <c r="P272" s="89"/>
      <c r="R272" s="573" t="str">
        <f>IF(OR($O272=$M272,$O272=0,$O272=""),"","* * Check Score! * *")</f>
        <v/>
      </c>
    </row>
    <row r="273" spans="1:18" s="53" customFormat="1" ht="22.9" customHeight="1">
      <c r="A273" s="189"/>
      <c r="B273" s="1054" t="s">
        <v>3519</v>
      </c>
      <c r="C273" s="1051"/>
      <c r="D273" s="1051"/>
      <c r="E273" s="1051"/>
      <c r="F273" s="1051"/>
      <c r="G273" s="1051"/>
      <c r="H273" s="1051"/>
      <c r="I273" s="1051"/>
      <c r="J273" s="1051"/>
      <c r="K273" s="1051"/>
      <c r="L273" s="1051"/>
      <c r="M273" s="1051"/>
      <c r="N273" s="62"/>
      <c r="O273" s="1166" t="s">
        <v>3942</v>
      </c>
      <c r="P273" s="234"/>
      <c r="R273" s="573"/>
    </row>
    <row r="274" spans="1:18" s="53" customFormat="1" ht="12.4" customHeight="1">
      <c r="A274" s="52"/>
      <c r="B274" s="59" t="s">
        <v>333</v>
      </c>
      <c r="C274" s="52"/>
      <c r="D274" s="58"/>
      <c r="E274" s="58"/>
      <c r="F274" s="58"/>
      <c r="G274" s="58"/>
      <c r="H274" s="46"/>
      <c r="I274" s="46"/>
      <c r="J274" s="46"/>
      <c r="K274" s="46"/>
      <c r="M274" s="56"/>
      <c r="N274" s="77"/>
      <c r="O274" s="4"/>
      <c r="P274" s="33"/>
    </row>
    <row r="275" spans="1:18" s="53" customFormat="1" ht="44.45" customHeight="1">
      <c r="A275" s="1159" t="s">
        <v>4064</v>
      </c>
      <c r="B275" s="1160"/>
      <c r="C275" s="1160"/>
      <c r="D275" s="1160"/>
      <c r="E275" s="1160"/>
      <c r="F275" s="1160"/>
      <c r="G275" s="1160"/>
      <c r="H275" s="1160"/>
      <c r="I275" s="1160"/>
      <c r="J275" s="1160"/>
      <c r="K275" s="1160"/>
      <c r="L275" s="1160"/>
      <c r="M275" s="1160"/>
      <c r="N275" s="1160"/>
      <c r="O275" s="1160"/>
      <c r="P275" s="1161"/>
    </row>
    <row r="276" spans="1:18" s="53" customFormat="1" ht="12.4" customHeight="1">
      <c r="B276" s="117" t="s">
        <v>2922</v>
      </c>
      <c r="C276" s="135"/>
      <c r="D276" s="117"/>
      <c r="E276" s="136"/>
      <c r="F276" s="742"/>
      <c r="G276" s="742"/>
      <c r="H276" s="742"/>
      <c r="I276" s="742"/>
      <c r="J276" s="742"/>
      <c r="K276" s="742"/>
      <c r="L276" s="742"/>
      <c r="M276" s="742"/>
      <c r="N276" s="94"/>
      <c r="O276" s="90"/>
      <c r="P276" s="3"/>
    </row>
    <row r="277" spans="1:18" s="53" customFormat="1" ht="12.4" customHeight="1">
      <c r="A277" s="998"/>
      <c r="B277" s="999"/>
      <c r="C277" s="999"/>
      <c r="D277" s="999"/>
      <c r="E277" s="999"/>
      <c r="F277" s="999"/>
      <c r="G277" s="999"/>
      <c r="H277" s="999"/>
      <c r="I277" s="999"/>
      <c r="J277" s="999"/>
      <c r="K277" s="999"/>
      <c r="L277" s="999"/>
      <c r="M277" s="999"/>
      <c r="N277" s="999"/>
      <c r="O277" s="999"/>
      <c r="P277" s="1000"/>
    </row>
    <row r="278" spans="1:18" s="53" customFormat="1" ht="12.4" customHeight="1">
      <c r="A278" s="52"/>
      <c r="C278" s="742"/>
      <c r="D278" s="742"/>
      <c r="E278" s="742"/>
      <c r="F278" s="742"/>
      <c r="G278" s="742"/>
      <c r="H278" s="742"/>
      <c r="I278" s="742"/>
      <c r="J278" s="742"/>
      <c r="K278" s="742"/>
      <c r="L278" s="742"/>
      <c r="M278" s="742"/>
      <c r="N278" s="94"/>
      <c r="O278" s="90"/>
      <c r="P278" s="1"/>
    </row>
    <row r="279" spans="1:18" s="139" customFormat="1" ht="11.25" customHeight="1">
      <c r="A279" s="210" t="s">
        <v>2685</v>
      </c>
      <c r="B279" s="142" t="s">
        <v>2687</v>
      </c>
      <c r="D279" s="55"/>
      <c r="E279" s="55"/>
      <c r="F279" s="49"/>
      <c r="G279" s="46"/>
      <c r="H279" s="46"/>
      <c r="I279" s="46"/>
      <c r="J279" s="46"/>
      <c r="K279" s="46"/>
      <c r="L279" s="573" t="str">
        <f>IF(OR($O279=$M279,$O279&lt;=0,$O279=""),"","* * Check Score! * *")</f>
        <v/>
      </c>
      <c r="M279" s="3">
        <v>10</v>
      </c>
      <c r="N279" s="7"/>
      <c r="O279" s="81">
        <f>O283</f>
        <v>10</v>
      </c>
      <c r="P279" s="81">
        <f>P283</f>
        <v>0</v>
      </c>
      <c r="Q279" s="146" t="s">
        <v>652</v>
      </c>
    </row>
    <row r="280" spans="1:18" s="45" customFormat="1" ht="3.4" customHeight="1">
      <c r="M280" s="52"/>
      <c r="N280" s="52"/>
      <c r="O280" s="52"/>
      <c r="P280" s="52"/>
    </row>
    <row r="281" spans="1:18" s="45" customFormat="1" ht="11.45" customHeight="1">
      <c r="B281" s="195" t="s">
        <v>3836</v>
      </c>
      <c r="M281" s="52"/>
      <c r="N281" s="52"/>
      <c r="O281" s="1166" t="s">
        <v>3919</v>
      </c>
      <c r="P281" s="234"/>
    </row>
    <row r="282" spans="1:18" s="45" customFormat="1" ht="3.4" customHeight="1">
      <c r="M282" s="52"/>
      <c r="N282" s="52"/>
      <c r="O282" s="52"/>
      <c r="P282" s="52"/>
    </row>
    <row r="283" spans="1:18" ht="12.6" customHeight="1">
      <c r="B283" s="258" t="s">
        <v>3060</v>
      </c>
      <c r="C283" s="256" t="s">
        <v>2161</v>
      </c>
      <c r="D283" s="42"/>
      <c r="E283" s="42"/>
      <c r="F283" s="42"/>
      <c r="G283" s="42"/>
      <c r="H283" s="42"/>
      <c r="I283" s="42"/>
      <c r="J283" s="42"/>
      <c r="K283" s="42"/>
      <c r="L283" s="42"/>
      <c r="M283" s="156"/>
      <c r="N283" s="62" t="s">
        <v>3060</v>
      </c>
      <c r="O283" s="1217">
        <v>10</v>
      </c>
      <c r="P283" s="595"/>
    </row>
    <row r="284" spans="1:18" s="53" customFormat="1" ht="3.4" customHeight="1">
      <c r="A284" s="130"/>
      <c r="B284" s="262"/>
      <c r="C284" s="140"/>
      <c r="D284" s="72"/>
      <c r="E284" s="72"/>
      <c r="F284" s="79"/>
      <c r="G284" s="79"/>
      <c r="H284" s="79"/>
      <c r="I284" s="79"/>
      <c r="J284" s="65"/>
      <c r="K284" s="65"/>
      <c r="L284" s="67"/>
      <c r="N284" s="82"/>
    </row>
    <row r="285" spans="1:18" ht="12.6" customHeight="1">
      <c r="B285" s="258" t="s">
        <v>3063</v>
      </c>
      <c r="C285" s="256" t="s">
        <v>347</v>
      </c>
      <c r="D285" s="42"/>
      <c r="E285" s="42"/>
      <c r="F285" s="42"/>
      <c r="G285" s="50"/>
      <c r="H285" s="50"/>
      <c r="I285" s="50"/>
      <c r="J285" s="50"/>
      <c r="K285" s="50"/>
      <c r="M285" s="139"/>
      <c r="N285" s="62" t="s">
        <v>3063</v>
      </c>
      <c r="O285" s="1166" t="s">
        <v>3963</v>
      </c>
      <c r="P285" s="234"/>
    </row>
    <row r="286" spans="1:18" s="53" customFormat="1" ht="3.4"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13.7" customHeight="1">
      <c r="A288" s="1152" t="s">
        <v>4049</v>
      </c>
      <c r="B288" s="1153"/>
      <c r="C288" s="1153"/>
      <c r="D288" s="1153"/>
      <c r="E288" s="1153"/>
      <c r="F288" s="1153"/>
      <c r="G288" s="1153"/>
      <c r="H288" s="1153"/>
      <c r="I288" s="1153"/>
      <c r="J288" s="1153"/>
      <c r="K288" s="1153"/>
      <c r="L288" s="1153"/>
      <c r="M288" s="1153"/>
      <c r="N288" s="1153"/>
      <c r="O288" s="1153"/>
      <c r="P288" s="1154"/>
      <c r="Q288" s="1029" t="s">
        <v>1933</v>
      </c>
      <c r="R288" s="1029"/>
    </row>
    <row r="289" spans="1:19" s="67" customFormat="1" ht="6"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2922</v>
      </c>
      <c r="C290" s="60"/>
      <c r="D290" s="84"/>
      <c r="E290" s="739"/>
      <c r="F290" s="739"/>
      <c r="G290" s="739"/>
      <c r="H290" s="739"/>
      <c r="I290" s="739"/>
      <c r="J290" s="739"/>
      <c r="K290" s="739"/>
      <c r="L290" s="739"/>
      <c r="M290" s="739"/>
      <c r="N290" s="127"/>
      <c r="O290" s="259"/>
      <c r="P290" s="3"/>
    </row>
    <row r="291" spans="1:19" s="53" customFormat="1" ht="23.45" customHeight="1">
      <c r="A291" s="991"/>
      <c r="B291" s="992"/>
      <c r="C291" s="992"/>
      <c r="D291" s="992"/>
      <c r="E291" s="992"/>
      <c r="F291" s="992"/>
      <c r="G291" s="992"/>
      <c r="H291" s="992"/>
      <c r="I291" s="992"/>
      <c r="J291" s="992"/>
      <c r="K291" s="992"/>
      <c r="L291" s="992"/>
      <c r="M291" s="992"/>
      <c r="N291" s="992"/>
      <c r="O291" s="992"/>
      <c r="P291" s="993"/>
      <c r="Q291" s="1029" t="s">
        <v>1933</v>
      </c>
      <c r="R291" s="1029"/>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4" customHeight="1" thickBot="1">
      <c r="A293" s="60"/>
      <c r="B293" s="60"/>
      <c r="C293" s="742"/>
      <c r="D293" s="742"/>
      <c r="E293" s="742"/>
      <c r="F293" s="742"/>
      <c r="G293" s="742"/>
      <c r="H293" s="742"/>
      <c r="I293" s="742"/>
      <c r="J293" s="742"/>
      <c r="K293" s="742"/>
      <c r="L293" s="742"/>
      <c r="M293" s="742"/>
      <c r="N293" s="94"/>
      <c r="O293" s="90"/>
      <c r="P293" s="31"/>
    </row>
    <row r="294" spans="1:19" s="52" customFormat="1" ht="18.75" customHeight="1" thickBot="1">
      <c r="A294" s="67"/>
      <c r="B294" s="85"/>
      <c r="C294" s="60"/>
      <c r="D294" s="45"/>
      <c r="E294" s="45"/>
      <c r="F294" s="67"/>
      <c r="G294" s="53"/>
      <c r="H294" s="212" t="s">
        <v>543</v>
      </c>
      <c r="I294" s="213"/>
      <c r="J294" s="213"/>
      <c r="K294" s="213"/>
      <c r="L294" s="139"/>
      <c r="M294" s="214">
        <f>M6</f>
        <v>90</v>
      </c>
      <c r="N294" s="215"/>
      <c r="O294" s="216">
        <f>O8+O31+O38+O55+O64+O74+O82+O93+O132+O146+O166+O175+O191+O199+O207+O213+O227+O270+O279</f>
        <v>62</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2635</v>
      </c>
      <c r="D300" s="113"/>
      <c r="E300" s="113"/>
      <c r="F300" s="113"/>
      <c r="G300" s="113"/>
      <c r="H300" s="113"/>
      <c r="I300" s="113"/>
      <c r="J300" s="113" t="s">
        <v>1629</v>
      </c>
      <c r="K300" s="209"/>
      <c r="L300" s="166"/>
      <c r="M300" s="155"/>
      <c r="Q300" s="155"/>
      <c r="R300" s="155"/>
      <c r="S300" s="155"/>
    </row>
    <row r="301" spans="1:19">
      <c r="A301" s="155"/>
      <c r="B301" s="155"/>
      <c r="C301" s="166" t="s">
        <v>3185</v>
      </c>
      <c r="D301" s="166"/>
      <c r="E301" s="166"/>
      <c r="F301" s="166"/>
      <c r="G301" s="166"/>
      <c r="H301" s="166"/>
      <c r="I301" s="166"/>
      <c r="J301" s="166" t="s">
        <v>2801</v>
      </c>
      <c r="K301" s="166"/>
      <c r="L301" s="166"/>
      <c r="M301" s="155"/>
      <c r="Q301" s="155"/>
      <c r="R301" s="155"/>
      <c r="S301" s="155"/>
    </row>
    <row r="302" spans="1:19" ht="15">
      <c r="A302" s="155"/>
      <c r="B302" s="155"/>
      <c r="C302" s="113" t="s">
        <v>3842</v>
      </c>
      <c r="D302" s="113"/>
      <c r="E302" s="113"/>
      <c r="F302" s="113"/>
      <c r="G302" s="113"/>
      <c r="H302" s="113"/>
      <c r="I302" s="113"/>
      <c r="J302" s="358" t="s">
        <v>294</v>
      </c>
      <c r="K302" s="209"/>
      <c r="L302" s="166"/>
      <c r="M302" s="250"/>
      <c r="N302" s="251"/>
      <c r="Q302" s="155"/>
      <c r="R302" s="155"/>
      <c r="S302" s="155"/>
    </row>
    <row r="303" spans="1:19" ht="15">
      <c r="A303" s="155"/>
      <c r="B303" s="155"/>
      <c r="C303" s="113" t="s">
        <v>3186</v>
      </c>
      <c r="D303" s="113"/>
      <c r="E303" s="113"/>
      <c r="F303" s="113"/>
      <c r="G303" s="113"/>
      <c r="H303" s="113"/>
      <c r="I303" s="113"/>
      <c r="J303" s="358" t="s">
        <v>2637</v>
      </c>
      <c r="K303" s="209"/>
      <c r="L303" s="166"/>
      <c r="M303" s="250"/>
      <c r="N303" s="251"/>
      <c r="Q303" s="155"/>
      <c r="R303" s="155"/>
      <c r="S303" s="155"/>
    </row>
    <row r="304" spans="1:19" ht="15">
      <c r="A304" s="155"/>
      <c r="B304" s="155"/>
      <c r="C304" s="113" t="s">
        <v>3187</v>
      </c>
      <c r="D304" s="113"/>
      <c r="E304" s="113"/>
      <c r="F304" s="113"/>
      <c r="G304" s="113"/>
      <c r="H304" s="113"/>
      <c r="I304" s="113"/>
      <c r="J304" s="358" t="s">
        <v>2638</v>
      </c>
      <c r="K304" s="209"/>
      <c r="L304" s="166"/>
      <c r="M304" s="250"/>
      <c r="N304" s="251"/>
      <c r="Q304" s="155"/>
      <c r="R304" s="155"/>
      <c r="S304" s="155"/>
    </row>
    <row r="305" spans="1:19" ht="15">
      <c r="A305" s="155"/>
      <c r="B305" s="155"/>
      <c r="C305" s="359" t="s">
        <v>3188</v>
      </c>
      <c r="D305" s="113"/>
      <c r="E305" s="113"/>
      <c r="F305" s="113"/>
      <c r="G305" s="113"/>
      <c r="H305" s="113"/>
      <c r="I305" s="113"/>
      <c r="J305" s="358" t="s">
        <v>3784</v>
      </c>
      <c r="K305" s="209"/>
      <c r="L305" s="166"/>
      <c r="M305" s="250"/>
      <c r="N305" s="251"/>
      <c r="Q305" s="155"/>
      <c r="R305" s="155"/>
      <c r="S305" s="155"/>
    </row>
    <row r="306" spans="1:19" ht="15">
      <c r="A306" s="155"/>
      <c r="B306" s="155"/>
      <c r="C306" s="359" t="s">
        <v>3189</v>
      </c>
      <c r="D306" s="113"/>
      <c r="E306" s="113"/>
      <c r="F306" s="113"/>
      <c r="G306" s="113"/>
      <c r="H306" s="113"/>
      <c r="I306" s="113"/>
      <c r="J306" s="358" t="s">
        <v>2639</v>
      </c>
      <c r="K306" s="209"/>
      <c r="L306" s="166"/>
      <c r="M306" s="250"/>
      <c r="N306" s="251"/>
      <c r="Q306" s="155"/>
      <c r="R306" s="155"/>
      <c r="S306" s="155"/>
    </row>
    <row r="307" spans="1:19" ht="15">
      <c r="A307" s="155"/>
      <c r="B307" s="155"/>
      <c r="C307" s="359"/>
      <c r="D307" s="113"/>
      <c r="E307" s="113"/>
      <c r="F307" s="113"/>
      <c r="G307" s="113"/>
      <c r="H307" s="113"/>
      <c r="I307" s="113"/>
      <c r="J307" s="358" t="s">
        <v>2640</v>
      </c>
      <c r="K307" s="209"/>
      <c r="L307" s="166"/>
      <c r="M307" s="250"/>
      <c r="N307" s="251"/>
      <c r="Q307" s="155"/>
      <c r="R307" s="155"/>
      <c r="S307" s="155"/>
    </row>
    <row r="308" spans="1:19" ht="15">
      <c r="A308" s="155"/>
      <c r="B308" s="155"/>
      <c r="C308" s="166" t="s">
        <v>2801</v>
      </c>
      <c r="D308" s="113"/>
      <c r="E308" s="113"/>
      <c r="F308" s="113"/>
      <c r="G308" s="113"/>
      <c r="H308" s="113"/>
      <c r="I308" s="113"/>
      <c r="J308" s="358" t="s">
        <v>2641</v>
      </c>
      <c r="K308" s="209"/>
      <c r="L308" s="166"/>
      <c r="M308" s="250"/>
      <c r="N308" s="251"/>
      <c r="Q308" s="155"/>
      <c r="R308" s="155"/>
      <c r="S308" s="155"/>
    </row>
    <row r="309" spans="1:19" ht="15">
      <c r="A309" s="155"/>
      <c r="B309" s="155"/>
      <c r="C309" s="360" t="s">
        <v>2099</v>
      </c>
      <c r="D309" s="113"/>
      <c r="E309" s="113"/>
      <c r="F309" s="113"/>
      <c r="G309" s="113"/>
      <c r="H309" s="113"/>
      <c r="I309" s="113"/>
      <c r="J309" s="358" t="s">
        <v>2642</v>
      </c>
      <c r="K309" s="209"/>
      <c r="L309" s="166"/>
      <c r="M309" s="250"/>
      <c r="N309" s="251"/>
      <c r="Q309" s="155"/>
      <c r="R309" s="155"/>
      <c r="S309" s="155"/>
    </row>
    <row r="310" spans="1:19" ht="15">
      <c r="A310" s="155"/>
      <c r="B310" s="155"/>
      <c r="C310" s="360" t="s">
        <v>2100</v>
      </c>
      <c r="D310" s="113"/>
      <c r="E310" s="113"/>
      <c r="F310" s="113"/>
      <c r="G310" s="113"/>
      <c r="H310" s="113"/>
      <c r="I310" s="113"/>
      <c r="J310" s="358" t="s">
        <v>2643</v>
      </c>
      <c r="K310" s="209"/>
      <c r="L310" s="166"/>
      <c r="M310" s="250"/>
      <c r="N310" s="251"/>
      <c r="Q310" s="155"/>
      <c r="R310" s="155"/>
      <c r="S310" s="155"/>
    </row>
    <row r="311" spans="1:19" ht="15">
      <c r="A311" s="155"/>
      <c r="B311" s="155"/>
      <c r="C311" s="361" t="s">
        <v>3230</v>
      </c>
      <c r="D311" s="113"/>
      <c r="E311" s="113"/>
      <c r="F311" s="113"/>
      <c r="G311" s="113"/>
      <c r="H311" s="113"/>
      <c r="I311" s="113"/>
      <c r="J311" s="358" t="s">
        <v>2644</v>
      </c>
      <c r="K311" s="209"/>
      <c r="L311" s="166"/>
      <c r="M311" s="250"/>
      <c r="N311" s="251"/>
      <c r="Q311" s="155"/>
      <c r="R311" s="155"/>
      <c r="S311" s="155"/>
    </row>
    <row r="312" spans="1:19" ht="15">
      <c r="A312" s="155"/>
      <c r="B312" s="155"/>
      <c r="C312" s="361" t="s">
        <v>2096</v>
      </c>
      <c r="D312" s="113"/>
      <c r="E312" s="113"/>
      <c r="F312" s="113"/>
      <c r="G312" s="113"/>
      <c r="H312" s="113"/>
      <c r="I312" s="113"/>
      <c r="J312" s="358" t="s">
        <v>907</v>
      </c>
      <c r="K312" s="209"/>
      <c r="L312" s="166"/>
      <c r="M312" s="250"/>
      <c r="N312" s="251"/>
      <c r="Q312" s="155"/>
      <c r="R312" s="155"/>
      <c r="S312" s="155"/>
    </row>
    <row r="313" spans="1:19" ht="15">
      <c r="A313" s="155"/>
      <c r="B313" s="155"/>
      <c r="C313" s="361" t="s">
        <v>2097</v>
      </c>
      <c r="D313" s="113"/>
      <c r="E313" s="113"/>
      <c r="F313" s="113"/>
      <c r="G313" s="113"/>
      <c r="H313" s="113"/>
      <c r="I313" s="113"/>
      <c r="J313" s="358" t="s">
        <v>2645</v>
      </c>
      <c r="K313" s="209"/>
      <c r="L313" s="166"/>
      <c r="M313" s="250"/>
      <c r="N313" s="251"/>
      <c r="Q313" s="155"/>
      <c r="R313" s="155"/>
      <c r="S313" s="155"/>
    </row>
    <row r="314" spans="1:19" ht="15">
      <c r="A314" s="155"/>
      <c r="B314" s="155"/>
      <c r="C314" s="360" t="s">
        <v>3225</v>
      </c>
      <c r="D314" s="113"/>
      <c r="E314" s="113"/>
      <c r="F314" s="113"/>
      <c r="G314" s="113"/>
      <c r="H314" s="113"/>
      <c r="I314" s="113"/>
      <c r="J314" s="358" t="s">
        <v>2646</v>
      </c>
      <c r="K314" s="209"/>
      <c r="L314" s="166"/>
      <c r="M314" s="250"/>
      <c r="N314" s="251"/>
      <c r="Q314" s="155"/>
      <c r="R314" s="155"/>
      <c r="S314" s="155"/>
    </row>
    <row r="315" spans="1:19" ht="15">
      <c r="A315" s="155"/>
      <c r="B315" s="155"/>
      <c r="C315" s="360" t="s">
        <v>3226</v>
      </c>
      <c r="D315" s="113"/>
      <c r="E315" s="113"/>
      <c r="F315" s="113"/>
      <c r="G315" s="113"/>
      <c r="H315" s="113"/>
      <c r="I315" s="113"/>
      <c r="J315" s="358" t="s">
        <v>2647</v>
      </c>
      <c r="K315" s="166"/>
      <c r="L315" s="166"/>
      <c r="M315" s="250"/>
      <c r="N315" s="251"/>
      <c r="Q315" s="155"/>
      <c r="R315" s="155"/>
      <c r="S315" s="155"/>
    </row>
    <row r="316" spans="1:19" ht="15">
      <c r="A316" s="155"/>
      <c r="B316" s="155"/>
      <c r="C316" s="360" t="s">
        <v>3227</v>
      </c>
      <c r="D316" s="166"/>
      <c r="E316" s="166"/>
      <c r="F316" s="166"/>
      <c r="G316" s="166"/>
      <c r="H316" s="166"/>
      <c r="I316" s="166"/>
      <c r="J316" s="358" t="s">
        <v>41</v>
      </c>
      <c r="K316" s="166"/>
      <c r="L316" s="166"/>
      <c r="M316" s="250"/>
      <c r="N316" s="251"/>
      <c r="Q316" s="155"/>
      <c r="R316" s="155"/>
      <c r="S316" s="155"/>
    </row>
    <row r="317" spans="1:19" ht="15">
      <c r="A317" s="155"/>
      <c r="B317" s="155"/>
      <c r="C317" s="360" t="s">
        <v>3228</v>
      </c>
      <c r="D317" s="166"/>
      <c r="E317" s="166"/>
      <c r="F317" s="166"/>
      <c r="G317" s="166"/>
      <c r="H317" s="166"/>
      <c r="I317" s="166"/>
      <c r="J317" s="362"/>
      <c r="K317" s="166"/>
      <c r="L317" s="166"/>
      <c r="M317" s="250"/>
      <c r="N317" s="251"/>
      <c r="Q317" s="155"/>
      <c r="R317" s="155"/>
      <c r="S317" s="155"/>
    </row>
    <row r="318" spans="1:19">
      <c r="A318" s="155"/>
      <c r="B318" s="155"/>
      <c r="C318" s="360" t="s">
        <v>3229</v>
      </c>
      <c r="D318" s="166"/>
      <c r="E318" s="166"/>
      <c r="F318" s="166"/>
      <c r="G318" s="166"/>
      <c r="H318" s="166"/>
      <c r="I318" s="166"/>
      <c r="J318" s="166"/>
      <c r="K318" s="166"/>
      <c r="L318" s="166"/>
      <c r="M318" s="155"/>
      <c r="Q318" s="155"/>
      <c r="R318" s="155"/>
      <c r="S318" s="155"/>
    </row>
    <row r="319" spans="1:19">
      <c r="A319" s="155"/>
      <c r="B319" s="155"/>
      <c r="C319" s="360" t="s">
        <v>2098</v>
      </c>
      <c r="D319" s="166"/>
      <c r="E319" s="166"/>
      <c r="F319" s="166"/>
      <c r="G319" s="166"/>
      <c r="H319" s="166"/>
      <c r="I319" s="166"/>
      <c r="J319" s="166"/>
      <c r="K319" s="166"/>
      <c r="L319" s="166"/>
      <c r="M319" s="155"/>
      <c r="Q319" s="155"/>
      <c r="R319" s="155"/>
      <c r="S319" s="155"/>
    </row>
    <row r="320" spans="1:19">
      <c r="A320" s="155"/>
      <c r="B320" s="155"/>
      <c r="C320" s="360" t="s">
        <v>3415</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2249</v>
      </c>
      <c r="H323" s="672" t="s">
        <v>2250</v>
      </c>
      <c r="I323" s="672" t="s">
        <v>2251</v>
      </c>
      <c r="J323" s="166"/>
      <c r="K323" s="166"/>
      <c r="L323" s="166"/>
      <c r="M323" s="250"/>
      <c r="N323" s="251"/>
    </row>
    <row r="324" spans="1:19" ht="38.25">
      <c r="A324" s="155"/>
      <c r="B324" s="155"/>
      <c r="C324" s="166"/>
      <c r="D324" s="166"/>
      <c r="E324" s="166"/>
      <c r="F324" s="166"/>
      <c r="G324" s="673" t="s">
        <v>3808</v>
      </c>
      <c r="H324" s="673" t="s">
        <v>3809</v>
      </c>
      <c r="I324" s="673" t="s">
        <v>1838</v>
      </c>
      <c r="J324" s="166"/>
      <c r="K324" s="166"/>
      <c r="L324" s="166"/>
      <c r="M324" s="250"/>
      <c r="N324" s="251"/>
    </row>
    <row r="325" spans="1:19" ht="25.5">
      <c r="A325" s="155"/>
      <c r="B325" s="155"/>
      <c r="C325" s="166"/>
      <c r="D325" s="166"/>
      <c r="E325" s="166"/>
      <c r="F325" s="166"/>
      <c r="G325" s="673" t="s">
        <v>2546</v>
      </c>
      <c r="H325" s="674" t="s">
        <v>1622</v>
      </c>
      <c r="I325" s="674" t="s">
        <v>2019</v>
      </c>
      <c r="J325" s="166"/>
      <c r="K325" s="166"/>
      <c r="L325" s="166"/>
      <c r="M325" s="250"/>
      <c r="N325" s="251"/>
    </row>
    <row r="326" spans="1:19">
      <c r="A326" s="155"/>
      <c r="B326" s="155"/>
      <c r="C326" s="166"/>
      <c r="D326" s="166"/>
      <c r="E326" s="166"/>
      <c r="F326" s="166"/>
      <c r="G326" s="673" t="s">
        <v>3167</v>
      </c>
      <c r="H326" s="674" t="s">
        <v>2034</v>
      </c>
      <c r="I326" s="674" t="s">
        <v>2031</v>
      </c>
      <c r="J326" s="166"/>
      <c r="K326" s="166"/>
      <c r="L326" s="166"/>
      <c r="M326" s="250"/>
      <c r="N326" s="251"/>
    </row>
    <row r="327" spans="1:19">
      <c r="A327" s="155"/>
      <c r="B327" s="155"/>
      <c r="C327" s="166"/>
      <c r="D327" s="166"/>
      <c r="E327" s="166"/>
      <c r="F327" s="166"/>
      <c r="G327" s="673" t="s">
        <v>2547</v>
      </c>
      <c r="H327" s="674" t="s">
        <v>3829</v>
      </c>
      <c r="I327" s="674" t="s">
        <v>2034</v>
      </c>
      <c r="J327" s="166"/>
      <c r="K327" s="166"/>
      <c r="L327" s="166"/>
      <c r="M327" s="250"/>
      <c r="N327" s="251"/>
    </row>
    <row r="328" spans="1:19" ht="25.5">
      <c r="A328" s="155"/>
      <c r="B328" s="155"/>
      <c r="C328" s="166"/>
      <c r="D328" s="166"/>
      <c r="E328" s="166"/>
      <c r="F328" s="166"/>
      <c r="G328" s="673" t="s">
        <v>13</v>
      </c>
      <c r="H328" s="674" t="s">
        <v>3830</v>
      </c>
      <c r="I328" s="674" t="s">
        <v>3756</v>
      </c>
      <c r="J328" s="166"/>
      <c r="K328" s="166"/>
      <c r="L328" s="166"/>
      <c r="M328" s="250"/>
      <c r="N328" s="251"/>
    </row>
    <row r="329" spans="1:19">
      <c r="A329" s="155"/>
      <c r="B329" s="155"/>
      <c r="C329" s="166"/>
      <c r="D329" s="166"/>
      <c r="E329" s="166"/>
      <c r="F329" s="166"/>
      <c r="G329" s="673" t="s">
        <v>2034</v>
      </c>
      <c r="H329" s="674" t="s">
        <v>3000</v>
      </c>
      <c r="I329" s="674" t="s">
        <v>3762</v>
      </c>
      <c r="J329" s="166"/>
      <c r="K329" s="166"/>
      <c r="L329" s="166"/>
      <c r="M329" s="250"/>
      <c r="N329" s="251"/>
    </row>
    <row r="330" spans="1:19">
      <c r="A330" s="155"/>
      <c r="B330" s="155"/>
      <c r="C330" s="166"/>
      <c r="D330" s="166"/>
      <c r="E330" s="166"/>
      <c r="F330" s="166"/>
      <c r="G330" s="673" t="s">
        <v>2252</v>
      </c>
      <c r="H330" s="674" t="s">
        <v>3412</v>
      </c>
      <c r="I330" s="674" t="s">
        <v>3764</v>
      </c>
      <c r="J330" s="166"/>
      <c r="K330" s="166"/>
      <c r="L330" s="166"/>
      <c r="M330" s="250"/>
      <c r="N330" s="251"/>
    </row>
    <row r="331" spans="1:19">
      <c r="A331" s="155"/>
      <c r="B331" s="155"/>
      <c r="C331" s="166"/>
      <c r="D331" s="166"/>
      <c r="E331" s="166"/>
      <c r="F331" s="166"/>
      <c r="G331" s="673" t="s">
        <v>1643</v>
      </c>
      <c r="H331" s="674" t="s">
        <v>3831</v>
      </c>
      <c r="I331" s="674" t="s">
        <v>3817</v>
      </c>
      <c r="J331" s="166"/>
      <c r="K331" s="166"/>
      <c r="L331" s="166"/>
      <c r="M331" s="250"/>
      <c r="N331" s="251"/>
    </row>
    <row r="332" spans="1:19">
      <c r="A332" s="155"/>
      <c r="B332" s="155"/>
      <c r="C332" s="166"/>
      <c r="D332" s="166"/>
      <c r="E332" s="166"/>
      <c r="F332" s="166"/>
      <c r="G332" s="673" t="s">
        <v>3764</v>
      </c>
      <c r="H332" s="674" t="s">
        <v>1004</v>
      </c>
      <c r="I332" s="674" t="s">
        <v>254</v>
      </c>
      <c r="J332" s="166"/>
      <c r="K332" s="166"/>
      <c r="L332" s="166"/>
      <c r="M332" s="250"/>
      <c r="N332" s="251"/>
    </row>
    <row r="333" spans="1:19">
      <c r="A333" s="155"/>
      <c r="B333" s="155"/>
      <c r="C333" s="166"/>
      <c r="D333" s="166"/>
      <c r="E333" s="166"/>
      <c r="F333" s="166"/>
      <c r="G333" s="673" t="s">
        <v>3154</v>
      </c>
      <c r="H333" s="674" t="s">
        <v>2634</v>
      </c>
      <c r="I333" s="674" t="s">
        <v>1550</v>
      </c>
      <c r="J333" s="166"/>
      <c r="K333" s="166"/>
      <c r="L333" s="166"/>
      <c r="M333" s="250"/>
      <c r="N333" s="251"/>
    </row>
    <row r="334" spans="1:19" ht="25.5">
      <c r="A334" s="155"/>
      <c r="B334" s="155"/>
      <c r="C334" s="166"/>
      <c r="D334" s="166"/>
      <c r="E334" s="166"/>
      <c r="F334" s="166"/>
      <c r="G334" s="673" t="s">
        <v>935</v>
      </c>
      <c r="H334" s="674" t="s">
        <v>3832</v>
      </c>
      <c r="I334" s="674" t="s">
        <v>1552</v>
      </c>
      <c r="J334" s="166"/>
      <c r="K334" s="166"/>
      <c r="L334" s="166"/>
      <c r="M334" s="250"/>
      <c r="N334" s="251"/>
    </row>
    <row r="335" spans="1:19" ht="25.5">
      <c r="A335" s="155"/>
      <c r="B335" s="155"/>
      <c r="C335" s="166"/>
      <c r="D335" s="166"/>
      <c r="E335" s="166"/>
      <c r="F335" s="166"/>
      <c r="G335" s="673" t="s">
        <v>2548</v>
      </c>
      <c r="H335" s="674" t="s">
        <v>2253</v>
      </c>
      <c r="I335" s="674" t="s">
        <v>1466</v>
      </c>
      <c r="J335" s="166"/>
      <c r="K335" s="166"/>
      <c r="L335" s="166"/>
      <c r="M335" s="250"/>
      <c r="N335" s="251"/>
    </row>
    <row r="336" spans="1:19">
      <c r="A336" s="155"/>
      <c r="B336" s="155"/>
      <c r="C336" s="166"/>
      <c r="D336" s="166"/>
      <c r="E336" s="166"/>
      <c r="F336" s="166"/>
      <c r="G336" s="673" t="s">
        <v>1465</v>
      </c>
      <c r="H336" s="674" t="s">
        <v>3400</v>
      </c>
      <c r="I336" s="674" t="s">
        <v>1470</v>
      </c>
      <c r="J336" s="166"/>
      <c r="K336" s="166"/>
      <c r="L336" s="166"/>
      <c r="M336" s="250"/>
      <c r="N336" s="251"/>
    </row>
    <row r="337" spans="1:14">
      <c r="A337" s="155"/>
      <c r="B337" s="155"/>
      <c r="C337" s="166"/>
      <c r="D337" s="166"/>
      <c r="E337" s="166"/>
      <c r="F337" s="166"/>
      <c r="G337" s="673" t="s">
        <v>670</v>
      </c>
      <c r="H337" s="674" t="s">
        <v>2953</v>
      </c>
      <c r="I337" s="674" t="s">
        <v>1009</v>
      </c>
      <c r="J337" s="166"/>
      <c r="K337" s="166"/>
      <c r="L337" s="166"/>
      <c r="M337" s="250"/>
      <c r="N337" s="251"/>
    </row>
    <row r="338" spans="1:14" ht="51">
      <c r="A338" s="155"/>
      <c r="B338" s="155"/>
      <c r="C338" s="166"/>
      <c r="D338" s="166"/>
      <c r="E338" s="166"/>
      <c r="F338" s="166"/>
      <c r="G338" s="673" t="s">
        <v>298</v>
      </c>
      <c r="H338" s="674" t="s">
        <v>3835</v>
      </c>
      <c r="I338" s="674" t="s">
        <v>1014</v>
      </c>
      <c r="J338" s="166"/>
      <c r="K338" s="166"/>
      <c r="L338" s="166"/>
      <c r="M338" s="250"/>
      <c r="N338" s="251"/>
    </row>
    <row r="339" spans="1:14" ht="25.5">
      <c r="A339" s="155"/>
      <c r="B339" s="155"/>
      <c r="C339" s="166"/>
      <c r="D339" s="166"/>
      <c r="E339" s="166"/>
      <c r="F339" s="166"/>
      <c r="G339" s="673" t="s">
        <v>2549</v>
      </c>
      <c r="H339" s="674" t="s">
        <v>3828</v>
      </c>
      <c r="I339" s="674" t="s">
        <v>408</v>
      </c>
      <c r="J339" s="166"/>
      <c r="K339" s="166"/>
      <c r="L339" s="166"/>
      <c r="M339" s="250"/>
      <c r="N339" s="251"/>
    </row>
    <row r="340" spans="1:14" ht="25.5">
      <c r="A340" s="155"/>
      <c r="B340" s="155"/>
      <c r="C340" s="166"/>
      <c r="D340" s="166"/>
      <c r="E340" s="166"/>
      <c r="F340" s="166"/>
      <c r="G340" s="673" t="s">
        <v>882</v>
      </c>
      <c r="H340" s="674" t="s">
        <v>3833</v>
      </c>
      <c r="I340" s="674" t="s">
        <v>417</v>
      </c>
      <c r="J340" s="166"/>
      <c r="K340" s="166"/>
      <c r="L340" s="166"/>
      <c r="M340" s="250"/>
      <c r="N340" s="251"/>
    </row>
    <row r="341" spans="1:14">
      <c r="A341" s="155"/>
      <c r="B341" s="155"/>
      <c r="C341" s="166"/>
      <c r="D341" s="166"/>
      <c r="E341" s="166"/>
      <c r="F341" s="166"/>
      <c r="G341" s="673" t="s">
        <v>2550</v>
      </c>
      <c r="H341" s="674" t="s">
        <v>3834</v>
      </c>
      <c r="I341" s="674" t="s">
        <v>424</v>
      </c>
      <c r="J341" s="166"/>
      <c r="K341" s="166"/>
      <c r="L341" s="166"/>
      <c r="M341" s="250"/>
      <c r="N341" s="251"/>
    </row>
    <row r="342" spans="1:14">
      <c r="A342" s="155"/>
      <c r="B342" s="155"/>
      <c r="C342" s="166"/>
      <c r="D342" s="166"/>
      <c r="E342" s="166"/>
      <c r="F342" s="166"/>
      <c r="G342" s="673" t="s">
        <v>2769</v>
      </c>
      <c r="H342" s="674" t="s">
        <v>2254</v>
      </c>
      <c r="I342" s="674" t="s">
        <v>426</v>
      </c>
      <c r="J342" s="166"/>
      <c r="K342" s="166"/>
      <c r="L342" s="166"/>
      <c r="M342" s="250"/>
      <c r="N342" s="251"/>
    </row>
    <row r="343" spans="1:14">
      <c r="A343" s="155"/>
      <c r="B343" s="155"/>
      <c r="C343" s="166"/>
      <c r="D343" s="166"/>
      <c r="E343" s="166"/>
      <c r="F343" s="166"/>
      <c r="G343" s="673" t="s">
        <v>814</v>
      </c>
      <c r="H343" s="674"/>
      <c r="I343" s="674" t="s">
        <v>2181</v>
      </c>
      <c r="J343" s="166"/>
      <c r="K343" s="166"/>
      <c r="L343" s="166"/>
      <c r="M343" s="250"/>
      <c r="N343" s="251"/>
    </row>
    <row r="344" spans="1:14">
      <c r="A344" s="155"/>
      <c r="B344" s="155"/>
      <c r="C344" s="166"/>
      <c r="D344" s="166"/>
      <c r="E344" s="166"/>
      <c r="F344" s="166"/>
      <c r="G344" s="673" t="s">
        <v>822</v>
      </c>
      <c r="H344" s="674"/>
      <c r="I344" s="674" t="s">
        <v>2183</v>
      </c>
      <c r="J344" s="166"/>
      <c r="K344" s="166"/>
      <c r="L344" s="166"/>
      <c r="M344" s="250"/>
      <c r="N344" s="251"/>
    </row>
    <row r="345" spans="1:14">
      <c r="A345" s="155"/>
      <c r="B345" s="155"/>
      <c r="C345" s="166"/>
      <c r="D345" s="166"/>
      <c r="E345" s="166"/>
      <c r="F345" s="166"/>
      <c r="G345" s="673" t="s">
        <v>3191</v>
      </c>
      <c r="H345" s="674"/>
      <c r="I345" s="674" t="s">
        <v>2022</v>
      </c>
      <c r="J345" s="166"/>
      <c r="K345" s="166"/>
      <c r="L345" s="166"/>
      <c r="M345" s="250"/>
      <c r="N345" s="251"/>
    </row>
    <row r="346" spans="1:14">
      <c r="A346" s="155"/>
      <c r="B346" s="155"/>
      <c r="C346" s="166"/>
      <c r="D346" s="166"/>
      <c r="E346" s="166"/>
      <c r="F346" s="166"/>
      <c r="G346" s="673" t="s">
        <v>503</v>
      </c>
      <c r="H346" s="674"/>
      <c r="I346" s="674" t="s">
        <v>458</v>
      </c>
      <c r="J346" s="166"/>
      <c r="K346" s="166"/>
      <c r="L346" s="166"/>
      <c r="M346" s="250"/>
      <c r="N346" s="251"/>
    </row>
    <row r="347" spans="1:14">
      <c r="A347" s="155"/>
      <c r="B347" s="155"/>
      <c r="C347" s="166"/>
      <c r="D347" s="166"/>
      <c r="E347" s="166"/>
      <c r="F347" s="166"/>
      <c r="G347" s="673" t="s">
        <v>3400</v>
      </c>
      <c r="H347" s="674"/>
      <c r="I347" s="674" t="s">
        <v>2938</v>
      </c>
      <c r="J347" s="166"/>
      <c r="K347" s="166"/>
      <c r="L347" s="166"/>
      <c r="M347" s="250"/>
      <c r="N347" s="251"/>
    </row>
    <row r="348" spans="1:14" ht="51">
      <c r="A348" s="155"/>
      <c r="B348" s="155"/>
      <c r="C348" s="166"/>
      <c r="D348" s="166"/>
      <c r="E348" s="166"/>
      <c r="F348" s="166"/>
      <c r="G348" s="673" t="s">
        <v>2551</v>
      </c>
      <c r="H348" s="674"/>
      <c r="I348" s="674" t="s">
        <v>2539</v>
      </c>
      <c r="J348" s="166"/>
      <c r="K348" s="166"/>
      <c r="L348" s="166"/>
      <c r="M348" s="250"/>
      <c r="N348" s="251"/>
    </row>
    <row r="349" spans="1:14">
      <c r="A349" s="155"/>
      <c r="B349" s="155"/>
      <c r="C349" s="166"/>
      <c r="D349" s="166"/>
      <c r="E349" s="166"/>
      <c r="F349" s="166"/>
      <c r="G349" s="673" t="s">
        <v>3389</v>
      </c>
      <c r="H349" s="674"/>
      <c r="I349" s="674" t="s">
        <v>2541</v>
      </c>
      <c r="J349" s="166"/>
      <c r="K349" s="166"/>
      <c r="L349" s="166"/>
      <c r="M349" s="250"/>
      <c r="N349" s="251"/>
    </row>
    <row r="350" spans="1:14">
      <c r="A350" s="155"/>
      <c r="B350" s="155"/>
      <c r="C350" s="166"/>
      <c r="D350" s="166"/>
      <c r="E350" s="166"/>
      <c r="F350" s="166"/>
      <c r="G350" s="673" t="s">
        <v>3391</v>
      </c>
      <c r="H350" s="674"/>
      <c r="I350" s="674" t="s">
        <v>1743</v>
      </c>
      <c r="J350" s="166"/>
      <c r="K350" s="166"/>
      <c r="L350" s="166"/>
      <c r="M350" s="250"/>
      <c r="N350" s="251"/>
    </row>
    <row r="351" spans="1:14">
      <c r="A351" s="155"/>
      <c r="B351" s="155"/>
      <c r="C351" s="166"/>
      <c r="D351" s="166"/>
      <c r="E351" s="166"/>
      <c r="F351" s="166"/>
      <c r="G351" s="673" t="s">
        <v>3224</v>
      </c>
      <c r="H351" s="674"/>
      <c r="I351" s="674" t="s">
        <v>3278</v>
      </c>
      <c r="J351" s="166"/>
      <c r="K351" s="166"/>
      <c r="L351" s="166"/>
      <c r="M351" s="250"/>
      <c r="N351" s="251"/>
    </row>
    <row r="352" spans="1:14" ht="25.5">
      <c r="A352" s="155"/>
      <c r="B352" s="155"/>
      <c r="C352" s="166"/>
      <c r="D352" s="166"/>
      <c r="E352" s="166"/>
      <c r="F352" s="166"/>
      <c r="G352" s="673" t="s">
        <v>2552</v>
      </c>
      <c r="H352" s="674"/>
      <c r="I352" s="674" t="s">
        <v>3283</v>
      </c>
      <c r="J352" s="166"/>
      <c r="K352" s="166"/>
      <c r="L352" s="166"/>
      <c r="M352" s="250"/>
      <c r="N352" s="251"/>
    </row>
    <row r="353" spans="1:14">
      <c r="A353" s="155"/>
      <c r="B353" s="155"/>
      <c r="C353" s="166"/>
      <c r="D353" s="166"/>
      <c r="E353" s="166"/>
      <c r="F353" s="166"/>
      <c r="G353" s="673" t="s">
        <v>3481</v>
      </c>
      <c r="H353" s="674"/>
      <c r="I353" s="674" t="s">
        <v>3289</v>
      </c>
      <c r="J353" s="166"/>
      <c r="K353" s="166"/>
      <c r="L353" s="166"/>
      <c r="M353" s="250"/>
      <c r="N353" s="251"/>
    </row>
    <row r="354" spans="1:14">
      <c r="A354" s="155"/>
      <c r="B354" s="155"/>
      <c r="C354" s="166"/>
      <c r="D354" s="166"/>
      <c r="E354" s="166"/>
      <c r="F354" s="166"/>
      <c r="G354" s="673" t="s">
        <v>3392</v>
      </c>
      <c r="H354" s="674"/>
      <c r="I354" s="674" t="s">
        <v>3293</v>
      </c>
      <c r="J354" s="166"/>
      <c r="K354" s="166"/>
      <c r="L354" s="166"/>
      <c r="M354" s="250"/>
      <c r="N354" s="251"/>
    </row>
    <row r="355" spans="1:14">
      <c r="A355" s="155"/>
      <c r="B355" s="155"/>
      <c r="C355" s="166"/>
      <c r="D355" s="166"/>
      <c r="E355" s="166"/>
      <c r="F355" s="166"/>
      <c r="G355" s="673" t="s">
        <v>2714</v>
      </c>
      <c r="H355" s="674"/>
      <c r="I355" s="674" t="s">
        <v>2662</v>
      </c>
      <c r="J355" s="166"/>
      <c r="K355" s="166"/>
      <c r="L355" s="166"/>
      <c r="M355" s="250"/>
      <c r="N355" s="251"/>
    </row>
    <row r="356" spans="1:14" ht="13.5">
      <c r="A356" s="155"/>
      <c r="B356" s="155"/>
      <c r="C356" s="675"/>
      <c r="D356" s="675"/>
      <c r="E356" s="166"/>
      <c r="F356" s="166"/>
      <c r="G356" s="639" t="s">
        <v>2719</v>
      </c>
      <c r="H356" s="507"/>
      <c r="I356" s="674" t="s">
        <v>2663</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390</v>
      </c>
      <c r="H358" s="507"/>
      <c r="I358" s="166" t="s">
        <v>124</v>
      </c>
      <c r="J358" s="166"/>
      <c r="K358" s="166"/>
      <c r="L358" s="166"/>
      <c r="M358" s="250"/>
      <c r="N358" s="251"/>
    </row>
    <row r="359" spans="1:14">
      <c r="A359" s="155"/>
      <c r="B359" s="155"/>
      <c r="C359" s="675"/>
      <c r="D359" s="676"/>
      <c r="E359" s="676"/>
      <c r="F359" s="123"/>
      <c r="G359" s="677" t="s">
        <v>391</v>
      </c>
      <c r="H359" s="166"/>
      <c r="I359" s="166" t="s">
        <v>3632</v>
      </c>
      <c r="J359" s="166"/>
      <c r="K359" s="166"/>
      <c r="L359" s="166"/>
      <c r="M359" s="155"/>
    </row>
    <row r="360" spans="1:14">
      <c r="A360" s="155"/>
      <c r="B360" s="155"/>
      <c r="C360" s="675"/>
      <c r="D360" s="123"/>
      <c r="E360" s="123"/>
      <c r="F360" s="123"/>
      <c r="G360" s="677" t="s">
        <v>2298</v>
      </c>
      <c r="H360" s="166"/>
      <c r="I360" s="166" t="s">
        <v>3636</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A1:P1"/>
    <mergeCell ref="G25:J25"/>
    <mergeCell ref="L22:O22"/>
    <mergeCell ref="A22:E22"/>
    <mergeCell ref="L21:O21"/>
    <mergeCell ref="G20:J20"/>
    <mergeCell ref="L23:O23"/>
    <mergeCell ref="G19:J19"/>
    <mergeCell ref="G18:J18"/>
    <mergeCell ref="A14:P14"/>
    <mergeCell ref="A15:P15"/>
    <mergeCell ref="A26:E26"/>
    <mergeCell ref="G26:J26"/>
    <mergeCell ref="L26:O26"/>
    <mergeCell ref="A18:E18"/>
    <mergeCell ref="A19:E19"/>
    <mergeCell ref="A20:E20"/>
    <mergeCell ref="A17:D17"/>
    <mergeCell ref="G17:I17"/>
    <mergeCell ref="A21:E21"/>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45" bottom="0.38" header="0.18" footer="0.17"/>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topLeftCell="A8" workbookViewId="0">
      <selection activeCell="E27" sqref="E27"/>
    </sheetView>
  </sheetViews>
  <sheetFormatPr defaultRowHeight="12.75"/>
  <cols>
    <col min="1" max="1" width="88.28515625" style="31" customWidth="1"/>
    <col min="2" max="16384" width="9.140625" style="31"/>
  </cols>
  <sheetData>
    <row r="1" spans="1:6" ht="15.75">
      <c r="A1" s="1146" t="s">
        <v>804</v>
      </c>
    </row>
    <row r="2" spans="1:6" ht="16.5">
      <c r="A2" s="1147" t="str">
        <f>'Part I-Project Information'!F22</f>
        <v>Brentwood Place Apartments</v>
      </c>
    </row>
    <row r="3" spans="1:6" ht="16.5">
      <c r="A3" s="1147" t="str">
        <f>CONCATENATE('Part I-Project Information'!F24,", ", 'Part I-Project Information'!J25," County")</f>
        <v>Forsyth, Monroe County</v>
      </c>
    </row>
    <row r="4" spans="1:6" ht="12.4" customHeight="1"/>
    <row r="5" spans="1:6" ht="66.75" customHeight="1">
      <c r="A5" s="1148" t="s">
        <v>4063</v>
      </c>
      <c r="B5" s="774" t="s">
        <v>1592</v>
      </c>
      <c r="C5" s="774"/>
      <c r="D5" s="774"/>
      <c r="E5" s="774"/>
      <c r="F5" s="774"/>
    </row>
    <row r="6" spans="1:6" ht="6.6" customHeight="1">
      <c r="A6" s="1149"/>
      <c r="B6" s="774"/>
      <c r="C6" s="774"/>
      <c r="D6" s="774"/>
      <c r="E6" s="774"/>
      <c r="F6" s="774"/>
    </row>
    <row r="7" spans="1:6" ht="138.19999999999999" customHeight="1">
      <c r="A7" s="1148" t="s">
        <v>4075</v>
      </c>
      <c r="C7" s="1150"/>
    </row>
    <row r="8" spans="1:6" ht="6.6" customHeight="1">
      <c r="A8" s="1149"/>
    </row>
    <row r="9" spans="1:6" ht="82.5" customHeight="1">
      <c r="A9" s="1148" t="s">
        <v>4076</v>
      </c>
    </row>
    <row r="10" spans="1:6" ht="6.6" customHeight="1">
      <c r="A10" s="1149"/>
    </row>
    <row r="11" spans="1:6" ht="68.25" customHeight="1">
      <c r="A11" s="1148" t="s">
        <v>4077</v>
      </c>
    </row>
    <row r="12" spans="1:6" ht="6.6" customHeight="1">
      <c r="A12" s="1149"/>
    </row>
    <row r="13" spans="1:6" ht="50.25" customHeight="1">
      <c r="A13" s="1148" t="s">
        <v>4017</v>
      </c>
    </row>
    <row r="14" spans="1:6" ht="6.6" customHeight="1">
      <c r="A14" s="1149"/>
    </row>
    <row r="15" spans="1:6" ht="45.75" customHeight="1">
      <c r="A15" s="1148" t="s">
        <v>4050</v>
      </c>
    </row>
    <row r="16" spans="1:6" ht="6.6" customHeight="1">
      <c r="A16" s="1149"/>
    </row>
    <row r="17" spans="1:1" ht="111.4" customHeight="1">
      <c r="A17" s="1148" t="s">
        <v>4066</v>
      </c>
    </row>
    <row r="18" spans="1:1" ht="6.6" customHeight="1">
      <c r="A18" s="1149"/>
    </row>
    <row r="19" spans="1:1" ht="111.4" customHeight="1">
      <c r="A19" s="1148"/>
    </row>
    <row r="20" spans="1:1" ht="6.6" customHeight="1">
      <c r="A20" s="1149"/>
    </row>
    <row r="21" spans="1:1" ht="111.4" customHeight="1">
      <c r="A21" s="1148"/>
    </row>
    <row r="22" spans="1:1" ht="6.6" customHeight="1">
      <c r="A22" s="1149"/>
    </row>
    <row r="23" spans="1:1" ht="111.4" customHeight="1">
      <c r="A23" s="1148"/>
    </row>
    <row r="24" spans="1:1" ht="6.6" customHeight="1">
      <c r="A24" s="1149"/>
    </row>
    <row r="25" spans="1:1" ht="111.4" customHeight="1">
      <c r="A25" s="1148"/>
    </row>
    <row r="26" spans="1:1" ht="6.6" customHeight="1">
      <c r="A26" s="1149"/>
    </row>
    <row r="27" spans="1:1" ht="111.4"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B27" sqref="B27:M27"/>
    </sheetView>
  </sheetViews>
  <sheetFormatPr defaultColWidth="8.85546875" defaultRowHeight="15.75"/>
  <cols>
    <col min="1" max="1" width="3.7109375" style="1128" customWidth="1"/>
    <col min="2" max="6" width="6.28515625" style="1128" customWidth="1"/>
    <col min="7" max="7" width="9.7109375" style="1128" customWidth="1"/>
    <col min="8" max="13" width="6.28515625" style="1128" customWidth="1"/>
    <col min="14" max="15" width="5.85546875" style="1128" customWidth="1"/>
    <col min="16" max="16384" width="8.85546875" style="1128"/>
  </cols>
  <sheetData>
    <row r="1" spans="1:26" ht="19.5">
      <c r="N1" s="1129" t="s">
        <v>2243</v>
      </c>
      <c r="O1" s="1129"/>
      <c r="P1" s="1129"/>
      <c r="Q1" s="1129"/>
      <c r="R1" s="1129"/>
      <c r="S1" s="1129"/>
      <c r="T1" s="1129"/>
      <c r="U1" s="1129"/>
      <c r="V1" s="1129"/>
      <c r="W1" s="1129"/>
      <c r="X1" s="1129"/>
      <c r="Y1" s="1129"/>
      <c r="Z1" s="1129"/>
    </row>
    <row r="3" spans="1:26">
      <c r="N3" s="1130" t="s">
        <v>2244</v>
      </c>
      <c r="O3" s="1130"/>
      <c r="P3" s="1130"/>
      <c r="Q3" s="1130"/>
      <c r="R3" s="1130"/>
      <c r="S3" s="1130"/>
      <c r="T3" s="1130"/>
      <c r="U3" s="1130"/>
      <c r="V3" s="1130"/>
      <c r="W3" s="1130"/>
      <c r="X3" s="1130"/>
      <c r="Y3" s="1130"/>
      <c r="Z3" s="1130"/>
    </row>
    <row r="4" spans="1:26">
      <c r="N4" s="1131" t="s">
        <v>2245</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1060</v>
      </c>
    </row>
    <row r="7" spans="1:26" ht="11.45" customHeight="1">
      <c r="A7" s="1132"/>
      <c r="B7" s="1132"/>
      <c r="C7" s="1132"/>
      <c r="D7" s="1132"/>
      <c r="E7" s="1132"/>
      <c r="F7" s="1132"/>
      <c r="G7" s="1132"/>
      <c r="H7" s="1132"/>
      <c r="I7" s="1132"/>
      <c r="J7" s="1132"/>
      <c r="K7" s="1132"/>
      <c r="L7" s="1132"/>
      <c r="M7" s="1132"/>
    </row>
    <row r="8" spans="1:26" ht="63.75" customHeight="1">
      <c r="A8" s="1134" t="s">
        <v>3474</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1065</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2969</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803</v>
      </c>
      <c r="B14" s="1136"/>
      <c r="C14" s="1136"/>
      <c r="D14" s="1136"/>
      <c r="E14" s="1136"/>
      <c r="F14" s="1136"/>
      <c r="G14" s="1136"/>
      <c r="H14" s="1136"/>
      <c r="I14" s="1136"/>
      <c r="J14" s="1136"/>
      <c r="K14" s="1136"/>
      <c r="L14" s="1136"/>
      <c r="M14" s="1136"/>
    </row>
    <row r="15" spans="1:26" ht="3.4" customHeight="1">
      <c r="A15" s="1135"/>
      <c r="B15" s="1135"/>
      <c r="C15" s="1135"/>
      <c r="D15" s="1135"/>
      <c r="E15" s="1135"/>
      <c r="F15" s="1135"/>
      <c r="G15" s="1135"/>
      <c r="H15" s="1135"/>
      <c r="I15" s="1135"/>
      <c r="J15" s="1135"/>
      <c r="K15" s="1135"/>
      <c r="L15" s="1135"/>
      <c r="M15" s="1135"/>
    </row>
    <row r="16" spans="1:26" ht="60" customHeight="1">
      <c r="A16" s="1137" t="s">
        <v>2765</v>
      </c>
      <c r="B16" s="1138" t="s">
        <v>111</v>
      </c>
      <c r="C16" s="1138"/>
      <c r="D16" s="1138"/>
      <c r="E16" s="1138"/>
      <c r="F16" s="1138"/>
      <c r="G16" s="1138"/>
      <c r="H16" s="1138"/>
      <c r="I16" s="1138"/>
      <c r="J16" s="1138"/>
      <c r="K16" s="1138"/>
      <c r="L16" s="1138"/>
      <c r="M16" s="1138"/>
    </row>
    <row r="17" spans="1:13" ht="3.4" customHeight="1">
      <c r="A17" s="1135"/>
      <c r="B17" s="1135"/>
      <c r="C17" s="1135"/>
      <c r="D17" s="1135"/>
      <c r="E17" s="1135"/>
      <c r="F17" s="1135"/>
      <c r="G17" s="1135"/>
      <c r="H17" s="1135"/>
      <c r="I17" s="1135"/>
      <c r="J17" s="1135"/>
      <c r="K17" s="1135"/>
      <c r="L17" s="1135"/>
      <c r="M17" s="1135"/>
    </row>
    <row r="18" spans="1:13" ht="120.6" customHeight="1">
      <c r="A18" s="1137" t="s">
        <v>2766</v>
      </c>
      <c r="B18" s="1138" t="s">
        <v>981</v>
      </c>
      <c r="C18" s="1138"/>
      <c r="D18" s="1138"/>
      <c r="E18" s="1138"/>
      <c r="F18" s="1138"/>
      <c r="G18" s="1138"/>
      <c r="H18" s="1138"/>
      <c r="I18" s="1138"/>
      <c r="J18" s="1138"/>
      <c r="K18" s="1138"/>
      <c r="L18" s="1138"/>
      <c r="M18" s="1138"/>
    </row>
    <row r="19" spans="1:13" ht="3.4" customHeight="1">
      <c r="A19" s="1135"/>
      <c r="B19" s="1135"/>
      <c r="C19" s="1135"/>
      <c r="D19" s="1135"/>
      <c r="E19" s="1135"/>
      <c r="F19" s="1135"/>
      <c r="G19" s="1135"/>
      <c r="H19" s="1135"/>
      <c r="I19" s="1135"/>
      <c r="J19" s="1135"/>
      <c r="K19" s="1135"/>
      <c r="L19" s="1135"/>
      <c r="M19" s="1135"/>
    </row>
    <row r="20" spans="1:13" ht="135.75" customHeight="1">
      <c r="A20" s="1137" t="s">
        <v>2767</v>
      </c>
      <c r="B20" s="1138" t="s">
        <v>1494</v>
      </c>
      <c r="C20" s="1138"/>
      <c r="D20" s="1138"/>
      <c r="E20" s="1138"/>
      <c r="F20" s="1138"/>
      <c r="G20" s="1138"/>
      <c r="H20" s="1138"/>
      <c r="I20" s="1138"/>
      <c r="J20" s="1138"/>
      <c r="K20" s="1138"/>
      <c r="L20" s="1138"/>
      <c r="M20" s="1138"/>
    </row>
    <row r="21" spans="1:13" ht="3.4" customHeight="1">
      <c r="A21" s="1135"/>
      <c r="B21" s="1135"/>
      <c r="C21" s="1135"/>
      <c r="D21" s="1135"/>
      <c r="E21" s="1135"/>
      <c r="F21" s="1135"/>
      <c r="G21" s="1135"/>
      <c r="H21" s="1135"/>
      <c r="I21" s="1135"/>
      <c r="J21" s="1135"/>
      <c r="K21" s="1135"/>
      <c r="L21" s="1135"/>
      <c r="M21" s="1135"/>
    </row>
    <row r="22" spans="1:13" ht="65.45" customHeight="1">
      <c r="A22" s="1137" t="s">
        <v>3571</v>
      </c>
      <c r="B22" s="1138" t="s">
        <v>1034</v>
      </c>
      <c r="C22" s="1138"/>
      <c r="D22" s="1138"/>
      <c r="E22" s="1138"/>
      <c r="F22" s="1138"/>
      <c r="G22" s="1138"/>
      <c r="H22" s="1138"/>
      <c r="I22" s="1138"/>
      <c r="J22" s="1138"/>
      <c r="K22" s="1138"/>
      <c r="L22" s="1138"/>
      <c r="M22" s="1138"/>
    </row>
    <row r="23" spans="1:13" ht="165.6" customHeight="1">
      <c r="A23" s="1137" t="s">
        <v>2304</v>
      </c>
      <c r="B23" s="1138" t="s">
        <v>3124</v>
      </c>
      <c r="C23" s="1138"/>
      <c r="D23" s="1138"/>
      <c r="E23" s="1138"/>
      <c r="F23" s="1138"/>
      <c r="G23" s="1138"/>
      <c r="H23" s="1138"/>
      <c r="I23" s="1138"/>
      <c r="J23" s="1138"/>
      <c r="K23" s="1138"/>
      <c r="L23" s="1138"/>
      <c r="M23" s="1138"/>
    </row>
    <row r="24" spans="1:13" ht="3.4" customHeight="1">
      <c r="A24" s="1135"/>
      <c r="B24" s="1135"/>
      <c r="C24" s="1135"/>
      <c r="D24" s="1135"/>
      <c r="E24" s="1135"/>
      <c r="F24" s="1135"/>
      <c r="G24" s="1135"/>
      <c r="H24" s="1135"/>
      <c r="I24" s="1135"/>
      <c r="J24" s="1135"/>
      <c r="K24" s="1135"/>
      <c r="L24" s="1135"/>
      <c r="M24" s="1135"/>
    </row>
    <row r="25" spans="1:13" ht="46.15" customHeight="1">
      <c r="A25" s="1137" t="s">
        <v>2305</v>
      </c>
      <c r="B25" s="1138" t="s">
        <v>2192</v>
      </c>
      <c r="C25" s="1138"/>
      <c r="D25" s="1138"/>
      <c r="E25" s="1138"/>
      <c r="F25" s="1138"/>
      <c r="G25" s="1138"/>
      <c r="H25" s="1138"/>
      <c r="I25" s="1138"/>
      <c r="J25" s="1138"/>
      <c r="K25" s="1138"/>
      <c r="L25" s="1138"/>
      <c r="M25" s="1138"/>
    </row>
    <row r="26" spans="1:13" ht="3.4" customHeight="1">
      <c r="A26" s="1135"/>
      <c r="B26" s="1135"/>
      <c r="C26" s="1135"/>
      <c r="D26" s="1135"/>
      <c r="E26" s="1135"/>
      <c r="F26" s="1135"/>
      <c r="G26" s="1135"/>
      <c r="H26" s="1135"/>
      <c r="I26" s="1135"/>
      <c r="J26" s="1135"/>
      <c r="K26" s="1135"/>
      <c r="L26" s="1135"/>
      <c r="M26" s="1135"/>
    </row>
    <row r="27" spans="1:13">
      <c r="A27" s="1137" t="s">
        <v>112</v>
      </c>
      <c r="B27" s="1138" t="s">
        <v>2193</v>
      </c>
      <c r="C27" s="1138"/>
      <c r="D27" s="1138"/>
      <c r="E27" s="1138"/>
      <c r="F27" s="1138"/>
      <c r="G27" s="1138"/>
      <c r="H27" s="1138"/>
      <c r="I27" s="1138"/>
      <c r="J27" s="1138"/>
      <c r="K27" s="1138"/>
      <c r="L27" s="1138"/>
      <c r="M27" s="1138"/>
    </row>
    <row r="28" spans="1:13" ht="12.4" customHeight="1">
      <c r="A28" s="1135"/>
      <c r="B28" s="1135"/>
      <c r="C28" s="1135"/>
      <c r="D28" s="1135"/>
      <c r="E28" s="1135"/>
      <c r="F28" s="1135"/>
      <c r="G28" s="1135"/>
      <c r="H28" s="1135"/>
      <c r="I28" s="1135"/>
      <c r="J28" s="1135"/>
      <c r="K28" s="1135"/>
      <c r="L28" s="1135"/>
      <c r="M28" s="1135"/>
    </row>
    <row r="29" spans="1:13">
      <c r="A29" s="1135" t="s">
        <v>2194</v>
      </c>
      <c r="B29" s="1135"/>
      <c r="C29" s="1135"/>
      <c r="D29" s="1135"/>
      <c r="E29" s="1135"/>
      <c r="F29" s="1135"/>
      <c r="G29" s="1135"/>
      <c r="H29" s="1135"/>
      <c r="I29" s="1135"/>
      <c r="J29" s="1135"/>
      <c r="K29" s="1135"/>
      <c r="L29" s="1135"/>
      <c r="M29" s="1135"/>
    </row>
    <row r="30" spans="1:13" ht="3.4" customHeight="1">
      <c r="A30" s="1135"/>
      <c r="B30" s="1135"/>
      <c r="C30" s="1135"/>
      <c r="D30" s="1135"/>
      <c r="E30" s="1135"/>
      <c r="F30" s="1135"/>
      <c r="G30" s="1135"/>
      <c r="H30" s="1135"/>
      <c r="I30" s="1135"/>
      <c r="J30" s="1135"/>
      <c r="K30" s="1135"/>
      <c r="L30" s="1135"/>
      <c r="M30" s="1135"/>
    </row>
    <row r="31" spans="1:13" ht="33" customHeight="1">
      <c r="A31" s="1139" t="s">
        <v>2195</v>
      </c>
      <c r="B31" s="1138" t="s">
        <v>2153</v>
      </c>
      <c r="C31" s="1138"/>
      <c r="D31" s="1138"/>
      <c r="E31" s="1138"/>
      <c r="F31" s="1138"/>
      <c r="G31" s="1138"/>
      <c r="H31" s="1138"/>
      <c r="I31" s="1138"/>
      <c r="J31" s="1138"/>
      <c r="K31" s="1138"/>
      <c r="L31" s="1138"/>
      <c r="M31" s="1138"/>
    </row>
    <row r="32" spans="1:13" ht="3.4" customHeight="1">
      <c r="A32" s="1135"/>
      <c r="B32" s="1135"/>
      <c r="C32" s="1135"/>
      <c r="D32" s="1135"/>
      <c r="E32" s="1135"/>
      <c r="F32" s="1135"/>
      <c r="G32" s="1135"/>
      <c r="H32" s="1135"/>
      <c r="I32" s="1135"/>
      <c r="J32" s="1135"/>
      <c r="K32" s="1135"/>
      <c r="L32" s="1135"/>
      <c r="M32" s="1135"/>
    </row>
    <row r="33" spans="1:13" ht="45.75" customHeight="1">
      <c r="A33" s="1139" t="s">
        <v>2195</v>
      </c>
      <c r="B33" s="1138" t="s">
        <v>1790</v>
      </c>
      <c r="C33" s="1138"/>
      <c r="D33" s="1138"/>
      <c r="E33" s="1138"/>
      <c r="F33" s="1138"/>
      <c r="G33" s="1138"/>
      <c r="H33" s="1138"/>
      <c r="I33" s="1138"/>
      <c r="J33" s="1138"/>
      <c r="K33" s="1138"/>
      <c r="L33" s="1138"/>
      <c r="M33" s="1138"/>
    </row>
    <row r="34" spans="1:13" ht="3.4" customHeight="1">
      <c r="A34" s="1135"/>
      <c r="B34" s="1135"/>
      <c r="C34" s="1135"/>
      <c r="D34" s="1135"/>
      <c r="E34" s="1135"/>
      <c r="F34" s="1135"/>
      <c r="G34" s="1135"/>
      <c r="H34" s="1135"/>
      <c r="I34" s="1135"/>
      <c r="J34" s="1135"/>
      <c r="K34" s="1135"/>
      <c r="L34" s="1135"/>
      <c r="M34" s="1135"/>
    </row>
    <row r="35" spans="1:13" ht="75.400000000000006" customHeight="1">
      <c r="A35" s="1139" t="s">
        <v>2195</v>
      </c>
      <c r="B35" s="1138" t="s">
        <v>1776</v>
      </c>
      <c r="C35" s="1138"/>
      <c r="D35" s="1138"/>
      <c r="E35" s="1138"/>
      <c r="F35" s="1138"/>
      <c r="G35" s="1138"/>
      <c r="H35" s="1138"/>
      <c r="I35" s="1138"/>
      <c r="J35" s="1138"/>
      <c r="K35" s="1138"/>
      <c r="L35" s="1138"/>
      <c r="M35" s="1138"/>
    </row>
    <row r="36" spans="1:13" ht="12.4" customHeight="1">
      <c r="A36" s="1135"/>
      <c r="B36" s="1135"/>
      <c r="C36" s="1135"/>
      <c r="D36" s="1135"/>
      <c r="E36" s="1135"/>
      <c r="F36" s="1135"/>
      <c r="G36" s="1135"/>
      <c r="H36" s="1135"/>
      <c r="I36" s="1135"/>
      <c r="J36" s="1135"/>
      <c r="K36" s="1135"/>
      <c r="L36" s="1135"/>
      <c r="M36" s="1135"/>
    </row>
    <row r="37" spans="1:13" ht="48.4" customHeight="1">
      <c r="A37" s="1138" t="s">
        <v>1542</v>
      </c>
      <c r="B37" s="1138"/>
      <c r="C37" s="1138"/>
      <c r="D37" s="1138"/>
      <c r="E37" s="1138"/>
      <c r="F37" s="1138"/>
      <c r="G37" s="1138"/>
      <c r="H37" s="1138"/>
      <c r="I37" s="1138"/>
      <c r="J37" s="1138"/>
      <c r="K37" s="1138"/>
      <c r="L37" s="1138"/>
      <c r="M37" s="1138"/>
    </row>
    <row r="38" spans="1:13" ht="3.4" customHeight="1">
      <c r="A38" s="1135"/>
      <c r="B38" s="1135"/>
      <c r="C38" s="1135"/>
      <c r="D38" s="1135"/>
      <c r="E38" s="1135"/>
      <c r="F38" s="1135"/>
      <c r="G38" s="1135"/>
      <c r="H38" s="1135"/>
      <c r="I38" s="1135"/>
      <c r="J38" s="1135"/>
      <c r="K38" s="1135"/>
      <c r="L38" s="1135"/>
      <c r="M38" s="1135"/>
    </row>
    <row r="39" spans="1:13" ht="36.75" customHeight="1">
      <c r="A39" s="1138" t="s">
        <v>1517</v>
      </c>
      <c r="B39" s="1138"/>
      <c r="C39" s="1138"/>
      <c r="D39" s="1138"/>
      <c r="E39" s="1138"/>
      <c r="F39" s="1138"/>
      <c r="G39" s="1138"/>
      <c r="H39" s="1138"/>
      <c r="I39" s="1138"/>
      <c r="J39" s="1138"/>
      <c r="K39" s="1138"/>
      <c r="L39" s="1138"/>
      <c r="M39" s="1138"/>
    </row>
    <row r="40" spans="1:13" ht="3.4" customHeight="1">
      <c r="A40" s="1135"/>
      <c r="B40" s="1135"/>
      <c r="C40" s="1135"/>
      <c r="D40" s="1135"/>
      <c r="E40" s="1135"/>
      <c r="F40" s="1135"/>
      <c r="G40" s="1135"/>
      <c r="H40" s="1135"/>
      <c r="I40" s="1135"/>
      <c r="J40" s="1135"/>
      <c r="K40" s="1135"/>
      <c r="L40" s="1135"/>
      <c r="M40" s="1135"/>
    </row>
    <row r="41" spans="1:13">
      <c r="A41" s="1135" t="s">
        <v>1518</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4" customHeight="1">
      <c r="A44" s="1143" t="s">
        <v>1519</v>
      </c>
      <c r="B44" s="1143"/>
      <c r="C44" s="1143"/>
      <c r="D44" s="1143"/>
      <c r="E44" s="1143"/>
      <c r="F44" s="1143"/>
      <c r="G44" s="1142"/>
      <c r="H44" s="1143" t="s">
        <v>3057</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4" customHeight="1">
      <c r="A48" s="1143" t="s">
        <v>1520</v>
      </c>
      <c r="B48" s="1143"/>
      <c r="C48" s="1143"/>
      <c r="D48" s="1143"/>
      <c r="E48" s="1143"/>
      <c r="F48" s="1143"/>
      <c r="G48" s="1142"/>
      <c r="H48" s="1143" t="s">
        <v>1521</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1522</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73" zoomScale="120" workbookViewId="0">
      <selection activeCell="E27" sqref="E27"/>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7109375" style="31" customWidth="1"/>
    <col min="10" max="18" width="7.7109375" style="31" customWidth="1"/>
    <col min="19" max="16384" width="8.85546875" style="31"/>
  </cols>
  <sheetData>
    <row r="1" spans="1:26" s="239" customFormat="1" ht="3.4" customHeight="1">
      <c r="A1" s="240"/>
      <c r="B1" s="240"/>
      <c r="C1" s="240"/>
      <c r="D1" s="240"/>
      <c r="E1" s="240"/>
      <c r="F1" s="240"/>
      <c r="G1" s="240"/>
      <c r="H1" s="240"/>
      <c r="I1" s="240"/>
      <c r="J1" s="240"/>
      <c r="K1" s="240"/>
      <c r="L1" s="240"/>
      <c r="M1" s="240"/>
      <c r="N1" s="240"/>
      <c r="O1" s="240"/>
      <c r="P1" s="240"/>
    </row>
    <row r="2" spans="1:26" s="418" customFormat="1" ht="13.15" customHeight="1">
      <c r="A2" s="1081" t="s">
        <v>1091</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4" customHeight="1">
      <c r="A4" s="419" t="s">
        <v>2754</v>
      </c>
      <c r="B4" s="419"/>
      <c r="C4" s="419"/>
      <c r="D4" s="241"/>
      <c r="E4" s="241"/>
      <c r="F4" s="419" t="s">
        <v>2755</v>
      </c>
      <c r="G4" s="419"/>
      <c r="H4" s="241"/>
      <c r="I4" s="241"/>
      <c r="J4" s="419" t="s">
        <v>2756</v>
      </c>
      <c r="K4" s="419"/>
      <c r="L4" s="419"/>
      <c r="M4" s="419"/>
      <c r="N4" s="419"/>
      <c r="O4" s="419"/>
      <c r="P4" s="241"/>
      <c r="Q4" s="420" t="s">
        <v>2757</v>
      </c>
      <c r="R4" s="421" t="s">
        <v>2758</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2759</v>
      </c>
      <c r="B6" s="243"/>
      <c r="C6" s="243"/>
      <c r="D6" s="241"/>
      <c r="E6" s="241"/>
      <c r="F6" s="243" t="s">
        <v>783</v>
      </c>
      <c r="G6" s="243"/>
      <c r="H6" s="241"/>
      <c r="I6" s="241"/>
      <c r="J6" s="243" t="s">
        <v>2760</v>
      </c>
      <c r="K6" s="243"/>
      <c r="L6" s="243"/>
      <c r="M6" s="243"/>
      <c r="N6" s="243"/>
      <c r="O6" s="243"/>
      <c r="P6" s="241"/>
      <c r="Q6" s="424" t="s">
        <v>2761</v>
      </c>
      <c r="R6" s="424">
        <v>950000</v>
      </c>
      <c r="S6" s="241"/>
      <c r="T6" s="241"/>
      <c r="U6" s="241"/>
      <c r="V6" s="425"/>
      <c r="W6" s="425"/>
      <c r="X6" s="244"/>
    </row>
    <row r="7" spans="1:26" s="418" customFormat="1" ht="11.45" customHeight="1">
      <c r="A7" s="423"/>
      <c r="B7" s="243"/>
      <c r="C7" s="243"/>
      <c r="D7" s="241"/>
      <c r="E7" s="241"/>
      <c r="F7" s="243"/>
      <c r="G7" s="243"/>
      <c r="H7" s="241"/>
      <c r="I7" s="241"/>
      <c r="J7" s="243" t="s">
        <v>1935</v>
      </c>
      <c r="K7" s="243"/>
      <c r="L7" s="243"/>
      <c r="M7" s="243"/>
      <c r="N7" s="243"/>
      <c r="O7" s="243"/>
      <c r="P7" s="241"/>
      <c r="Q7" s="424" t="s">
        <v>2761</v>
      </c>
      <c r="R7" s="424">
        <v>1700000</v>
      </c>
      <c r="S7" s="241"/>
      <c r="T7" s="241"/>
      <c r="U7" s="241"/>
      <c r="V7" s="425"/>
      <c r="W7" s="425"/>
      <c r="X7" s="244"/>
    </row>
    <row r="8" spans="1:26" s="418" customFormat="1" ht="11.45" customHeight="1">
      <c r="A8" s="243"/>
      <c r="B8" s="243"/>
      <c r="C8" s="243"/>
      <c r="D8" s="241"/>
      <c r="E8" s="241"/>
      <c r="F8" s="243" t="s">
        <v>3652</v>
      </c>
      <c r="G8" s="243"/>
      <c r="H8" s="241"/>
      <c r="I8" s="241"/>
      <c r="J8" s="243" t="s">
        <v>2793</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3613</v>
      </c>
      <c r="K9" s="243"/>
      <c r="L9" s="243"/>
      <c r="M9" s="243"/>
      <c r="N9" s="243"/>
      <c r="O9" s="243"/>
      <c r="P9" s="241"/>
      <c r="Q9" s="424" t="s">
        <v>2761</v>
      </c>
      <c r="R9" s="749">
        <v>0.25</v>
      </c>
      <c r="S9" s="241"/>
      <c r="T9" s="241"/>
      <c r="U9" s="241"/>
      <c r="V9" s="425"/>
      <c r="W9" s="425"/>
      <c r="X9" s="244"/>
    </row>
    <row r="10" spans="1:26" s="418" customFormat="1" ht="11.45" customHeight="1">
      <c r="A10" s="243"/>
      <c r="B10" s="243"/>
      <c r="C10" s="243"/>
      <c r="D10" s="241"/>
      <c r="E10" s="241"/>
      <c r="F10" s="243"/>
      <c r="G10" s="243"/>
      <c r="H10" s="241"/>
      <c r="I10" s="241"/>
      <c r="J10" s="428" t="s">
        <v>717</v>
      </c>
      <c r="K10" s="428" t="s">
        <v>3686</v>
      </c>
      <c r="L10" s="428" t="s">
        <v>3687</v>
      </c>
      <c r="M10" s="428" t="s">
        <v>3688</v>
      </c>
      <c r="N10" s="428" t="s">
        <v>3689</v>
      </c>
      <c r="O10" s="243"/>
      <c r="P10" s="241"/>
      <c r="Q10" s="429"/>
      <c r="R10" s="429"/>
      <c r="S10" s="426"/>
      <c r="T10" s="426"/>
      <c r="U10" s="241"/>
      <c r="V10" s="427"/>
      <c r="W10" s="427"/>
      <c r="X10" s="427"/>
    </row>
    <row r="11" spans="1:26" s="418" customFormat="1" ht="11.45" customHeight="1">
      <c r="A11" s="243"/>
      <c r="B11" s="243"/>
      <c r="C11" s="243"/>
      <c r="D11" s="241"/>
      <c r="E11" s="241"/>
      <c r="F11" s="243" t="s">
        <v>1936</v>
      </c>
      <c r="G11" s="243"/>
      <c r="H11" s="241"/>
      <c r="I11" s="241"/>
      <c r="J11" s="430">
        <v>110481</v>
      </c>
      <c r="K11" s="430">
        <v>126647</v>
      </c>
      <c r="L11" s="430">
        <v>154003</v>
      </c>
      <c r="M11" s="430">
        <v>199229</v>
      </c>
      <c r="N11" s="430">
        <v>218693</v>
      </c>
      <c r="O11" s="243"/>
      <c r="Q11" s="424" t="s">
        <v>2761</v>
      </c>
      <c r="R11" s="424">
        <f>'Part VI-Revenues &amp; Expenses'!$H$63*$J11+'Part VI-Revenues &amp; Expenses'!$I$63*$K11+'Part VI-Revenues &amp; Expenses'!$J$63*$L11+'Part VI-Revenues &amp; Expenses'!$K$63*$M11+'Part VI-Revenues &amp; Expenses'!$L$63*$N11</f>
        <v>12824553</v>
      </c>
      <c r="S11" s="452" t="s">
        <v>1349</v>
      </c>
      <c r="T11" s="426"/>
      <c r="U11" s="241"/>
      <c r="V11" s="427"/>
      <c r="W11" s="427"/>
      <c r="X11" s="427"/>
    </row>
    <row r="12" spans="1:26" s="418" customFormat="1" ht="11.45" customHeight="1">
      <c r="A12" s="243"/>
      <c r="B12" s="243"/>
      <c r="C12" s="243"/>
      <c r="D12" s="241"/>
      <c r="E12" s="241"/>
      <c r="F12" s="243" t="s">
        <v>1938</v>
      </c>
      <c r="G12" s="243"/>
      <c r="H12" s="241"/>
      <c r="I12" s="241"/>
      <c r="J12" s="430">
        <v>132577</v>
      </c>
      <c r="K12" s="430">
        <v>151976</v>
      </c>
      <c r="L12" s="430">
        <v>184804</v>
      </c>
      <c r="M12" s="430">
        <v>239075</v>
      </c>
      <c r="N12" s="430">
        <v>262432</v>
      </c>
      <c r="O12" s="243"/>
      <c r="Q12" s="424" t="s">
        <v>2761</v>
      </c>
      <c r="R12" s="424">
        <f>'Part VI-Revenues &amp; Expenses'!$H$63*$J12+'Part VI-Revenues &amp; Expenses'!$I$63*$K12+'Part VI-Revenues &amp; Expenses'!$J$63*$L12+'Part VI-Revenues &amp; Expenses'!$K$63*$M12+'Part VI-Revenues &amp; Expenses'!$L$63*$N12</f>
        <v>15389484</v>
      </c>
      <c r="S12" s="452" t="s">
        <v>1349</v>
      </c>
      <c r="T12" s="241"/>
      <c r="U12" s="241"/>
      <c r="V12" s="427"/>
      <c r="W12" s="427"/>
      <c r="X12" s="427"/>
    </row>
    <row r="13" spans="1:26" s="418" customFormat="1" ht="11.45" customHeight="1">
      <c r="A13" s="243"/>
      <c r="B13" s="243"/>
      <c r="C13" s="243"/>
      <c r="D13" s="241"/>
      <c r="E13" s="241"/>
      <c r="F13" s="243" t="s">
        <v>1937</v>
      </c>
      <c r="G13" s="243"/>
      <c r="H13" s="241"/>
      <c r="I13" s="241"/>
      <c r="J13" s="430">
        <v>121529</v>
      </c>
      <c r="K13" s="430">
        <v>139312</v>
      </c>
      <c r="L13" s="430">
        <v>169403</v>
      </c>
      <c r="M13" s="430">
        <v>219152</v>
      </c>
      <c r="N13" s="430">
        <v>240562</v>
      </c>
      <c r="O13" s="243"/>
      <c r="Q13" s="424" t="s">
        <v>2761</v>
      </c>
      <c r="R13" s="424">
        <f>'Part VI-Revenues &amp; Expenses'!$H$63*$J13+'Part VI-Revenues &amp; Expenses'!$I$63*$K13+'Part VI-Revenues &amp; Expenses'!$J$63*$L13+'Part VI-Revenues &amp; Expenses'!$K$63*$M13+'Part VI-Revenues &amp; Expenses'!$L$63*$N13</f>
        <v>14106998</v>
      </c>
      <c r="S13" s="452" t="s">
        <v>1349</v>
      </c>
      <c r="T13" s="241"/>
      <c r="U13" s="241"/>
      <c r="V13" s="427"/>
      <c r="W13" s="427"/>
      <c r="X13" s="427"/>
    </row>
    <row r="14" spans="1:26" s="418" customFormat="1" ht="3.4"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4" customHeight="1">
      <c r="A15" s="423" t="s">
        <v>1851</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1851</v>
      </c>
      <c r="C16" s="243"/>
      <c r="D16" s="241"/>
      <c r="E16" s="241"/>
      <c r="F16" s="243" t="s">
        <v>1852</v>
      </c>
      <c r="G16" s="243" t="s">
        <v>1867</v>
      </c>
      <c r="H16" s="241"/>
      <c r="I16" s="241"/>
      <c r="J16" s="243" t="s">
        <v>2282</v>
      </c>
      <c r="K16" s="243"/>
      <c r="L16" s="243"/>
      <c r="M16" s="243"/>
      <c r="N16" s="243"/>
      <c r="O16" s="243"/>
      <c r="P16" s="241"/>
      <c r="Q16" s="245">
        <v>4500</v>
      </c>
      <c r="R16" s="433" t="s">
        <v>2761</v>
      </c>
      <c r="S16" s="434"/>
    </row>
    <row r="17" spans="1:21" s="418" customFormat="1" ht="11.45" customHeight="1">
      <c r="A17" s="241"/>
      <c r="B17" s="243"/>
      <c r="C17" s="243"/>
      <c r="D17" s="241"/>
      <c r="E17" s="241"/>
      <c r="F17" s="243"/>
      <c r="G17" s="243" t="s">
        <v>2364</v>
      </c>
      <c r="H17" s="241"/>
      <c r="I17" s="241"/>
      <c r="J17" s="243" t="s">
        <v>2282</v>
      </c>
      <c r="K17" s="243"/>
      <c r="L17" s="243"/>
      <c r="M17" s="243"/>
      <c r="N17" s="243"/>
      <c r="O17" s="243"/>
      <c r="P17" s="241"/>
      <c r="Q17" s="245">
        <v>4000</v>
      </c>
      <c r="R17" s="433" t="s">
        <v>2761</v>
      </c>
      <c r="S17" s="434"/>
    </row>
    <row r="18" spans="1:21" s="418" customFormat="1" ht="11.45" customHeight="1">
      <c r="A18" s="243"/>
      <c r="B18" s="243"/>
      <c r="C18" s="243"/>
      <c r="D18" s="241"/>
      <c r="E18" s="241"/>
      <c r="F18" s="243" t="s">
        <v>2971</v>
      </c>
      <c r="G18" s="243"/>
      <c r="H18" s="241"/>
      <c r="I18" s="241"/>
      <c r="J18" s="243" t="s">
        <v>2282</v>
      </c>
      <c r="K18" s="243"/>
      <c r="L18" s="243"/>
      <c r="M18" s="243"/>
      <c r="N18" s="243"/>
      <c r="O18" s="243"/>
      <c r="P18" s="241"/>
      <c r="Q18" s="245">
        <v>3000</v>
      </c>
      <c r="R18" s="433" t="s">
        <v>2761</v>
      </c>
      <c r="S18" s="434"/>
    </row>
    <row r="19" spans="1:21" s="418" customFormat="1" ht="11.45" customHeight="1">
      <c r="A19" s="243"/>
      <c r="B19" s="243"/>
      <c r="C19" s="243"/>
      <c r="D19" s="241"/>
      <c r="E19" s="241"/>
      <c r="F19" s="243" t="s">
        <v>1853</v>
      </c>
      <c r="G19" s="243"/>
      <c r="H19" s="241"/>
      <c r="I19" s="241"/>
      <c r="J19" s="243" t="s">
        <v>2282</v>
      </c>
      <c r="K19" s="243"/>
      <c r="L19" s="243"/>
      <c r="M19" s="243"/>
      <c r="N19" s="243"/>
      <c r="O19" s="243"/>
      <c r="P19" s="241"/>
      <c r="Q19" s="245">
        <v>3000</v>
      </c>
      <c r="R19" s="433" t="s">
        <v>2761</v>
      </c>
      <c r="S19" s="434"/>
      <c r="T19" s="434"/>
      <c r="U19" s="434"/>
    </row>
    <row r="20" spans="1:21" s="418" customFormat="1" ht="11.45" customHeight="1">
      <c r="A20" s="243"/>
      <c r="B20" s="243" t="s">
        <v>1854</v>
      </c>
      <c r="C20" s="243"/>
      <c r="D20" s="241"/>
      <c r="E20" s="241"/>
      <c r="F20" s="243" t="s">
        <v>368</v>
      </c>
      <c r="G20" s="243"/>
      <c r="H20" s="241"/>
      <c r="I20" s="241"/>
      <c r="J20" s="243" t="s">
        <v>2282</v>
      </c>
      <c r="K20" s="243"/>
      <c r="L20" s="243"/>
      <c r="M20" s="243"/>
      <c r="N20" s="243"/>
      <c r="O20" s="243"/>
      <c r="P20" s="241"/>
      <c r="Q20" s="435">
        <v>350</v>
      </c>
      <c r="R20" s="433" t="s">
        <v>2761</v>
      </c>
      <c r="S20" s="434"/>
      <c r="T20" s="434"/>
      <c r="U20" s="434"/>
    </row>
    <row r="21" spans="1:21" s="418" customFormat="1" ht="11.45" customHeight="1">
      <c r="A21" s="243"/>
      <c r="B21" s="243"/>
      <c r="C21" s="243"/>
      <c r="D21" s="241"/>
      <c r="E21" s="241"/>
      <c r="F21" s="243" t="s">
        <v>1855</v>
      </c>
      <c r="G21" s="243"/>
      <c r="H21" s="241"/>
      <c r="I21" s="241"/>
      <c r="J21" s="243" t="s">
        <v>2282</v>
      </c>
      <c r="K21" s="243"/>
      <c r="L21" s="243"/>
      <c r="M21" s="243"/>
      <c r="N21" s="243"/>
      <c r="O21" s="243"/>
      <c r="P21" s="241"/>
      <c r="Q21" s="435">
        <v>250</v>
      </c>
      <c r="R21" s="433" t="s">
        <v>2761</v>
      </c>
      <c r="S21" s="434"/>
      <c r="T21" s="434"/>
      <c r="U21" s="434"/>
    </row>
    <row r="22" spans="1:21" s="418" customFormat="1" ht="11.45" customHeight="1">
      <c r="A22" s="243"/>
      <c r="B22" s="243"/>
      <c r="C22" s="243"/>
      <c r="D22" s="243"/>
      <c r="E22" s="241"/>
      <c r="F22" s="243" t="s">
        <v>1856</v>
      </c>
      <c r="G22" s="243"/>
      <c r="H22" s="241"/>
      <c r="I22" s="241"/>
      <c r="J22" s="243" t="s">
        <v>2282</v>
      </c>
      <c r="K22" s="243"/>
      <c r="L22" s="243"/>
      <c r="M22" s="243"/>
      <c r="N22" s="243"/>
      <c r="O22" s="243"/>
      <c r="P22" s="241"/>
      <c r="Q22" s="435">
        <v>420</v>
      </c>
      <c r="R22" s="433" t="s">
        <v>2761</v>
      </c>
      <c r="S22" s="434"/>
      <c r="T22" s="434"/>
      <c r="U22" s="434"/>
    </row>
    <row r="23" spans="1:21" s="418" customFormat="1" ht="11.45" customHeight="1">
      <c r="A23" s="243"/>
      <c r="B23" s="243"/>
      <c r="C23" s="243"/>
      <c r="D23" s="243"/>
      <c r="E23" s="241"/>
      <c r="F23" s="243" t="s">
        <v>1797</v>
      </c>
      <c r="G23" s="243"/>
      <c r="H23" s="241"/>
      <c r="I23" s="241"/>
      <c r="J23" s="243" t="s">
        <v>2282</v>
      </c>
      <c r="K23" s="243"/>
      <c r="L23" s="243"/>
      <c r="M23" s="243"/>
      <c r="N23" s="243"/>
      <c r="O23" s="243"/>
      <c r="P23" s="241"/>
      <c r="Q23" s="435">
        <v>420</v>
      </c>
      <c r="R23" s="433" t="s">
        <v>2761</v>
      </c>
      <c r="S23" s="434"/>
      <c r="T23" s="434"/>
      <c r="U23" s="434"/>
    </row>
    <row r="24" spans="1:21" s="418" customFormat="1" ht="3.4"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4" customHeight="1">
      <c r="A25" s="423" t="s">
        <v>1857</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1858</v>
      </c>
      <c r="C26" s="243"/>
      <c r="D26" s="243"/>
      <c r="E26" s="241"/>
      <c r="F26" s="246" t="s">
        <v>1859</v>
      </c>
      <c r="G26" s="243"/>
      <c r="H26" s="241"/>
      <c r="I26" s="241"/>
      <c r="J26" s="243" t="s">
        <v>1860</v>
      </c>
      <c r="K26" s="243"/>
      <c r="L26" s="243"/>
      <c r="M26" s="243"/>
      <c r="N26" s="243"/>
      <c r="O26" s="243"/>
      <c r="P26" s="241"/>
      <c r="Q26" s="1079">
        <v>4000</v>
      </c>
      <c r="R26" s="1080"/>
      <c r="S26" s="434"/>
      <c r="T26" s="434"/>
      <c r="U26" s="434"/>
    </row>
    <row r="27" spans="1:21" s="418" customFormat="1" ht="11.45" customHeight="1">
      <c r="A27" s="243"/>
      <c r="B27" s="243"/>
      <c r="C27" s="243"/>
      <c r="D27" s="243"/>
      <c r="E27" s="241"/>
      <c r="F27" s="246" t="s">
        <v>1859</v>
      </c>
      <c r="G27" s="243"/>
      <c r="H27" s="241"/>
      <c r="I27" s="241"/>
      <c r="J27" s="243" t="s">
        <v>1861</v>
      </c>
      <c r="K27" s="243"/>
      <c r="L27" s="243"/>
      <c r="M27" s="243"/>
      <c r="N27" s="243"/>
      <c r="O27" s="243"/>
      <c r="P27" s="241"/>
      <c r="Q27" s="1079">
        <v>3000</v>
      </c>
      <c r="R27" s="1080"/>
      <c r="S27" s="434"/>
      <c r="T27" s="434"/>
      <c r="U27" s="434"/>
    </row>
    <row r="28" spans="1:21" s="418" customFormat="1" ht="11.45" customHeight="1">
      <c r="A28" s="241"/>
      <c r="B28" s="241"/>
      <c r="C28" s="243"/>
      <c r="D28" s="243"/>
      <c r="E28" s="241"/>
      <c r="F28" s="246" t="s">
        <v>1862</v>
      </c>
      <c r="G28" s="243"/>
      <c r="H28" s="241"/>
      <c r="I28" s="241"/>
      <c r="J28" s="243" t="s">
        <v>1860</v>
      </c>
      <c r="K28" s="243"/>
      <c r="L28" s="243"/>
      <c r="M28" s="243"/>
      <c r="N28" s="243"/>
      <c r="O28" s="243"/>
      <c r="P28" s="241"/>
      <c r="Q28" s="1079">
        <v>1000</v>
      </c>
      <c r="R28" s="1080"/>
      <c r="S28" s="434"/>
      <c r="T28" s="434"/>
      <c r="U28" s="434"/>
    </row>
    <row r="29" spans="1:21" s="418" customFormat="1" ht="11.45" customHeight="1">
      <c r="A29" s="243"/>
      <c r="B29" s="243"/>
      <c r="C29" s="243"/>
      <c r="D29" s="243"/>
      <c r="E29" s="241"/>
      <c r="F29" s="246" t="s">
        <v>1862</v>
      </c>
      <c r="G29" s="243"/>
      <c r="H29" s="241"/>
      <c r="I29" s="241"/>
      <c r="J29" s="243" t="s">
        <v>1861</v>
      </c>
      <c r="K29" s="243"/>
      <c r="L29" s="243"/>
      <c r="M29" s="243"/>
      <c r="N29" s="243"/>
      <c r="O29" s="243"/>
      <c r="P29" s="241"/>
      <c r="Q29" s="1079">
        <v>500</v>
      </c>
      <c r="R29" s="1080"/>
      <c r="S29" s="434"/>
      <c r="T29" s="434"/>
      <c r="U29" s="434"/>
    </row>
    <row r="30" spans="1:21" s="418" customFormat="1" ht="11.45" customHeight="1">
      <c r="A30" s="243"/>
      <c r="B30" s="243"/>
      <c r="C30" s="243"/>
      <c r="D30" s="243"/>
      <c r="E30" s="241"/>
      <c r="F30" s="246" t="s">
        <v>1252</v>
      </c>
      <c r="G30" s="243"/>
      <c r="H30" s="241"/>
      <c r="I30" s="241"/>
      <c r="J30" s="243" t="s">
        <v>1860</v>
      </c>
      <c r="K30" s="243"/>
      <c r="L30" s="243"/>
      <c r="M30" s="243"/>
      <c r="N30" s="243"/>
      <c r="O30" s="243"/>
      <c r="P30" s="241"/>
      <c r="Q30" s="1079">
        <v>5000</v>
      </c>
      <c r="R30" s="1080"/>
      <c r="S30" s="434"/>
      <c r="T30" s="434"/>
      <c r="U30" s="434"/>
    </row>
    <row r="31" spans="1:21" s="418" customFormat="1" ht="11.45" customHeight="1">
      <c r="A31" s="243"/>
      <c r="B31" s="243"/>
      <c r="C31" s="243"/>
      <c r="D31" s="243"/>
      <c r="E31" s="241"/>
      <c r="F31" s="246" t="s">
        <v>1252</v>
      </c>
      <c r="G31" s="243"/>
      <c r="H31" s="241"/>
      <c r="I31" s="241"/>
      <c r="J31" s="243" t="s">
        <v>1861</v>
      </c>
      <c r="K31" s="243"/>
      <c r="L31" s="243"/>
      <c r="M31" s="243"/>
      <c r="N31" s="243"/>
      <c r="O31" s="243"/>
      <c r="P31" s="241"/>
      <c r="Q31" s="1079">
        <v>3500</v>
      </c>
      <c r="R31" s="1080"/>
      <c r="S31" s="434"/>
      <c r="T31" s="434"/>
      <c r="U31" s="434"/>
    </row>
    <row r="32" spans="1:21" s="418" customFormat="1" ht="11.45" customHeight="1">
      <c r="A32" s="243"/>
      <c r="B32" s="243" t="s">
        <v>1253</v>
      </c>
      <c r="C32" s="243"/>
      <c r="D32" s="241"/>
      <c r="E32" s="241"/>
      <c r="F32" s="243" t="s">
        <v>368</v>
      </c>
      <c r="G32" s="243"/>
      <c r="H32" s="241"/>
      <c r="I32" s="241"/>
      <c r="J32" s="243" t="s">
        <v>779</v>
      </c>
      <c r="K32" s="243"/>
      <c r="L32" s="243"/>
      <c r="M32" s="243"/>
      <c r="N32" s="243"/>
      <c r="O32" s="243"/>
      <c r="P32" s="241"/>
      <c r="Q32" s="424">
        <v>25000</v>
      </c>
      <c r="R32" s="433" t="s">
        <v>780</v>
      </c>
      <c r="S32" s="434"/>
      <c r="T32" s="434"/>
      <c r="U32" s="434"/>
    </row>
    <row r="33" spans="1:21" s="418" customFormat="1" ht="11.45" customHeight="1">
      <c r="A33" s="243"/>
      <c r="B33" s="243"/>
      <c r="C33" s="243"/>
      <c r="D33" s="241"/>
      <c r="E33" s="241"/>
      <c r="F33" s="243"/>
      <c r="G33" s="243"/>
      <c r="H33" s="241"/>
      <c r="I33" s="241"/>
      <c r="J33" s="243" t="s">
        <v>781</v>
      </c>
      <c r="K33" s="243"/>
      <c r="L33" s="243"/>
      <c r="M33" s="243"/>
      <c r="N33" s="243"/>
      <c r="O33" s="243"/>
      <c r="P33" s="241"/>
      <c r="Q33" s="424">
        <v>30000</v>
      </c>
      <c r="R33" s="433" t="s">
        <v>780</v>
      </c>
      <c r="S33" s="434"/>
      <c r="T33" s="434"/>
      <c r="U33" s="434"/>
    </row>
    <row r="34" spans="1:21" s="418" customFormat="1" ht="11.45" customHeight="1">
      <c r="A34" s="243"/>
      <c r="B34" s="243" t="s">
        <v>3038</v>
      </c>
      <c r="C34" s="243"/>
      <c r="D34" s="241"/>
      <c r="E34" s="241"/>
      <c r="F34" s="243" t="s">
        <v>1855</v>
      </c>
      <c r="G34" s="243"/>
      <c r="H34" s="241"/>
      <c r="I34" s="241"/>
      <c r="J34" s="243" t="s">
        <v>1580</v>
      </c>
      <c r="K34" s="243"/>
      <c r="L34" s="243"/>
      <c r="M34" s="243"/>
      <c r="N34" s="243"/>
      <c r="O34" s="243"/>
      <c r="P34" s="241"/>
      <c r="Q34" s="749" t="s">
        <v>1581</v>
      </c>
      <c r="R34" s="749">
        <v>0.05</v>
      </c>
      <c r="S34" s="434"/>
      <c r="T34" s="434"/>
      <c r="U34" s="434"/>
    </row>
    <row r="35" spans="1:21" s="418" customFormat="1" ht="11.45" customHeight="1">
      <c r="A35" s="243"/>
      <c r="B35" s="243"/>
      <c r="C35" s="243"/>
      <c r="D35" s="241"/>
      <c r="E35" s="241"/>
      <c r="F35" s="243"/>
      <c r="G35" s="243"/>
      <c r="H35" s="241"/>
      <c r="I35" s="241"/>
      <c r="J35" s="243" t="s">
        <v>3113</v>
      </c>
      <c r="K35" s="243"/>
      <c r="L35" s="243"/>
      <c r="M35" s="243"/>
      <c r="N35" s="243"/>
      <c r="O35" s="243"/>
      <c r="P35" s="241"/>
      <c r="Q35" s="749" t="s">
        <v>1581</v>
      </c>
      <c r="R35" s="424">
        <v>500000</v>
      </c>
      <c r="S35" s="434"/>
      <c r="T35" s="434"/>
      <c r="U35" s="434"/>
    </row>
    <row r="36" spans="1:21" s="418" customFormat="1" ht="11.45" customHeight="1">
      <c r="A36" s="243"/>
      <c r="B36" s="243"/>
      <c r="C36" s="243"/>
      <c r="D36" s="241"/>
      <c r="E36" s="241"/>
      <c r="F36" s="243" t="s">
        <v>368</v>
      </c>
      <c r="G36" s="243"/>
      <c r="H36" s="241"/>
      <c r="I36" s="241"/>
      <c r="J36" s="243" t="s">
        <v>1580</v>
      </c>
      <c r="K36" s="243"/>
      <c r="L36" s="243"/>
      <c r="M36" s="243"/>
      <c r="N36" s="243"/>
      <c r="O36" s="243"/>
      <c r="P36" s="241"/>
      <c r="Q36" s="749" t="s">
        <v>1581</v>
      </c>
      <c r="R36" s="749">
        <v>7.0000000000000007E-2</v>
      </c>
      <c r="S36" s="434"/>
      <c r="T36" s="434"/>
      <c r="U36" s="434"/>
    </row>
    <row r="37" spans="1:21" s="418" customFormat="1" ht="11.45" customHeight="1">
      <c r="A37" s="243"/>
      <c r="B37" s="243"/>
      <c r="C37" s="243"/>
      <c r="D37" s="241"/>
      <c r="E37" s="241"/>
      <c r="F37" s="243"/>
      <c r="G37" s="243"/>
      <c r="H37" s="241"/>
      <c r="I37" s="241"/>
      <c r="J37" s="243" t="s">
        <v>3113</v>
      </c>
      <c r="K37" s="243"/>
      <c r="L37" s="243"/>
      <c r="M37" s="243"/>
      <c r="N37" s="243"/>
      <c r="O37" s="243"/>
      <c r="P37" s="241"/>
      <c r="Q37" s="749" t="s">
        <v>1581</v>
      </c>
      <c r="R37" s="424">
        <v>500000</v>
      </c>
      <c r="S37" s="434"/>
      <c r="T37" s="434"/>
      <c r="U37" s="434"/>
    </row>
    <row r="38" spans="1:21" s="418" customFormat="1" ht="11.45" customHeight="1">
      <c r="A38" s="243"/>
      <c r="B38" s="243" t="s">
        <v>3128</v>
      </c>
      <c r="C38" s="243"/>
      <c r="D38" s="241"/>
      <c r="E38" s="241"/>
      <c r="F38" s="243" t="s">
        <v>2761</v>
      </c>
      <c r="G38" s="243"/>
      <c r="H38" s="241"/>
      <c r="I38" s="241"/>
      <c r="J38" s="243" t="s">
        <v>459</v>
      </c>
      <c r="K38" s="243"/>
      <c r="L38" s="243"/>
      <c r="M38" s="243"/>
      <c r="N38" s="243"/>
      <c r="O38" s="243"/>
      <c r="P38" s="241"/>
      <c r="Q38" s="433" t="s">
        <v>2761</v>
      </c>
      <c r="R38" s="749">
        <v>0.06</v>
      </c>
      <c r="S38" s="434"/>
      <c r="T38" s="434"/>
      <c r="U38" s="434"/>
    </row>
    <row r="39" spans="1:21" s="418" customFormat="1" ht="11.45" customHeight="1">
      <c r="A39" s="243"/>
      <c r="B39" s="243" t="s">
        <v>3129</v>
      </c>
      <c r="C39" s="243"/>
      <c r="D39" s="241"/>
      <c r="E39" s="241"/>
      <c r="F39" s="243" t="s">
        <v>2761</v>
      </c>
      <c r="G39" s="243"/>
      <c r="H39" s="241"/>
      <c r="I39" s="241"/>
      <c r="J39" s="243" t="s">
        <v>459</v>
      </c>
      <c r="K39" s="243"/>
      <c r="L39" s="243"/>
      <c r="M39" s="243"/>
      <c r="N39" s="243"/>
      <c r="O39" s="243"/>
      <c r="P39" s="241"/>
      <c r="Q39" s="433" t="s">
        <v>2761</v>
      </c>
      <c r="R39" s="749">
        <v>0.02</v>
      </c>
      <c r="S39" s="434"/>
      <c r="T39" s="434"/>
      <c r="U39" s="434"/>
    </row>
    <row r="40" spans="1:21" s="418" customFormat="1" ht="11.45" customHeight="1">
      <c r="A40" s="243"/>
      <c r="B40" s="243" t="s">
        <v>1579</v>
      </c>
      <c r="C40" s="243"/>
      <c r="D40" s="241"/>
      <c r="E40" s="241"/>
      <c r="F40" s="243" t="s">
        <v>2761</v>
      </c>
      <c r="G40" s="243"/>
      <c r="H40" s="241"/>
      <c r="I40" s="241"/>
      <c r="J40" s="243" t="s">
        <v>459</v>
      </c>
      <c r="K40" s="243"/>
      <c r="L40" s="243"/>
      <c r="M40" s="243"/>
      <c r="N40" s="243"/>
      <c r="O40" s="243"/>
      <c r="P40" s="241"/>
      <c r="Q40" s="433" t="s">
        <v>2761</v>
      </c>
      <c r="R40" s="749">
        <v>0.06</v>
      </c>
      <c r="S40" s="434"/>
      <c r="T40" s="434"/>
      <c r="U40" s="434"/>
    </row>
    <row r="41" spans="1:21" s="418" customFormat="1" ht="11.45" customHeight="1">
      <c r="A41" s="243"/>
      <c r="B41" s="246" t="s">
        <v>1544</v>
      </c>
      <c r="C41" s="243"/>
      <c r="D41" s="241"/>
      <c r="E41" s="241"/>
      <c r="F41" s="243" t="s">
        <v>1545</v>
      </c>
      <c r="G41" s="243"/>
      <c r="H41" s="241"/>
      <c r="I41" s="241"/>
      <c r="J41" s="243" t="s">
        <v>1546</v>
      </c>
      <c r="K41" s="243"/>
      <c r="L41" s="243"/>
      <c r="M41" s="243"/>
      <c r="N41" s="243"/>
      <c r="O41" s="243"/>
      <c r="P41" s="241"/>
      <c r="Q41" s="1078">
        <v>7.0000000000000007E-2</v>
      </c>
      <c r="R41" s="1078"/>
      <c r="S41" s="434"/>
      <c r="T41" s="434"/>
      <c r="U41" s="434"/>
    </row>
    <row r="42" spans="1:21" s="418" customFormat="1" ht="11.45" customHeight="1">
      <c r="A42" s="243"/>
      <c r="B42" s="246" t="s">
        <v>1547</v>
      </c>
      <c r="C42" s="243"/>
      <c r="D42" s="241"/>
      <c r="E42" s="241"/>
      <c r="F42" s="243" t="s">
        <v>1545</v>
      </c>
      <c r="G42" s="243"/>
      <c r="H42" s="241"/>
      <c r="I42" s="241"/>
      <c r="J42" s="243" t="s">
        <v>1546</v>
      </c>
      <c r="K42" s="243"/>
      <c r="L42" s="243"/>
      <c r="M42" s="243"/>
      <c r="N42" s="243"/>
      <c r="O42" s="243"/>
      <c r="P42" s="241"/>
      <c r="Q42" s="1078">
        <v>7.0000000000000007E-2</v>
      </c>
      <c r="R42" s="1078"/>
      <c r="S42" s="434"/>
      <c r="T42" s="434"/>
      <c r="U42" s="434"/>
    </row>
    <row r="43" spans="1:21" s="418" customFormat="1" ht="11.45" customHeight="1">
      <c r="A43" s="243"/>
      <c r="B43" s="246" t="s">
        <v>696</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45" customHeight="1">
      <c r="A44" s="243"/>
      <c r="B44" s="243" t="s">
        <v>1548</v>
      </c>
      <c r="C44" s="243"/>
      <c r="D44" s="241"/>
      <c r="E44" s="241"/>
      <c r="F44" s="243" t="s">
        <v>2378</v>
      </c>
      <c r="G44" s="243"/>
      <c r="H44" s="241"/>
      <c r="I44" s="241"/>
      <c r="J44" s="243" t="s">
        <v>2282</v>
      </c>
      <c r="K44" s="243"/>
      <c r="L44" s="243"/>
      <c r="M44" s="243"/>
      <c r="N44" s="243"/>
      <c r="O44" s="243"/>
      <c r="P44" s="241"/>
      <c r="Q44" s="433">
        <v>700</v>
      </c>
      <c r="R44" s="433" t="s">
        <v>2761</v>
      </c>
      <c r="S44" s="434"/>
      <c r="T44" s="434"/>
      <c r="U44" s="434"/>
    </row>
    <row r="45" spans="1:21" s="418" customFormat="1" ht="11.45" customHeight="1">
      <c r="A45" s="243"/>
      <c r="B45" s="243"/>
      <c r="C45" s="243"/>
      <c r="D45" s="241"/>
      <c r="E45" s="241"/>
      <c r="F45" s="243" t="s">
        <v>2738</v>
      </c>
      <c r="G45" s="243"/>
      <c r="H45" s="241"/>
      <c r="I45" s="241"/>
      <c r="J45" s="243" t="s">
        <v>2282</v>
      </c>
      <c r="K45" s="243"/>
      <c r="L45" s="243"/>
      <c r="M45" s="243"/>
      <c r="N45" s="243"/>
      <c r="O45" s="243"/>
      <c r="P45" s="241"/>
      <c r="Q45" s="433">
        <v>150</v>
      </c>
      <c r="R45" s="433" t="s">
        <v>2761</v>
      </c>
      <c r="S45" s="434"/>
      <c r="T45" s="434"/>
      <c r="U45" s="434"/>
    </row>
    <row r="46" spans="1:21" s="418" customFormat="1" ht="11.45" customHeight="1">
      <c r="A46" s="243"/>
      <c r="B46" s="243" t="s">
        <v>2917</v>
      </c>
      <c r="C46" s="243"/>
      <c r="D46" s="241"/>
      <c r="E46" s="241"/>
      <c r="F46" s="243"/>
      <c r="G46" s="243"/>
      <c r="H46" s="243"/>
      <c r="I46" s="241"/>
      <c r="J46" s="243" t="s">
        <v>2758</v>
      </c>
      <c r="K46" s="243"/>
      <c r="L46" s="243"/>
      <c r="M46" s="243"/>
      <c r="N46" s="243"/>
      <c r="O46" s="243"/>
      <c r="P46" s="241"/>
      <c r="Q46" s="1079">
        <v>1800000</v>
      </c>
      <c r="R46" s="1080"/>
      <c r="S46" s="434"/>
      <c r="T46" s="434"/>
      <c r="U46" s="434"/>
    </row>
    <row r="47" spans="1:21" s="418" customFormat="1" ht="11.45" customHeight="1">
      <c r="A47" s="243"/>
      <c r="B47" s="243"/>
      <c r="C47" s="243"/>
      <c r="D47" s="241"/>
      <c r="E47" s="241"/>
      <c r="F47" s="243" t="s">
        <v>2739</v>
      </c>
      <c r="G47" s="243"/>
      <c r="H47" s="243" t="s">
        <v>3436</v>
      </c>
      <c r="I47" s="241"/>
      <c r="J47" s="243" t="s">
        <v>1587</v>
      </c>
      <c r="K47" s="243"/>
      <c r="L47" s="243"/>
      <c r="M47" s="243"/>
      <c r="N47" s="243"/>
      <c r="O47" s="243"/>
      <c r="P47" s="241"/>
      <c r="Q47" s="1078">
        <v>0.15</v>
      </c>
      <c r="R47" s="1078"/>
      <c r="S47" s="434"/>
      <c r="T47" s="434"/>
      <c r="U47" s="434"/>
    </row>
    <row r="48" spans="1:21" s="418" customFormat="1" ht="11.45" customHeight="1">
      <c r="A48" s="243"/>
      <c r="B48" s="583"/>
      <c r="C48" s="243"/>
      <c r="D48" s="241"/>
      <c r="E48" s="241"/>
      <c r="F48" s="243"/>
      <c r="G48" s="243"/>
      <c r="H48" s="243" t="s">
        <v>1583</v>
      </c>
      <c r="I48" s="243" t="s">
        <v>1584</v>
      </c>
      <c r="J48" s="243" t="s">
        <v>1586</v>
      </c>
      <c r="K48" s="243"/>
      <c r="L48" s="243"/>
      <c r="M48" s="243"/>
      <c r="N48" s="243"/>
      <c r="O48" s="243"/>
      <c r="P48" s="241"/>
      <c r="Q48" s="1078">
        <v>0.15</v>
      </c>
      <c r="R48" s="1078"/>
      <c r="S48" s="434"/>
      <c r="T48" s="434"/>
      <c r="U48" s="434"/>
    </row>
    <row r="49" spans="1:21" s="418" customFormat="1" ht="11.45" customHeight="1">
      <c r="A49" s="243"/>
      <c r="B49" s="583"/>
      <c r="C49" s="243"/>
      <c r="D49" s="241"/>
      <c r="E49" s="241"/>
      <c r="F49" s="243"/>
      <c r="G49" s="243"/>
      <c r="H49" s="243"/>
      <c r="I49" s="243" t="s">
        <v>1585</v>
      </c>
      <c r="J49" s="243" t="s">
        <v>1588</v>
      </c>
      <c r="K49" s="243"/>
      <c r="L49" s="243"/>
      <c r="M49" s="243"/>
      <c r="N49" s="243"/>
      <c r="O49" s="243"/>
      <c r="P49" s="241"/>
      <c r="Q49" s="1078">
        <v>0.15</v>
      </c>
      <c r="R49" s="1078"/>
      <c r="S49" s="434"/>
      <c r="T49" s="434"/>
      <c r="U49" s="434"/>
    </row>
    <row r="50" spans="1:21" s="418" customFormat="1" ht="11.45" customHeight="1">
      <c r="A50" s="243"/>
      <c r="B50" s="583"/>
      <c r="C50" s="243"/>
      <c r="D50" s="241"/>
      <c r="E50" s="241"/>
      <c r="F50" s="243"/>
      <c r="G50" s="243"/>
      <c r="H50" s="243" t="s">
        <v>1582</v>
      </c>
      <c r="I50" s="241"/>
      <c r="J50" s="243" t="s">
        <v>1588</v>
      </c>
      <c r="K50" s="243"/>
      <c r="L50" s="243"/>
      <c r="M50" s="243"/>
      <c r="N50" s="243"/>
      <c r="O50" s="243"/>
      <c r="P50" s="241"/>
      <c r="Q50" s="1078">
        <v>0.15</v>
      </c>
      <c r="R50" s="1078"/>
      <c r="S50" s="434"/>
      <c r="T50" s="434"/>
      <c r="U50" s="434"/>
    </row>
    <row r="51" spans="1:21" s="418" customFormat="1" ht="11.45" customHeight="1">
      <c r="A51" s="243"/>
      <c r="B51" s="583"/>
      <c r="C51" s="243"/>
      <c r="D51" s="241"/>
      <c r="E51" s="241"/>
      <c r="F51" s="243"/>
      <c r="G51" s="243"/>
      <c r="H51" s="243"/>
      <c r="I51" s="243" t="s">
        <v>1589</v>
      </c>
      <c r="J51" s="243" t="s">
        <v>1590</v>
      </c>
      <c r="K51" s="243"/>
      <c r="L51" s="243"/>
      <c r="M51" s="243"/>
      <c r="N51" s="243"/>
      <c r="O51" s="243"/>
      <c r="P51" s="241"/>
      <c r="Q51" s="1078">
        <v>0.15</v>
      </c>
      <c r="R51" s="1078"/>
      <c r="S51" s="434"/>
      <c r="T51" s="434"/>
      <c r="U51" s="434"/>
    </row>
    <row r="52" spans="1:21" s="418" customFormat="1" ht="11.45" customHeight="1">
      <c r="A52" s="243"/>
      <c r="B52" s="583"/>
      <c r="C52" s="243"/>
      <c r="D52" s="241"/>
      <c r="E52" s="241"/>
      <c r="F52" s="243" t="s">
        <v>2788</v>
      </c>
      <c r="G52" s="243"/>
      <c r="H52" s="243"/>
      <c r="I52" s="241"/>
      <c r="J52" s="243" t="s">
        <v>3585</v>
      </c>
      <c r="K52" s="243"/>
      <c r="L52" s="243"/>
      <c r="M52" s="243"/>
      <c r="N52" s="243"/>
      <c r="O52" s="243"/>
      <c r="P52" s="241"/>
      <c r="Q52" s="1078">
        <v>0.15</v>
      </c>
      <c r="R52" s="1078"/>
      <c r="S52" s="434"/>
      <c r="T52" s="434"/>
      <c r="U52" s="434"/>
    </row>
    <row r="53" spans="1:21" s="418" customFormat="1" ht="11.45" customHeight="1">
      <c r="A53" s="243"/>
      <c r="B53" s="583"/>
      <c r="C53" s="243"/>
      <c r="D53" s="241"/>
      <c r="E53" s="241"/>
      <c r="G53" s="243"/>
      <c r="H53" s="243"/>
      <c r="I53" s="241"/>
      <c r="J53" s="243" t="s">
        <v>3586</v>
      </c>
      <c r="K53" s="243"/>
      <c r="L53" s="243"/>
      <c r="M53" s="243"/>
      <c r="N53" s="243"/>
      <c r="O53" s="243"/>
      <c r="P53" s="241"/>
      <c r="Q53" s="1078" t="s">
        <v>3587</v>
      </c>
      <c r="R53" s="1078"/>
      <c r="S53" s="434"/>
      <c r="T53" s="434"/>
      <c r="U53" s="434"/>
    </row>
    <row r="54" spans="1:21" s="418" customFormat="1" ht="11.45" customHeight="1">
      <c r="A54" s="243"/>
      <c r="B54" s="583"/>
      <c r="C54" s="243"/>
      <c r="D54" s="241"/>
      <c r="E54" s="241"/>
      <c r="F54" s="243" t="s">
        <v>3115</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3114</v>
      </c>
      <c r="G55" s="243"/>
      <c r="I55" s="241"/>
      <c r="J55" s="243"/>
      <c r="K55" s="243"/>
      <c r="L55" s="243"/>
      <c r="M55" s="243"/>
      <c r="N55" s="243"/>
      <c r="O55" s="243"/>
      <c r="P55" s="241"/>
      <c r="Q55" s="749">
        <v>0</v>
      </c>
      <c r="R55" s="749">
        <v>0.5</v>
      </c>
      <c r="S55" s="434"/>
      <c r="T55" s="434"/>
      <c r="U55" s="434"/>
    </row>
    <row r="56" spans="1:21" s="418" customFormat="1" ht="11.45" customHeight="1">
      <c r="A56" s="243"/>
      <c r="B56" s="243" t="s">
        <v>2789</v>
      </c>
      <c r="C56" s="243"/>
      <c r="D56" s="243"/>
      <c r="E56" s="243"/>
      <c r="F56" s="243"/>
      <c r="G56" s="243"/>
      <c r="H56" s="241"/>
      <c r="I56" s="241"/>
      <c r="J56" s="243" t="s">
        <v>2790</v>
      </c>
      <c r="K56" s="243"/>
      <c r="L56" s="243"/>
      <c r="M56" s="243"/>
      <c r="N56" s="243"/>
      <c r="O56" s="243"/>
      <c r="P56" s="241"/>
      <c r="Q56" s="436">
        <v>6</v>
      </c>
      <c r="R56" s="433" t="s">
        <v>2761</v>
      </c>
      <c r="S56" s="434"/>
      <c r="T56" s="434"/>
      <c r="U56" s="434"/>
    </row>
    <row r="57" spans="1:21" s="418" customFormat="1" ht="11.45" customHeight="1">
      <c r="A57" s="243"/>
      <c r="B57" s="243"/>
      <c r="C57" s="243"/>
      <c r="D57" s="243"/>
      <c r="E57" s="243"/>
      <c r="F57" s="243"/>
      <c r="G57" s="243"/>
      <c r="H57" s="241"/>
      <c r="I57" s="241"/>
      <c r="J57" s="243" t="s">
        <v>2791</v>
      </c>
      <c r="K57" s="243"/>
      <c r="L57" s="243"/>
      <c r="M57" s="243"/>
      <c r="N57" s="243"/>
      <c r="O57" s="243"/>
      <c r="P57" s="241"/>
      <c r="Q57" s="436">
        <v>6</v>
      </c>
      <c r="R57" s="433" t="s">
        <v>2761</v>
      </c>
      <c r="S57" s="434"/>
      <c r="T57" s="434"/>
      <c r="U57" s="434"/>
    </row>
    <row r="58" spans="1:21" s="418" customFormat="1" ht="11.45" customHeight="1">
      <c r="A58" s="243"/>
      <c r="B58" s="587" t="s">
        <v>3116</v>
      </c>
      <c r="C58" s="243"/>
      <c r="D58" s="241"/>
      <c r="E58" s="241"/>
      <c r="F58" s="243"/>
      <c r="G58" s="243"/>
      <c r="I58" s="241"/>
      <c r="J58" s="243" t="s">
        <v>3117</v>
      </c>
      <c r="K58" s="243"/>
      <c r="L58" s="243"/>
      <c r="M58" s="243"/>
      <c r="N58" s="243"/>
      <c r="O58" s="243"/>
      <c r="P58" s="241"/>
      <c r="Q58" s="436">
        <v>3</v>
      </c>
      <c r="R58" s="433" t="s">
        <v>2761</v>
      </c>
      <c r="S58" s="434"/>
      <c r="T58" s="434"/>
      <c r="U58" s="434"/>
    </row>
    <row r="59" spans="1:21" s="418" customFormat="1" ht="11.45" customHeight="1">
      <c r="A59" s="243"/>
      <c r="B59" s="246" t="s">
        <v>2792</v>
      </c>
      <c r="C59" s="243"/>
      <c r="D59" s="241"/>
      <c r="E59" s="243"/>
      <c r="F59" s="243"/>
      <c r="G59" s="243"/>
      <c r="H59" s="241"/>
      <c r="I59" s="241"/>
      <c r="J59" s="243" t="s">
        <v>2793</v>
      </c>
      <c r="K59" s="243"/>
      <c r="L59" s="243"/>
      <c r="M59" s="243"/>
      <c r="N59" s="243"/>
      <c r="O59" s="243"/>
      <c r="P59" s="241"/>
      <c r="Q59" s="1079">
        <v>3000</v>
      </c>
      <c r="R59" s="1080"/>
      <c r="S59" s="434"/>
      <c r="T59" s="434"/>
      <c r="U59" s="434"/>
    </row>
    <row r="60" spans="1:21" s="418" customFormat="1" ht="3.4"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4" customHeight="1">
      <c r="A61" s="423" t="s">
        <v>2794</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3655</v>
      </c>
      <c r="C62" s="748"/>
      <c r="D62" s="748"/>
      <c r="E62" s="748"/>
      <c r="F62" s="748"/>
      <c r="G62" s="748"/>
      <c r="J62" s="438">
        <v>1</v>
      </c>
      <c r="K62" s="438">
        <v>2</v>
      </c>
      <c r="L62" s="438">
        <v>3</v>
      </c>
      <c r="M62" s="438">
        <v>4</v>
      </c>
      <c r="N62" s="438">
        <v>5</v>
      </c>
      <c r="O62" s="438">
        <v>6</v>
      </c>
      <c r="P62" s="438">
        <v>7</v>
      </c>
      <c r="Q62" s="438">
        <v>8</v>
      </c>
    </row>
    <row r="63" spans="1:21" ht="10.9" customHeight="1">
      <c r="B63" s="748"/>
      <c r="C63" s="748"/>
      <c r="D63" s="748"/>
      <c r="E63" s="748"/>
      <c r="F63" s="748"/>
      <c r="G63" s="748"/>
      <c r="J63" s="439">
        <v>0.7</v>
      </c>
      <c r="K63" s="439">
        <v>0.8</v>
      </c>
      <c r="L63" s="439">
        <v>0.9</v>
      </c>
      <c r="M63" s="438" t="s">
        <v>160</v>
      </c>
      <c r="N63" s="439">
        <v>1.08</v>
      </c>
      <c r="O63" s="439">
        <v>1.1599999999999999</v>
      </c>
      <c r="P63" s="439">
        <v>1.24</v>
      </c>
      <c r="Q63" s="439">
        <v>1.32</v>
      </c>
    </row>
    <row r="64" spans="1:21" s="434" customFormat="1" ht="11.45" customHeight="1">
      <c r="A64" s="243"/>
      <c r="B64" s="243" t="s">
        <v>2795</v>
      </c>
      <c r="C64" s="243"/>
      <c r="D64" s="243"/>
      <c r="E64" s="243"/>
      <c r="F64" s="243"/>
      <c r="G64" s="243"/>
      <c r="H64" s="243"/>
      <c r="J64" s="243" t="s">
        <v>2796</v>
      </c>
      <c r="K64" s="243"/>
      <c r="L64" s="243"/>
      <c r="M64" s="243"/>
      <c r="N64" s="243"/>
      <c r="O64" s="243"/>
      <c r="Q64" s="1078">
        <v>0.02</v>
      </c>
      <c r="R64" s="1078"/>
    </row>
    <row r="65" spans="1:21" s="434" customFormat="1" ht="11.45" customHeight="1">
      <c r="A65" s="243"/>
      <c r="B65" s="243" t="s">
        <v>2797</v>
      </c>
      <c r="C65" s="243"/>
      <c r="D65" s="243"/>
      <c r="E65" s="243"/>
      <c r="F65" s="243"/>
      <c r="G65" s="243"/>
      <c r="H65" s="243"/>
      <c r="J65" s="243" t="s">
        <v>2796</v>
      </c>
      <c r="K65" s="243"/>
      <c r="L65" s="243"/>
      <c r="M65" s="243"/>
      <c r="N65" s="243"/>
      <c r="O65" s="243"/>
      <c r="Q65" s="1078">
        <v>7.0000000000000007E-2</v>
      </c>
      <c r="R65" s="1078"/>
    </row>
    <row r="66" spans="1:21" s="434" customFormat="1" ht="11.45" customHeight="1">
      <c r="A66" s="243"/>
      <c r="B66" s="243" t="s">
        <v>2798</v>
      </c>
      <c r="C66" s="243"/>
      <c r="D66" s="243"/>
      <c r="E66" s="243"/>
      <c r="F66" s="243"/>
      <c r="G66" s="243"/>
      <c r="H66" s="243"/>
      <c r="J66" s="243" t="s">
        <v>2796</v>
      </c>
      <c r="K66" s="243"/>
      <c r="L66" s="243"/>
      <c r="M66" s="243"/>
      <c r="N66" s="243"/>
      <c r="O66" s="243"/>
      <c r="Q66" s="1078">
        <v>7.0000000000000007E-2</v>
      </c>
      <c r="R66" s="1078"/>
    </row>
    <row r="67" spans="1:21" s="418" customFormat="1" ht="11.45" customHeight="1">
      <c r="A67" s="243"/>
      <c r="B67" s="243" t="s">
        <v>157</v>
      </c>
      <c r="C67" s="243"/>
      <c r="D67" s="241"/>
      <c r="E67" s="241"/>
      <c r="F67" s="241"/>
      <c r="G67" s="243"/>
      <c r="H67" s="241"/>
      <c r="I67" s="241"/>
      <c r="J67" s="243" t="s">
        <v>2796</v>
      </c>
      <c r="K67" s="243"/>
      <c r="L67" s="243"/>
      <c r="M67" s="243"/>
      <c r="N67" s="243"/>
      <c r="O67" s="243"/>
      <c r="P67" s="241"/>
      <c r="Q67" s="1078">
        <v>0.03</v>
      </c>
      <c r="R67" s="1078"/>
      <c r="S67" s="434"/>
      <c r="T67" s="434"/>
      <c r="U67" s="434"/>
    </row>
    <row r="68" spans="1:21" s="418" customFormat="1" ht="11.45" customHeight="1">
      <c r="A68" s="243"/>
      <c r="B68" s="243" t="s">
        <v>158</v>
      </c>
      <c r="C68" s="243"/>
      <c r="D68" s="241"/>
      <c r="E68" s="241"/>
      <c r="F68" s="241"/>
      <c r="G68" s="243"/>
      <c r="H68" s="241"/>
      <c r="I68" s="241"/>
      <c r="J68" s="243" t="s">
        <v>2796</v>
      </c>
      <c r="K68" s="243"/>
      <c r="L68" s="243"/>
      <c r="M68" s="243"/>
      <c r="N68" s="243"/>
      <c r="O68" s="243"/>
      <c r="P68" s="241"/>
      <c r="Q68" s="1078">
        <v>0.03</v>
      </c>
      <c r="R68" s="1078"/>
      <c r="S68" s="434"/>
      <c r="T68" s="434"/>
      <c r="U68" s="434"/>
    </row>
    <row r="69" spans="1:21" s="418" customFormat="1" ht="11.45" customHeight="1">
      <c r="A69" s="243"/>
      <c r="B69" s="243" t="s">
        <v>159</v>
      </c>
      <c r="C69" s="243"/>
      <c r="D69" s="241"/>
      <c r="E69" s="241"/>
      <c r="F69" s="241"/>
      <c r="G69" s="243"/>
      <c r="H69" s="241"/>
      <c r="I69" s="241"/>
      <c r="J69" s="243" t="s">
        <v>2796</v>
      </c>
      <c r="K69" s="243"/>
      <c r="L69" s="243"/>
      <c r="M69" s="243"/>
      <c r="N69" s="243"/>
      <c r="O69" s="243"/>
      <c r="P69" s="241"/>
      <c r="Q69" s="1078">
        <v>0</v>
      </c>
      <c r="R69" s="1078"/>
      <c r="S69" s="434"/>
      <c r="T69" s="434"/>
      <c r="U69" s="434"/>
    </row>
    <row r="70" spans="1:21" ht="3.4" customHeight="1"/>
    <row r="71" spans="1:21" ht="10.9" customHeight="1"/>
    <row r="73" spans="1:21" ht="13.15" customHeight="1">
      <c r="C73" s="440"/>
      <c r="D73" s="440"/>
      <c r="E73" s="440"/>
      <c r="F73" s="440"/>
      <c r="G73" s="440"/>
      <c r="H73" s="440"/>
      <c r="I73" s="440"/>
    </row>
    <row r="75" spans="1:21" ht="13.5">
      <c r="D75" s="644">
        <v>2010</v>
      </c>
      <c r="J75" s="1125" t="s">
        <v>1387</v>
      </c>
      <c r="K75" s="1125"/>
      <c r="L75" s="398"/>
    </row>
    <row r="76" spans="1:21" ht="13.5">
      <c r="C76" s="576" t="s">
        <v>1964</v>
      </c>
      <c r="D76" s="579" t="s">
        <v>1659</v>
      </c>
      <c r="J76" s="1126" t="s">
        <v>1390</v>
      </c>
      <c r="K76" s="1126" t="s">
        <v>1388</v>
      </c>
      <c r="L76" s="580" t="s">
        <v>1389</v>
      </c>
    </row>
    <row r="77" spans="1:21" ht="9" customHeight="1">
      <c r="C77" s="577" t="s">
        <v>2812</v>
      </c>
      <c r="D77" s="1127">
        <v>48600</v>
      </c>
      <c r="J77" s="427">
        <v>0</v>
      </c>
      <c r="K77" s="427">
        <v>0.7</v>
      </c>
      <c r="L77" s="427">
        <v>1</v>
      </c>
    </row>
    <row r="78" spans="1:21" ht="9" customHeight="1">
      <c r="C78" s="577" t="s">
        <v>1660</v>
      </c>
      <c r="D78" s="1127">
        <v>57700</v>
      </c>
      <c r="J78" s="427">
        <v>1</v>
      </c>
      <c r="K78" s="427">
        <v>0.75</v>
      </c>
      <c r="L78" s="427">
        <v>1.5</v>
      </c>
    </row>
    <row r="79" spans="1:21" ht="9" customHeight="1">
      <c r="C79" s="577" t="s">
        <v>1340</v>
      </c>
      <c r="D79" s="1127">
        <v>71800</v>
      </c>
      <c r="J79" s="427">
        <v>2</v>
      </c>
      <c r="K79" s="427">
        <v>0.9</v>
      </c>
      <c r="L79" s="427">
        <v>3</v>
      </c>
    </row>
    <row r="80" spans="1:21" ht="9" customHeight="1">
      <c r="C80" s="577" t="s">
        <v>1341</v>
      </c>
      <c r="D80" s="1127">
        <v>55600</v>
      </c>
      <c r="J80" s="427">
        <v>3</v>
      </c>
      <c r="K80" s="427">
        <v>1.04</v>
      </c>
      <c r="L80" s="427">
        <v>4.5</v>
      </c>
    </row>
    <row r="81" spans="3:12" ht="9" customHeight="1">
      <c r="C81" s="577" t="s">
        <v>13</v>
      </c>
      <c r="D81" s="1127">
        <v>54700</v>
      </c>
      <c r="J81" s="427">
        <v>4</v>
      </c>
      <c r="K81" s="427">
        <v>1.1599999999999999</v>
      </c>
      <c r="L81" s="427">
        <v>6</v>
      </c>
    </row>
    <row r="82" spans="3:12" ht="9" customHeight="1">
      <c r="C82" s="577" t="s">
        <v>1661</v>
      </c>
      <c r="D82" s="1127">
        <v>55900</v>
      </c>
      <c r="J82" s="427">
        <v>5</v>
      </c>
      <c r="K82" s="427">
        <v>1.28</v>
      </c>
      <c r="L82" s="427">
        <v>7.5</v>
      </c>
    </row>
    <row r="83" spans="3:12" ht="9" customHeight="1">
      <c r="C83" s="577" t="s">
        <v>2272</v>
      </c>
      <c r="D83" s="1127">
        <v>55900</v>
      </c>
    </row>
    <row r="84" spans="3:12" ht="9" customHeight="1">
      <c r="C84" s="577" t="s">
        <v>217</v>
      </c>
      <c r="D84" s="1127">
        <v>51800</v>
      </c>
    </row>
    <row r="85" spans="3:12" ht="9" customHeight="1">
      <c r="C85" s="577" t="s">
        <v>432</v>
      </c>
      <c r="D85" s="1127">
        <v>52400</v>
      </c>
    </row>
    <row r="86" spans="3:12" ht="9" customHeight="1">
      <c r="C86" s="578" t="s">
        <v>1883</v>
      </c>
      <c r="D86" s="1127">
        <v>60200</v>
      </c>
    </row>
    <row r="87" spans="3:12" ht="9" customHeight="1">
      <c r="C87" s="578" t="s">
        <v>1342</v>
      </c>
      <c r="D87" s="1127">
        <v>47500</v>
      </c>
    </row>
    <row r="88" spans="3:12" ht="9" customHeight="1">
      <c r="C88" s="578" t="s">
        <v>1662</v>
      </c>
      <c r="D88" s="1127">
        <v>44900</v>
      </c>
    </row>
    <row r="89" spans="3:12" ht="9" customHeight="1">
      <c r="C89" s="577" t="s">
        <v>1343</v>
      </c>
      <c r="D89" s="1127">
        <v>54100</v>
      </c>
    </row>
    <row r="90" spans="3:12" ht="9" customHeight="1">
      <c r="C90" s="578" t="s">
        <v>2186</v>
      </c>
      <c r="D90" s="1127">
        <v>40400</v>
      </c>
    </row>
    <row r="91" spans="3:12" ht="9" customHeight="1">
      <c r="C91" s="577" t="s">
        <v>2022</v>
      </c>
      <c r="D91" s="1127">
        <v>53200</v>
      </c>
    </row>
    <row r="92" spans="3:12" ht="9" customHeight="1">
      <c r="C92" s="578" t="s">
        <v>1345</v>
      </c>
      <c r="D92" s="1127">
        <v>47200</v>
      </c>
    </row>
    <row r="93" spans="3:12" ht="9" customHeight="1">
      <c r="C93" s="578" t="s">
        <v>3134</v>
      </c>
      <c r="D93" s="1127">
        <v>63600</v>
      </c>
    </row>
    <row r="94" spans="3:12" ht="9" customHeight="1">
      <c r="C94" s="578" t="s">
        <v>3899</v>
      </c>
      <c r="D94" s="1127">
        <v>52500</v>
      </c>
    </row>
    <row r="95" spans="3:12" ht="9" customHeight="1">
      <c r="C95" s="577" t="s">
        <v>3400</v>
      </c>
      <c r="D95" s="1127">
        <v>52400</v>
      </c>
    </row>
    <row r="96" spans="3:12" ht="9" customHeight="1">
      <c r="C96" s="577" t="s">
        <v>2028</v>
      </c>
      <c r="D96" s="1127">
        <v>59000</v>
      </c>
    </row>
    <row r="97" spans="3:4" ht="9" customHeight="1">
      <c r="C97" s="577" t="s">
        <v>2714</v>
      </c>
      <c r="D97" s="1127">
        <v>48300</v>
      </c>
    </row>
    <row r="98" spans="3:4" ht="9" customHeight="1">
      <c r="C98" s="577" t="s">
        <v>2727</v>
      </c>
      <c r="D98" s="1127">
        <v>66000</v>
      </c>
    </row>
    <row r="99" spans="3:4" ht="9" customHeight="1">
      <c r="C99" s="578" t="s">
        <v>1874</v>
      </c>
      <c r="D99" s="1127">
        <v>43400</v>
      </c>
    </row>
    <row r="100" spans="3:4" ht="9" customHeight="1">
      <c r="C100" s="578" t="s">
        <v>2808</v>
      </c>
      <c r="D100" s="1127">
        <v>40600</v>
      </c>
    </row>
    <row r="101" spans="3:4" ht="9" customHeight="1">
      <c r="C101" s="578" t="s">
        <v>2810</v>
      </c>
      <c r="D101" s="1127">
        <v>40600</v>
      </c>
    </row>
    <row r="102" spans="3:4" ht="9" customHeight="1">
      <c r="C102" s="577" t="s">
        <v>212</v>
      </c>
      <c r="D102" s="1127">
        <v>51900</v>
      </c>
    </row>
    <row r="103" spans="3:4" ht="9" customHeight="1">
      <c r="C103" s="578" t="s">
        <v>2014</v>
      </c>
      <c r="D103" s="1127">
        <v>53700</v>
      </c>
    </row>
    <row r="104" spans="3:4" ht="9" customHeight="1">
      <c r="C104" s="578" t="s">
        <v>1663</v>
      </c>
      <c r="D104" s="1127">
        <v>41100</v>
      </c>
    </row>
    <row r="105" spans="3:4" ht="9" customHeight="1">
      <c r="C105" s="578" t="s">
        <v>2020</v>
      </c>
      <c r="D105" s="1127">
        <v>43100</v>
      </c>
    </row>
    <row r="106" spans="3:4" ht="9" customHeight="1">
      <c r="C106" s="577" t="s">
        <v>2024</v>
      </c>
      <c r="D106" s="1127">
        <v>51100</v>
      </c>
    </row>
    <row r="107" spans="3:4" ht="9" customHeight="1">
      <c r="C107" s="577" t="s">
        <v>2030</v>
      </c>
      <c r="D107" s="1127">
        <v>53600</v>
      </c>
    </row>
    <row r="108" spans="3:4" ht="9" customHeight="1">
      <c r="C108" s="578" t="s">
        <v>2035</v>
      </c>
      <c r="D108" s="1127">
        <v>38600</v>
      </c>
    </row>
    <row r="109" spans="3:4" ht="9" customHeight="1">
      <c r="C109" s="577" t="s">
        <v>1220</v>
      </c>
      <c r="D109" s="1127">
        <v>56000</v>
      </c>
    </row>
    <row r="110" spans="3:4" ht="9" customHeight="1">
      <c r="C110" s="578" t="s">
        <v>1222</v>
      </c>
      <c r="D110" s="1127">
        <v>38200</v>
      </c>
    </row>
    <row r="111" spans="3:4" ht="9" customHeight="1">
      <c r="C111" s="578" t="s">
        <v>214</v>
      </c>
      <c r="D111" s="1127">
        <v>41600</v>
      </c>
    </row>
    <row r="112" spans="3:4" ht="9" customHeight="1">
      <c r="C112" s="578" t="s">
        <v>219</v>
      </c>
      <c r="D112" s="1127">
        <v>45100</v>
      </c>
    </row>
    <row r="113" spans="3:4" ht="9" customHeight="1">
      <c r="C113" s="578" t="s">
        <v>3757</v>
      </c>
      <c r="D113" s="1127">
        <v>34600</v>
      </c>
    </row>
    <row r="114" spans="3:4" ht="9" customHeight="1">
      <c r="C114" s="578" t="s">
        <v>3760</v>
      </c>
      <c r="D114" s="1127">
        <v>39500</v>
      </c>
    </row>
    <row r="115" spans="3:4" ht="9" customHeight="1">
      <c r="C115" s="578" t="s">
        <v>3763</v>
      </c>
      <c r="D115" s="1127">
        <v>44700</v>
      </c>
    </row>
    <row r="116" spans="3:4" ht="9" customHeight="1">
      <c r="C116" s="578" t="s">
        <v>3815</v>
      </c>
      <c r="D116" s="1127">
        <v>43300</v>
      </c>
    </row>
    <row r="117" spans="3:4" ht="9" customHeight="1">
      <c r="C117" s="578" t="s">
        <v>3818</v>
      </c>
      <c r="D117" s="1127">
        <v>39600</v>
      </c>
    </row>
    <row r="118" spans="3:4" ht="9" customHeight="1">
      <c r="C118" s="578" t="s">
        <v>251</v>
      </c>
      <c r="D118" s="1127">
        <v>40700</v>
      </c>
    </row>
    <row r="119" spans="3:4" ht="9" customHeight="1">
      <c r="C119" s="578" t="s">
        <v>255</v>
      </c>
      <c r="D119" s="1127">
        <v>40600</v>
      </c>
    </row>
    <row r="120" spans="3:4" ht="9" customHeight="1">
      <c r="C120" s="578" t="s">
        <v>1549</v>
      </c>
      <c r="D120" s="1127">
        <v>43200</v>
      </c>
    </row>
    <row r="121" spans="3:4" ht="9" customHeight="1">
      <c r="C121" s="578" t="s">
        <v>1551</v>
      </c>
      <c r="D121" s="1127">
        <v>44000</v>
      </c>
    </row>
    <row r="122" spans="3:4" ht="9" customHeight="1">
      <c r="C122" s="578" t="s">
        <v>1467</v>
      </c>
      <c r="D122" s="1127">
        <v>38800</v>
      </c>
    </row>
    <row r="123" spans="3:4" ht="9" customHeight="1">
      <c r="C123" s="578" t="s">
        <v>1471</v>
      </c>
      <c r="D123" s="1127">
        <v>42000</v>
      </c>
    </row>
    <row r="124" spans="3:4" ht="9" customHeight="1">
      <c r="C124" s="578" t="s">
        <v>3372</v>
      </c>
      <c r="D124" s="1127">
        <v>38500</v>
      </c>
    </row>
    <row r="125" spans="3:4" ht="9" customHeight="1">
      <c r="C125" s="578" t="s">
        <v>999</v>
      </c>
      <c r="D125" s="1127">
        <v>38700</v>
      </c>
    </row>
    <row r="126" spans="3:4" ht="9" customHeight="1">
      <c r="C126" s="578" t="s">
        <v>1001</v>
      </c>
      <c r="D126" s="1127">
        <v>43600</v>
      </c>
    </row>
    <row r="127" spans="3:4" ht="9" customHeight="1">
      <c r="C127" s="577" t="s">
        <v>1006</v>
      </c>
      <c r="D127" s="1127">
        <v>46700</v>
      </c>
    </row>
    <row r="128" spans="3:4" ht="9" customHeight="1">
      <c r="C128" s="578" t="s">
        <v>1008</v>
      </c>
      <c r="D128" s="1127">
        <v>46600</v>
      </c>
    </row>
    <row r="129" spans="3:4" ht="9" customHeight="1">
      <c r="C129" s="577" t="s">
        <v>1010</v>
      </c>
      <c r="D129" s="1127">
        <v>45500</v>
      </c>
    </row>
    <row r="130" spans="3:4" ht="9" customHeight="1">
      <c r="C130" s="578" t="s">
        <v>1013</v>
      </c>
      <c r="D130" s="1127">
        <v>53200</v>
      </c>
    </row>
    <row r="131" spans="3:4" ht="9" customHeight="1">
      <c r="C131" s="578" t="s">
        <v>1015</v>
      </c>
      <c r="D131" s="1127">
        <v>42600</v>
      </c>
    </row>
    <row r="132" spans="3:4" ht="9" customHeight="1">
      <c r="C132" s="578" t="s">
        <v>1017</v>
      </c>
      <c r="D132" s="1127">
        <v>49500</v>
      </c>
    </row>
    <row r="133" spans="3:4" ht="9" customHeight="1">
      <c r="C133" s="578" t="s">
        <v>138</v>
      </c>
      <c r="D133" s="1127">
        <v>52600</v>
      </c>
    </row>
    <row r="134" spans="3:4" ht="9" customHeight="1">
      <c r="C134" s="578" t="s">
        <v>409</v>
      </c>
      <c r="D134" s="1127">
        <v>33900</v>
      </c>
    </row>
    <row r="135" spans="3:4" ht="9" customHeight="1">
      <c r="C135" s="578" t="s">
        <v>413</v>
      </c>
      <c r="D135" s="1127">
        <v>49200</v>
      </c>
    </row>
    <row r="136" spans="3:4" ht="9" customHeight="1">
      <c r="C136" s="578" t="s">
        <v>418</v>
      </c>
      <c r="D136" s="1127">
        <v>43800</v>
      </c>
    </row>
    <row r="137" spans="3:4" ht="9" customHeight="1">
      <c r="C137" s="578" t="s">
        <v>420</v>
      </c>
      <c r="D137" s="1127">
        <v>56600</v>
      </c>
    </row>
    <row r="138" spans="3:4" ht="9" customHeight="1">
      <c r="C138" s="578" t="s">
        <v>423</v>
      </c>
      <c r="D138" s="1127">
        <v>38500</v>
      </c>
    </row>
    <row r="139" spans="3:4" ht="9" customHeight="1">
      <c r="C139" s="578" t="s">
        <v>425</v>
      </c>
      <c r="D139" s="1127">
        <v>39000</v>
      </c>
    </row>
    <row r="140" spans="3:4" ht="9" customHeight="1">
      <c r="C140" s="578" t="s">
        <v>427</v>
      </c>
      <c r="D140" s="1127">
        <v>36800</v>
      </c>
    </row>
    <row r="141" spans="3:4" ht="9" customHeight="1">
      <c r="C141" s="578" t="s">
        <v>429</v>
      </c>
      <c r="D141" s="1127">
        <v>36900</v>
      </c>
    </row>
    <row r="142" spans="3:4" ht="9" customHeight="1">
      <c r="C142" s="578" t="s">
        <v>2180</v>
      </c>
      <c r="D142" s="1127">
        <v>47600</v>
      </c>
    </row>
    <row r="143" spans="3:4" ht="9" customHeight="1">
      <c r="C143" s="578" t="s">
        <v>2184</v>
      </c>
      <c r="D143" s="1127">
        <v>45600</v>
      </c>
    </row>
    <row r="144" spans="3:4" ht="9" customHeight="1">
      <c r="C144" s="577" t="s">
        <v>234</v>
      </c>
      <c r="D144" s="1127">
        <v>57700</v>
      </c>
    </row>
    <row r="145" spans="3:4" ht="9" customHeight="1">
      <c r="C145" s="578" t="s">
        <v>235</v>
      </c>
      <c r="D145" s="1127">
        <v>36600</v>
      </c>
    </row>
    <row r="146" spans="3:4" ht="9" customHeight="1">
      <c r="C146" s="578" t="s">
        <v>2540</v>
      </c>
      <c r="D146" s="1127">
        <v>39700</v>
      </c>
    </row>
    <row r="147" spans="3:4" ht="9" customHeight="1">
      <c r="C147" s="578" t="s">
        <v>2542</v>
      </c>
      <c r="D147" s="1127">
        <v>38900</v>
      </c>
    </row>
    <row r="148" spans="3:4" ht="9" customHeight="1">
      <c r="C148" s="578" t="s">
        <v>242</v>
      </c>
      <c r="D148" s="1127">
        <v>47800</v>
      </c>
    </row>
    <row r="149" spans="3:4" ht="9" customHeight="1">
      <c r="C149" s="577" t="s">
        <v>3897</v>
      </c>
      <c r="D149" s="1127">
        <v>57400</v>
      </c>
    </row>
    <row r="150" spans="3:4" ht="9" customHeight="1">
      <c r="C150" s="578" t="s">
        <v>1724</v>
      </c>
      <c r="D150" s="1127">
        <v>53100</v>
      </c>
    </row>
    <row r="151" spans="3:4" ht="9" customHeight="1">
      <c r="C151" s="578" t="s">
        <v>1727</v>
      </c>
      <c r="D151" s="1127">
        <v>44700</v>
      </c>
    </row>
    <row r="152" spans="3:4" ht="9" customHeight="1">
      <c r="C152" s="578" t="s">
        <v>1730</v>
      </c>
      <c r="D152" s="1127">
        <v>46200</v>
      </c>
    </row>
    <row r="153" spans="3:4" ht="9" customHeight="1">
      <c r="C153" s="577" t="s">
        <v>1732</v>
      </c>
      <c r="D153" s="1127">
        <v>48500</v>
      </c>
    </row>
    <row r="154" spans="3:4" ht="9" customHeight="1">
      <c r="C154" s="577" t="s">
        <v>1734</v>
      </c>
      <c r="D154" s="1127">
        <v>53900</v>
      </c>
    </row>
    <row r="155" spans="3:4" ht="9" customHeight="1">
      <c r="C155" s="578" t="s">
        <v>1736</v>
      </c>
      <c r="D155" s="1127">
        <v>38200</v>
      </c>
    </row>
    <row r="156" spans="3:4" ht="9" customHeight="1">
      <c r="C156" s="578" t="s">
        <v>1738</v>
      </c>
      <c r="D156" s="1127">
        <v>49800</v>
      </c>
    </row>
    <row r="157" spans="3:4" ht="9" customHeight="1">
      <c r="C157" s="578" t="s">
        <v>1740</v>
      </c>
      <c r="D157" s="1127">
        <v>37700</v>
      </c>
    </row>
    <row r="158" spans="3:4" ht="9" customHeight="1">
      <c r="C158" s="578" t="s">
        <v>3275</v>
      </c>
      <c r="D158" s="1127">
        <v>45000</v>
      </c>
    </row>
    <row r="159" spans="3:4" ht="9" customHeight="1">
      <c r="C159" s="578" t="s">
        <v>3277</v>
      </c>
      <c r="D159" s="1127">
        <v>43200</v>
      </c>
    </row>
    <row r="160" spans="3:4" ht="9" customHeight="1">
      <c r="C160" s="577" t="s">
        <v>3279</v>
      </c>
      <c r="D160" s="1127">
        <v>41400</v>
      </c>
    </row>
    <row r="161" spans="3:4" ht="9" customHeight="1">
      <c r="C161" s="577" t="s">
        <v>3282</v>
      </c>
      <c r="D161" s="1127">
        <v>44400</v>
      </c>
    </row>
    <row r="162" spans="3:4" ht="9" customHeight="1">
      <c r="C162" s="578" t="s">
        <v>3284</v>
      </c>
      <c r="D162" s="1127">
        <v>36800</v>
      </c>
    </row>
    <row r="163" spans="3:4" ht="9" customHeight="1">
      <c r="C163" s="578" t="s">
        <v>3286</v>
      </c>
      <c r="D163" s="1127">
        <v>43800</v>
      </c>
    </row>
    <row r="164" spans="3:4" ht="9" customHeight="1">
      <c r="C164" s="578" t="s">
        <v>3288</v>
      </c>
      <c r="D164" s="1127">
        <v>43800</v>
      </c>
    </row>
    <row r="165" spans="3:4" ht="9" customHeight="1">
      <c r="C165" s="578" t="s">
        <v>3290</v>
      </c>
      <c r="D165" s="1127">
        <v>34600</v>
      </c>
    </row>
    <row r="166" spans="3:4" ht="9" customHeight="1">
      <c r="C166" s="578" t="s">
        <v>3292</v>
      </c>
      <c r="D166" s="1127">
        <v>44700</v>
      </c>
    </row>
    <row r="167" spans="3:4" ht="9" customHeight="1">
      <c r="C167" s="578" t="s">
        <v>1462</v>
      </c>
      <c r="D167" s="1127">
        <v>37300</v>
      </c>
    </row>
    <row r="168" spans="3:4" ht="9" customHeight="1">
      <c r="C168" s="578" t="s">
        <v>1464</v>
      </c>
      <c r="D168" s="1127">
        <v>40500</v>
      </c>
    </row>
    <row r="169" spans="3:4" ht="9" customHeight="1">
      <c r="C169" s="577" t="s">
        <v>2664</v>
      </c>
      <c r="D169" s="1127">
        <v>49300</v>
      </c>
    </row>
    <row r="170" spans="3:4" ht="9" customHeight="1">
      <c r="C170" s="577" t="s">
        <v>2979</v>
      </c>
      <c r="D170" s="1127">
        <v>48600</v>
      </c>
    </row>
    <row r="171" spans="3:4" ht="9" customHeight="1">
      <c r="C171" s="577" t="s">
        <v>2981</v>
      </c>
      <c r="D171" s="1127">
        <v>42900</v>
      </c>
    </row>
    <row r="172" spans="3:4" ht="9" customHeight="1">
      <c r="C172" s="577" t="s">
        <v>2983</v>
      </c>
      <c r="D172" s="1127">
        <v>46400</v>
      </c>
    </row>
    <row r="173" spans="3:4" ht="9" customHeight="1">
      <c r="C173" s="577" t="s">
        <v>2985</v>
      </c>
      <c r="D173" s="1127">
        <v>40700</v>
      </c>
    </row>
    <row r="174" spans="3:4" ht="9" customHeight="1">
      <c r="C174" s="578" t="s">
        <v>2987</v>
      </c>
      <c r="D174" s="1127">
        <v>51700</v>
      </c>
    </row>
    <row r="175" spans="3:4" ht="9" customHeight="1">
      <c r="C175" s="577" t="s">
        <v>2989</v>
      </c>
      <c r="D175" s="1127">
        <v>39100</v>
      </c>
    </row>
    <row r="176" spans="3:4" ht="9" customHeight="1">
      <c r="C176" s="577" t="s">
        <v>2992</v>
      </c>
      <c r="D176" s="1127">
        <v>49500</v>
      </c>
    </row>
    <row r="177" spans="3:4" ht="9" customHeight="1">
      <c r="C177" s="578" t="s">
        <v>3086</v>
      </c>
      <c r="D177" s="1127">
        <v>46400</v>
      </c>
    </row>
    <row r="178" spans="3:4" ht="9" customHeight="1">
      <c r="C178" s="577" t="s">
        <v>117</v>
      </c>
      <c r="D178" s="1127">
        <v>45700</v>
      </c>
    </row>
    <row r="179" spans="3:4" ht="9" customHeight="1">
      <c r="C179" s="577" t="s">
        <v>119</v>
      </c>
      <c r="D179" s="1127">
        <v>40900</v>
      </c>
    </row>
    <row r="180" spans="3:4" ht="9" customHeight="1">
      <c r="C180" s="577" t="s">
        <v>121</v>
      </c>
      <c r="D180" s="1127">
        <v>45200</v>
      </c>
    </row>
    <row r="181" spans="3:4" ht="9" customHeight="1">
      <c r="C181" s="577" t="s">
        <v>123</v>
      </c>
      <c r="D181" s="1127">
        <v>49100</v>
      </c>
    </row>
    <row r="182" spans="3:4" ht="9" customHeight="1">
      <c r="C182" s="577" t="s">
        <v>125</v>
      </c>
      <c r="D182" s="1127">
        <v>40200</v>
      </c>
    </row>
    <row r="183" spans="3:4" ht="9" customHeight="1">
      <c r="C183" s="577" t="s">
        <v>127</v>
      </c>
      <c r="D183" s="1127">
        <v>36900</v>
      </c>
    </row>
    <row r="184" spans="3:4" ht="9" customHeight="1">
      <c r="C184" s="577" t="s">
        <v>129</v>
      </c>
      <c r="D184" s="1127">
        <v>50800</v>
      </c>
    </row>
    <row r="185" spans="3:4" ht="9" customHeight="1">
      <c r="C185" s="577" t="s">
        <v>3631</v>
      </c>
      <c r="D185" s="1127">
        <v>43500</v>
      </c>
    </row>
    <row r="186" spans="3:4" ht="9" customHeight="1">
      <c r="C186" s="577" t="s">
        <v>3633</v>
      </c>
      <c r="D186" s="1127">
        <v>45100</v>
      </c>
    </row>
    <row r="187" spans="3:4" ht="9" customHeight="1">
      <c r="C187" s="577" t="s">
        <v>3635</v>
      </c>
      <c r="D187" s="1127">
        <v>49000</v>
      </c>
    </row>
  </sheetData>
  <sheetProtection password="DDE0" sheet="1" objects="1" scenarios="1"/>
  <mergeCells count="25">
    <mergeCell ref="Q29:R29"/>
    <mergeCell ref="Q30:R30"/>
    <mergeCell ref="Q31:R31"/>
    <mergeCell ref="Q41:R41"/>
    <mergeCell ref="A2:R2"/>
    <mergeCell ref="Q26:R26"/>
    <mergeCell ref="Q27:R27"/>
    <mergeCell ref="Q28:R28"/>
    <mergeCell ref="Q42:R42"/>
    <mergeCell ref="Q46:R46"/>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1" workbookViewId="0">
      <selection activeCell="B1" sqref="A1:XFD1048576"/>
    </sheetView>
  </sheetViews>
  <sheetFormatPr defaultColWidth="8.85546875" defaultRowHeight="12.75"/>
  <cols>
    <col min="1" max="18" width="12.140625" style="708" customWidth="1"/>
    <col min="19" max="16384" width="8.85546875" style="708"/>
  </cols>
  <sheetData>
    <row r="1" spans="1:2">
      <c r="A1" s="708" t="s">
        <v>1591</v>
      </c>
    </row>
    <row r="2" spans="1:2">
      <c r="A2" s="708" t="str">
        <f>'Part I-Project Information'!F22</f>
        <v>Brentwood Place Apartments</v>
      </c>
    </row>
    <row r="3" spans="1:2">
      <c r="A3" s="708" t="str">
        <f>CONCATENATE('Part I-Project Information'!F24,", ", 'Part I-Project Information'!J25," County")</f>
        <v>Forsyth, Monroe County</v>
      </c>
    </row>
    <row r="4" spans="1:2" ht="12.4" customHeight="1"/>
    <row r="5" spans="1:2" ht="111.4" customHeight="1">
      <c r="A5" s="708" t="str">
        <f>'Project Narrative'!A5</f>
        <v xml:space="preserve">Introduction to the Sponsor
In-Fill Housing, Inc. (In-Fill) is a 501c4 non-profit developer created by the Macon Housing Authority (MHA) in 1999.  Since 2001, more than 930 affordable housing units in 12 developments have been, or are being, developed by In-Fill for a total development cost of $120,000,000.  During this period, In-Fill has also developed more than 60 new single family houses for sale to first time homeowners.  In-Fill’s affiliate relationship with MHA gives them ready access to interim financing, technical services, accounting, asset management and human resources as required.  In-Fill’s subsidiary, Brentwood In-Fill, Inc., will be the sole General Partner for the development and ownership of Brentwood Place Apartments.  In-Fill will be the sole developer of the property.
</v>
      </c>
      <c r="B5" s="708" t="s">
        <v>1592</v>
      </c>
    </row>
    <row r="6" spans="1:2" ht="6.6" customHeight="1"/>
    <row r="7" spans="1:2" ht="111.4" customHeight="1">
      <c r="A7" s="708" t="str">
        <f>'Project Narrative'!A7</f>
        <v xml:space="preserve">Introduction to the Project
Brentwood Place Apartments (BWP) will be a new construction, 79 unit multi-family complex in the city of Forsyth, County of Monroe, Georgia.  The town of Forsyth sits just west of I-75, about 45 minutes south of Atlanta, and 15 minutes north of Macon.  The area is considered “rural” by USDA standards.  The site is just a few blocks south of the Forsyth city square, which contains a number of thriving businesses catering to the community.  The historic Tift College, located less than a mile from the site, was redeveloped in 2010 and became the new home to the headquarters of the Georgia Department of Corrections, which relocated from Atlanta.  This move is estimated to bring over 400 new permanent jobs to the area, as well as bringing annually an estimated 12,000 people into the nearby Department of Corrections Academy, which trains correctional officers and other DOC employees.  A new Wal-mart opened in 2010, bringing or retaining over 125 jobs in the area.
The market area where this project is located has no recent comparable properties – no new multi-family properties have been built (market rate or restricted) in over 15 years.  The rents proposed at BWP are competitive with and lower than most of the multi-family comparable product, all of which is over twenty years old.  The Market Study supports the strong demand for this product type.
</v>
      </c>
    </row>
    <row r="8" spans="1:2" ht="6.6" customHeight="1"/>
    <row r="9" spans="1:2" ht="111.4" customHeight="1">
      <c r="A9" s="708" t="str">
        <f>'Project Narrative'!A9</f>
        <v xml:space="preserve">Property Description
The site is 10.135 acres.  This project will be a mix of 1, 2 and 3 bedroom units, and there will be ample community space and grounds.  The tenancy will be “family”, and the amenities will be geared to this population.  The property will be stick-built with 1- and 3-story buildings, built to Earthcraft standards.  A formal procurement process will be used to select the most qualified contractor with the best pricing.   
The amenities will include a large playground, a covered pavilion and a BBQ grilling and picnicking area, and a large community room with a covered porch for gathering.  The central mail center will be sheltered.  The site will be easily identified with an attractive, illuminated monument sign at the entrance on Brentwood Place, and there will be a decorative fence with seasonal plantings at this entrance as well.  On the south side of the property, which will remain undeveloped to maintain the required 100 foot setback from the drainage stream there, the trees will be preserved and the area will remain wooded.  The entire property will be fenced.  The final product will be very attractive, with 40% brick on all sides, hardi-plank siding, and attractive covered entries and stairs and landings for all units.  
</v>
      </c>
    </row>
    <row r="10" spans="1:2" ht="6.6" customHeight="1"/>
    <row r="11" spans="1:2" ht="111.4" customHeight="1">
      <c r="A11" s="708" t="str">
        <f>'Project Narrative'!A11</f>
        <v xml:space="preserve">Supportive Services
Family-oriented services will be offered to the residents to comply with DCA standards, including the provision of regular resident gatherings, and various social events.  
ADA Compliance
We will meet the ADA Compliance Requirements by providing at least 5% of the units as equipped for the mobility impaired, and 2% of the units equipped for the hearing and visually impaired.  100% of the first floor units will be “visitable”.  
Significance of Project
Brentwood Place Apartments will provide this growing and vibrant Forsyth community with much needed new, high-quality and affordable rental housing.  As the Georgia Department of Corrections relocates to the area, Brentwood Place will be an invaluable asset to the area by offering quality affordable housing conveniently located near a new job center.  This project is sure to support the growing economic development in this DCA Signature Community.  
</v>
      </c>
    </row>
    <row r="12" spans="1:2" ht="6.6" customHeight="1"/>
    <row r="13" spans="1:2" ht="111.4" customHeight="1">
      <c r="A13" s="708">
        <f>'Project Narrative'!A13</f>
        <v>0</v>
      </c>
    </row>
    <row r="14" spans="1:2" ht="6.6" customHeight="1"/>
    <row r="15" spans="1:2" ht="111.4" customHeight="1">
      <c r="A15" s="708">
        <f>'Project Narrative'!A15</f>
        <v>0</v>
      </c>
    </row>
    <row r="16" spans="1:2" ht="6.6" customHeight="1"/>
    <row r="17" spans="1:13" ht="111.4" customHeight="1">
      <c r="A17" s="708">
        <f>'Project Narrative'!A17</f>
        <v>0</v>
      </c>
    </row>
    <row r="18" spans="1:13" ht="6.6" customHeight="1"/>
    <row r="19" spans="1:13" ht="111.4" customHeight="1">
      <c r="A19" s="708">
        <f>'Project Narrative'!A19</f>
        <v>0</v>
      </c>
    </row>
    <row r="20" spans="1:13" ht="6.6" customHeight="1"/>
    <row r="21" spans="1:13" ht="111.4" customHeight="1">
      <c r="A21" s="708">
        <f>'Project Narrative'!A21</f>
        <v>0</v>
      </c>
    </row>
    <row r="22" spans="1:13" ht="6.6" customHeight="1"/>
    <row r="23" spans="1:13" ht="111.4" customHeight="1">
      <c r="A23" s="708">
        <f>'Project Narrative'!A23</f>
        <v>0</v>
      </c>
    </row>
    <row r="24" spans="1:13" ht="6.6" customHeight="1"/>
    <row r="25" spans="1:13" ht="111.4" customHeight="1">
      <c r="A25" s="708">
        <f>'Project Narrative'!A25</f>
        <v>0</v>
      </c>
    </row>
    <row r="26" spans="1:13" ht="6.6" customHeight="1"/>
    <row r="27" spans="1:13" ht="111.4" customHeight="1">
      <c r="A27" s="708">
        <f>'Project Narrative'!A27</f>
        <v>0</v>
      </c>
    </row>
    <row r="30" spans="1:13" ht="13.9" customHeight="1">
      <c r="A30" s="708" t="str">
        <f>CONCATENATE("PART ONE - PROJECT INFORMATION"," - ",$O$4," ",$F$22,", ",'Part I-Project Information'!F53,", ",'Part I-Project Information'!J54," County")</f>
        <v>PART ONE - PROJECT INFORMATION -  , ,  County</v>
      </c>
    </row>
    <row r="31" spans="1:13" ht="12.4" customHeight="1"/>
    <row r="32" spans="1:13" ht="12.4" customHeight="1">
      <c r="A32" s="708" t="s">
        <v>3570</v>
      </c>
      <c r="E32" s="708" t="s">
        <v>4080</v>
      </c>
      <c r="M32" s="708" t="s">
        <v>2730</v>
      </c>
    </row>
    <row r="33" spans="1:15" ht="12.4" customHeight="1">
      <c r="E33" s="708" t="s">
        <v>4081</v>
      </c>
      <c r="O33" s="708" t="str">
        <f>'Part I-Project Information'!$O$4</f>
        <v>2011-044</v>
      </c>
    </row>
    <row r="34" spans="1:15" ht="12.4" customHeight="1"/>
    <row r="35" spans="1:15" ht="13.15" customHeight="1">
      <c r="A35" s="708" t="s">
        <v>951</v>
      </c>
      <c r="C35" s="708" t="s">
        <v>3590</v>
      </c>
      <c r="F35" s="708" t="s">
        <v>2741</v>
      </c>
      <c r="J35" s="708">
        <f>'Part IV-Uses of Funds'!J194</f>
        <v>0</v>
      </c>
    </row>
    <row r="36" spans="1:15" ht="13.15" customHeight="1">
      <c r="F36" s="708" t="s">
        <v>1983</v>
      </c>
      <c r="J36" s="708">
        <f>'Part III A-Sources of Funds'!J34</f>
        <v>0.01</v>
      </c>
    </row>
    <row r="37" spans="1:15" ht="7.15" customHeight="1"/>
    <row r="38" spans="1:15" ht="13.15" customHeight="1">
      <c r="A38" s="708" t="s">
        <v>1230</v>
      </c>
      <c r="C38" s="708" t="s">
        <v>3132</v>
      </c>
      <c r="F38" s="708" t="str">
        <f>'Part I-Project Information'!$F$9</f>
        <v>Competitive Round</v>
      </c>
      <c r="I38" s="708" t="s">
        <v>1231</v>
      </c>
      <c r="J38" s="708">
        <f>'Part I-Project Information'!$J$9</f>
        <v>0</v>
      </c>
    </row>
    <row r="39" spans="1:15" ht="7.15" customHeight="1"/>
    <row r="40" spans="1:15" ht="13.15" customHeight="1">
      <c r="A40" s="708" t="s">
        <v>1232</v>
      </c>
      <c r="C40" s="708" t="s">
        <v>2207</v>
      </c>
    </row>
    <row r="41" spans="1:15" ht="3.4" customHeight="1"/>
    <row r="42" spans="1:15" ht="13.15" customHeight="1">
      <c r="C42" s="708" t="s">
        <v>3442</v>
      </c>
      <c r="F42" s="708" t="str">
        <f>'Part I-Project Information'!$F$13</f>
        <v>Bruce Gerwig</v>
      </c>
      <c r="M42" s="708" t="s">
        <v>3057</v>
      </c>
      <c r="N42" s="708" t="str">
        <f>'Part I-Project Information'!N13</f>
        <v>President</v>
      </c>
    </row>
    <row r="43" spans="1:15" ht="13.15" customHeight="1">
      <c r="C43" s="708" t="s">
        <v>3058</v>
      </c>
      <c r="F43" s="708" t="str">
        <f>'Part I-Project Information'!$F$14</f>
        <v>PO Box 4928</v>
      </c>
      <c r="M43" s="708" t="s">
        <v>2747</v>
      </c>
      <c r="O43" s="708">
        <f>'Part I-Project Information'!O14</f>
        <v>4787525060</v>
      </c>
    </row>
    <row r="44" spans="1:15" ht="13.15" customHeight="1">
      <c r="C44" s="708" t="s">
        <v>954</v>
      </c>
      <c r="F44" s="708" t="str">
        <f>'Part I-Project Information'!$F$15</f>
        <v>Macon</v>
      </c>
      <c r="M44" s="708" t="s">
        <v>2834</v>
      </c>
      <c r="O44" s="708">
        <f>'Part I-Project Information'!O15</f>
        <v>4787525066</v>
      </c>
    </row>
    <row r="45" spans="1:15" ht="13.15" customHeight="1">
      <c r="C45" s="708" t="s">
        <v>2831</v>
      </c>
      <c r="F45" s="708" t="str">
        <f>'Part I-Project Information'!$F$16</f>
        <v>GA</v>
      </c>
      <c r="I45" s="708" t="s">
        <v>3354</v>
      </c>
      <c r="J45" s="708">
        <f>'Part I-Project Information'!J16</f>
        <v>312080000</v>
      </c>
      <c r="M45" s="708" t="s">
        <v>3056</v>
      </c>
      <c r="O45" s="708">
        <f>'Part I-Project Information'!O16</f>
        <v>4787148005</v>
      </c>
    </row>
    <row r="46" spans="1:15" ht="13.15" customHeight="1">
      <c r="C46" s="708" t="s">
        <v>2746</v>
      </c>
      <c r="F46" s="708">
        <f>'Part I-Project Information'!F17</f>
        <v>4787525060</v>
      </c>
      <c r="I46" s="708" t="s">
        <v>2745</v>
      </c>
      <c r="J46" s="708">
        <f>'Part I-Project Information'!J17</f>
        <v>0</v>
      </c>
      <c r="K46" s="708" t="s">
        <v>3061</v>
      </c>
      <c r="L46" s="708" t="str">
        <f>'Part I-Project Information'!L17</f>
        <v>bgerwig@maconhousing.com</v>
      </c>
    </row>
    <row r="47" spans="1:15" ht="13.15" customHeight="1">
      <c r="C47" s="708" t="s">
        <v>998</v>
      </c>
    </row>
    <row r="48" spans="1:15" ht="7.15" customHeight="1"/>
    <row r="49" spans="1:16" ht="13.15" customHeight="1">
      <c r="A49" s="708" t="s">
        <v>2824</v>
      </c>
      <c r="C49" s="708" t="s">
        <v>2208</v>
      </c>
    </row>
    <row r="50" spans="1:16" ht="3.4" customHeight="1"/>
    <row r="51" spans="1:16" ht="13.15" customHeight="1">
      <c r="C51" s="708" t="s">
        <v>952</v>
      </c>
      <c r="F51" s="708" t="str">
        <f>'Part I-Project Information'!F22</f>
        <v>Brentwood Place Apartments</v>
      </c>
      <c r="M51" s="708" t="s">
        <v>3300</v>
      </c>
      <c r="O51" s="708" t="str">
        <f>'Part I-Project Information'!O22</f>
        <v>No</v>
      </c>
    </row>
    <row r="52" spans="1:16" ht="13.15" customHeight="1">
      <c r="C52" s="708" t="s">
        <v>953</v>
      </c>
      <c r="F52" s="708" t="str">
        <f>'Part I-Project Information'!F23</f>
        <v>S. Jackson Street and Brentwood Place</v>
      </c>
      <c r="M52" s="708" t="s">
        <v>3146</v>
      </c>
      <c r="O52" s="708" t="str">
        <f>'Part I-Project Information'!O23</f>
        <v>No</v>
      </c>
    </row>
    <row r="53" spans="1:16" ht="13.15" customHeight="1">
      <c r="C53" s="708" t="s">
        <v>954</v>
      </c>
      <c r="F53" s="708" t="str">
        <f>'Part I-Project Information'!F24</f>
        <v>Forsyth</v>
      </c>
      <c r="I53" s="708" t="s">
        <v>4082</v>
      </c>
      <c r="J53" s="708">
        <f>'Part I-Project Information'!J24</f>
        <v>310290000</v>
      </c>
      <c r="L53" s="708" t="str">
        <f>IF(AND(NOT(F51=""),NOT(F53="Select from list"),J53=""),"Enter Zip!","")</f>
        <v/>
      </c>
      <c r="M53" s="708" t="s">
        <v>3416</v>
      </c>
      <c r="O53" s="708">
        <f>'Part I-Project Information'!O24</f>
        <v>10.135</v>
      </c>
    </row>
    <row r="54" spans="1:16" ht="13.15" customHeight="1">
      <c r="C54" s="708" t="s">
        <v>3145</v>
      </c>
      <c r="F54" s="708" t="str">
        <f>'Part I-Project Information'!F25</f>
        <v>Yes</v>
      </c>
      <c r="I54" s="708" t="s">
        <v>955</v>
      </c>
      <c r="J54" s="708" t="str">
        <f>'Part I-Project Information'!J25</f>
        <v>Monroe</v>
      </c>
      <c r="M54" s="708" t="s">
        <v>3435</v>
      </c>
      <c r="O54" s="708">
        <f>'Part I-Project Information'!O25</f>
        <v>502</v>
      </c>
    </row>
    <row r="55" spans="1:16" ht="13.15" customHeight="1">
      <c r="C55" s="708" t="s">
        <v>2314</v>
      </c>
      <c r="F55" s="708" t="str">
        <f>'Part I-Project Information'!F26</f>
        <v>Yes</v>
      </c>
      <c r="I55" s="708" t="s">
        <v>886</v>
      </c>
      <c r="J55" s="708" t="str">
        <f>'Part I-Project Information'!J26</f>
        <v>Monroe Co.</v>
      </c>
      <c r="M55" s="708" t="s">
        <v>666</v>
      </c>
      <c r="N55" s="708" t="str">
        <f>'Part I-Project Information'!N26</f>
        <v>No</v>
      </c>
      <c r="O55" s="708" t="s">
        <v>667</v>
      </c>
      <c r="P55" s="708" t="str">
        <f>'Part I-Project Information'!P26</f>
        <v>No</v>
      </c>
    </row>
    <row r="56" spans="1:16" ht="3.4" customHeight="1"/>
    <row r="57" spans="1:16" ht="13.15" customHeight="1">
      <c r="F57" s="708" t="s">
        <v>4083</v>
      </c>
      <c r="H57" s="708" t="s">
        <v>1226</v>
      </c>
      <c r="J57" s="708" t="s">
        <v>1227</v>
      </c>
    </row>
    <row r="58" spans="1:16" ht="13.15" customHeight="1">
      <c r="C58" s="708" t="s">
        <v>956</v>
      </c>
      <c r="F58" s="708">
        <f>'Part I-Project Information'!F29</f>
        <v>8</v>
      </c>
      <c r="H58" s="708">
        <f>'Part I-Project Information'!H29</f>
        <v>16</v>
      </c>
      <c r="J58" s="708">
        <f>'Part I-Project Information'!J29</f>
        <v>125</v>
      </c>
    </row>
    <row r="59" spans="1:16" ht="13.15" customHeight="1">
      <c r="C59" s="708" t="s">
        <v>1228</v>
      </c>
      <c r="F59" s="708">
        <f>'Part I-Project Information'!F30</f>
        <v>0</v>
      </c>
      <c r="H59" s="708">
        <f>'Part I-Project Information'!H30</f>
        <v>0</v>
      </c>
      <c r="J59" s="708">
        <f>'Part I-Project Information'!J30</f>
        <v>0</v>
      </c>
    </row>
    <row r="60" spans="1:16" ht="3.4" customHeight="1"/>
    <row r="61" spans="1:16" ht="13.15" customHeight="1">
      <c r="C61" s="708" t="s">
        <v>974</v>
      </c>
      <c r="F61" s="708" t="str">
        <f>'Part I-Project Information'!F32</f>
        <v>City of Forsyth</v>
      </c>
    </row>
    <row r="62" spans="1:16" ht="13.15" customHeight="1">
      <c r="C62" s="708" t="s">
        <v>975</v>
      </c>
      <c r="F62" s="708" t="str">
        <f>'Part I-Project Information'!F33</f>
        <v>Tye Howard</v>
      </c>
      <c r="K62" s="708" t="s">
        <v>3057</v>
      </c>
      <c r="L62" s="708" t="str">
        <f>'Part I-Project Information'!L33</f>
        <v>Mayor</v>
      </c>
    </row>
    <row r="63" spans="1:16" ht="13.15" customHeight="1">
      <c r="C63" s="708" t="s">
        <v>3058</v>
      </c>
      <c r="F63" s="708" t="str">
        <f>'Part I-Project Information'!F34</f>
        <v>26 North Jackson Street</v>
      </c>
      <c r="K63" s="708" t="s">
        <v>954</v>
      </c>
      <c r="L63" s="708" t="str">
        <f>'Part I-Project Information'!L34</f>
        <v>Forsyth</v>
      </c>
    </row>
    <row r="64" spans="1:16" ht="13.15" customHeight="1">
      <c r="C64" s="708" t="s">
        <v>3354</v>
      </c>
      <c r="F64" s="708">
        <f>'Part I-Project Information'!F35</f>
        <v>310292103</v>
      </c>
      <c r="H64" s="708" t="s">
        <v>3059</v>
      </c>
      <c r="I64" s="708">
        <f>'Part I-Project Information'!I35</f>
        <v>4789945649</v>
      </c>
      <c r="L64" s="708" t="s">
        <v>2834</v>
      </c>
      <c r="M64" s="708">
        <f>'Part I-Project Information'!M35</f>
        <v>4789931002</v>
      </c>
    </row>
    <row r="65" spans="1:16" ht="7.15" customHeight="1"/>
    <row r="66" spans="1:16" ht="13.15" customHeight="1">
      <c r="A66" s="708" t="s">
        <v>2826</v>
      </c>
      <c r="C66" s="708" t="s">
        <v>2209</v>
      </c>
      <c r="J66" s="708" t="s">
        <v>4084</v>
      </c>
    </row>
    <row r="67" spans="1:16" ht="3.4" customHeight="1"/>
    <row r="68" spans="1:16">
      <c r="B68" s="708" t="s">
        <v>3060</v>
      </c>
      <c r="C68" s="708" t="s">
        <v>3437</v>
      </c>
      <c r="F68" s="708" t="str">
        <f>'Part I-Project Information'!F39</f>
        <v>No</v>
      </c>
      <c r="J68" s="708" t="s">
        <v>1972</v>
      </c>
      <c r="L68" s="708" t="s">
        <v>1973</v>
      </c>
    </row>
    <row r="69" spans="1:16" ht="3.4" customHeight="1"/>
    <row r="70" spans="1:16" ht="13.15" customHeight="1">
      <c r="B70" s="708" t="s">
        <v>3063</v>
      </c>
      <c r="C70" s="708" t="s">
        <v>3599</v>
      </c>
      <c r="J70" s="708" t="s">
        <v>1976</v>
      </c>
      <c r="L70" s="708" t="s">
        <v>1971</v>
      </c>
    </row>
    <row r="71" spans="1:16" ht="13.15" customHeight="1">
      <c r="C71" s="708" t="s">
        <v>3436</v>
      </c>
      <c r="F71" s="708">
        <f>'Part VI-Revenues &amp; Expenses'!$M$75</f>
        <v>79</v>
      </c>
    </row>
    <row r="72" spans="1:16" ht="13.15" customHeight="1">
      <c r="C72" s="708" t="s">
        <v>469</v>
      </c>
      <c r="F72" s="708">
        <f>'Part VI-Revenues &amp; Expenses'!$M$82</f>
        <v>0</v>
      </c>
    </row>
    <row r="73" spans="1:16" ht="13.15" customHeight="1">
      <c r="C73" s="708" t="s">
        <v>443</v>
      </c>
      <c r="F73" s="708">
        <f>'Part VI-Revenues &amp; Expenses'!$M$78</f>
        <v>0</v>
      </c>
      <c r="G73" s="708" t="s">
        <v>445</v>
      </c>
      <c r="L73" s="708">
        <f>'Part I-Project Information'!L44</f>
        <v>0</v>
      </c>
    </row>
    <row r="74" spans="1:16" ht="13.15" customHeight="1">
      <c r="C74" s="708" t="s">
        <v>444</v>
      </c>
      <c r="F74" s="708">
        <f>'Part VI-Revenues &amp; Expenses'!$M$81</f>
        <v>0</v>
      </c>
    </row>
    <row r="75" spans="1:16" ht="13.15" customHeight="1">
      <c r="C75" s="708" t="s">
        <v>470</v>
      </c>
      <c r="F75" s="708">
        <f>'Part VI-Revenues &amp; Expenses'!$M$83</f>
        <v>0</v>
      </c>
    </row>
    <row r="76" spans="1:16" ht="3.6" customHeight="1"/>
    <row r="77" spans="1:16" ht="13.15" customHeight="1">
      <c r="B77" s="708" t="s">
        <v>1239</v>
      </c>
      <c r="C77" s="708" t="s">
        <v>3408</v>
      </c>
      <c r="I77" s="708" t="s">
        <v>2131</v>
      </c>
      <c r="J77" s="708" t="s">
        <v>3212</v>
      </c>
      <c r="K77" s="708" t="s">
        <v>3443</v>
      </c>
    </row>
    <row r="78" spans="1:16" ht="13.15" customHeight="1">
      <c r="C78" s="708" t="s">
        <v>3409</v>
      </c>
      <c r="H78" s="708">
        <f>SUM(H79:H80)</f>
        <v>79</v>
      </c>
      <c r="K78" s="708" t="s">
        <v>3444</v>
      </c>
      <c r="P78" s="708">
        <f>'Part VI-Revenues &amp; Expenses'!$M$94</f>
        <v>76250</v>
      </c>
    </row>
    <row r="79" spans="1:16" ht="13.15" customHeight="1">
      <c r="D79" s="708" t="s">
        <v>490</v>
      </c>
      <c r="H79" s="708">
        <f>'Part VI-Revenues &amp; Expenses'!$M$58</f>
        <v>16</v>
      </c>
      <c r="I79" s="708">
        <f>'Part VI-Revenues &amp; Expenses'!$M$66</f>
        <v>0</v>
      </c>
      <c r="K79" s="708" t="s">
        <v>326</v>
      </c>
      <c r="P79" s="708">
        <f>'Part VI-Revenues &amp; Expenses'!$M$95</f>
        <v>0</v>
      </c>
    </row>
    <row r="80" spans="1:16" ht="13.15" customHeight="1">
      <c r="D80" s="708" t="s">
        <v>2864</v>
      </c>
      <c r="H80" s="708">
        <f>'Part VI-Revenues &amp; Expenses'!$M$57</f>
        <v>63</v>
      </c>
      <c r="I80" s="708">
        <f>'Part VI-Revenues &amp; Expenses'!$M$65</f>
        <v>0</v>
      </c>
      <c r="K80" s="708" t="s">
        <v>3445</v>
      </c>
      <c r="P80" s="708">
        <f>+P78+P79</f>
        <v>76250</v>
      </c>
    </row>
    <row r="81" spans="1:16" ht="13.15" customHeight="1">
      <c r="C81" s="708" t="s">
        <v>327</v>
      </c>
      <c r="H81" s="708">
        <f>'Part VI-Revenues &amp; Expenses'!$M$60</f>
        <v>0</v>
      </c>
      <c r="K81" s="708" t="s">
        <v>2134</v>
      </c>
      <c r="P81" s="708">
        <f>'Part VI-Revenues &amp; Expenses'!$M$97</f>
        <v>0</v>
      </c>
    </row>
    <row r="82" spans="1:16" ht="13.15" customHeight="1">
      <c r="C82" s="708" t="s">
        <v>3650</v>
      </c>
      <c r="H82" s="708">
        <f>+H78+H81</f>
        <v>79</v>
      </c>
      <c r="K82" s="708" t="s">
        <v>2133</v>
      </c>
      <c r="P82" s="708">
        <f>+P80+P81</f>
        <v>76250</v>
      </c>
    </row>
    <row r="83" spans="1:16" ht="13.15" customHeight="1">
      <c r="C83" s="708" t="s">
        <v>3651</v>
      </c>
      <c r="H83" s="708">
        <f>'Part VI-Revenues &amp; Expenses'!$M$62</f>
        <v>0</v>
      </c>
    </row>
    <row r="84" spans="1:16" ht="13.15" customHeight="1">
      <c r="C84" s="708" t="s">
        <v>2825</v>
      </c>
      <c r="H84" s="708">
        <f>+H82+H83</f>
        <v>79</v>
      </c>
    </row>
    <row r="85" spans="1:16" ht="3.4" customHeight="1"/>
    <row r="86" spans="1:16" ht="13.15" customHeight="1">
      <c r="B86" s="708" t="s">
        <v>2763</v>
      </c>
      <c r="C86" s="708" t="s">
        <v>3438</v>
      </c>
      <c r="D86" s="708" t="s">
        <v>3074</v>
      </c>
      <c r="H86" s="708">
        <f>'Part I-Project Information'!H57</f>
        <v>6</v>
      </c>
      <c r="K86" s="708" t="s">
        <v>1760</v>
      </c>
      <c r="P86" s="708">
        <f>'Part I-Project Information'!P57</f>
        <v>4450</v>
      </c>
    </row>
    <row r="87" spans="1:16" ht="13.15" customHeight="1">
      <c r="D87" s="708" t="s">
        <v>3075</v>
      </c>
      <c r="H87" s="708">
        <f>'Part I-Project Information'!H58</f>
        <v>1</v>
      </c>
      <c r="K87" s="708" t="s">
        <v>325</v>
      </c>
      <c r="P87" s="708">
        <f>+P82+P86</f>
        <v>80700</v>
      </c>
    </row>
    <row r="88" spans="1:16" ht="13.15" customHeight="1">
      <c r="D88" s="708" t="s">
        <v>3076</v>
      </c>
      <c r="H88" s="708">
        <f>+H86+H87</f>
        <v>7</v>
      </c>
    </row>
    <row r="89" spans="1:16" ht="3.4" customHeight="1"/>
    <row r="90" spans="1:16" ht="13.15" customHeight="1">
      <c r="B90" s="708" t="s">
        <v>2764</v>
      </c>
      <c r="C90" s="708" t="s">
        <v>3600</v>
      </c>
      <c r="H90" s="708">
        <f>'Part I-Project Information'!H61</f>
        <v>158</v>
      </c>
    </row>
    <row r="91" spans="1:16" ht="9" customHeight="1"/>
    <row r="92" spans="1:16" ht="13.15" customHeight="1">
      <c r="A92" s="708" t="s">
        <v>823</v>
      </c>
      <c r="C92" s="708" t="s">
        <v>1837</v>
      </c>
    </row>
    <row r="93" spans="1:16" ht="3.4" customHeight="1"/>
    <row r="94" spans="1:16" ht="13.15" customHeight="1">
      <c r="B94" s="708" t="s">
        <v>3060</v>
      </c>
      <c r="C94" s="708" t="s">
        <v>2273</v>
      </c>
      <c r="H94" s="708" t="str">
        <f>'Part I-Project Information'!H65</f>
        <v>Family</v>
      </c>
      <c r="K94" s="708" t="s">
        <v>2802</v>
      </c>
      <c r="N94" s="708">
        <f>'Part I-Project Information'!N65</f>
        <v>0</v>
      </c>
    </row>
    <row r="95" spans="1:16" ht="3.4" customHeight="1"/>
    <row r="96" spans="1:16" ht="13.15" customHeight="1">
      <c r="B96" s="708" t="s">
        <v>3063</v>
      </c>
      <c r="C96" s="708" t="s">
        <v>2122</v>
      </c>
      <c r="G96" s="708" t="s">
        <v>1379</v>
      </c>
      <c r="H96" s="708">
        <f>'Part I-Project Information'!H67</f>
        <v>4</v>
      </c>
      <c r="K96" s="708" t="s">
        <v>813</v>
      </c>
      <c r="P96" s="708">
        <f>IF('Part VI-Revenues &amp; Expenses'!$M$63=0,0,$H96/'Part VI-Revenues &amp; Expenses'!$M$63)</f>
        <v>5.0632911392405063E-2</v>
      </c>
    </row>
    <row r="97" spans="1:16" ht="3.4" customHeight="1"/>
    <row r="98" spans="1:16" ht="13.15" customHeight="1">
      <c r="B98" s="708" t="s">
        <v>1239</v>
      </c>
      <c r="C98" s="708" t="s">
        <v>2891</v>
      </c>
      <c r="G98" s="708" t="s">
        <v>1379</v>
      </c>
      <c r="H98" s="708">
        <f>'Part I-Project Information'!H69</f>
        <v>2</v>
      </c>
      <c r="K98" s="708" t="s">
        <v>813</v>
      </c>
      <c r="P98" s="708">
        <f>IF('Part VI-Revenues &amp; Expenses'!$M$63=0,0,$H98/'Part VI-Revenues &amp; Expenses'!$M$63)</f>
        <v>2.5316455696202531E-2</v>
      </c>
    </row>
    <row r="99" spans="1:16" ht="3.4" customHeight="1"/>
    <row r="100" spans="1:16" ht="13.15" customHeight="1">
      <c r="B100" s="708" t="s">
        <v>3212</v>
      </c>
      <c r="C100" s="708" t="s">
        <v>1978</v>
      </c>
      <c r="G100" s="708" t="s">
        <v>1979</v>
      </c>
      <c r="H100" s="708">
        <f>'Part I-Project Information'!H71</f>
        <v>0</v>
      </c>
      <c r="K100" s="708" t="s">
        <v>813</v>
      </c>
      <c r="P100" s="708">
        <f>IF('Part VI-Revenues &amp; Expenses'!$M$63=0,0,$H100/'Part VI-Revenues &amp; Expenses'!$M$63)</f>
        <v>0</v>
      </c>
    </row>
    <row r="101" spans="1:16" ht="9" customHeight="1"/>
    <row r="102" spans="1:16" ht="13.15" customHeight="1">
      <c r="A102" s="708" t="s">
        <v>1348</v>
      </c>
      <c r="C102" s="708" t="s">
        <v>3592</v>
      </c>
    </row>
    <row r="103" spans="1:16" ht="3.4" customHeight="1"/>
    <row r="104" spans="1:16" ht="13.15" customHeight="1">
      <c r="B104" s="708" t="s">
        <v>3060</v>
      </c>
      <c r="C104" s="708" t="s">
        <v>3591</v>
      </c>
      <c r="H104" s="708" t="str">
        <f>'Part I-Project Information'!H75</f>
        <v>40% of Units at 60% of AMI</v>
      </c>
    </row>
    <row r="105" spans="1:16" ht="3.4" customHeight="1"/>
    <row r="106" spans="1:16" ht="13.15" customHeight="1">
      <c r="B106" s="708" t="s">
        <v>3063</v>
      </c>
      <c r="C106" s="708" t="s">
        <v>2286</v>
      </c>
      <c r="K106" s="708" t="s">
        <v>1460</v>
      </c>
      <c r="P106" s="708" t="str">
        <f>'Part I-Project Information'!P77</f>
        <v>Yes</v>
      </c>
    </row>
    <row r="107" spans="1:16" ht="9" customHeight="1"/>
    <row r="108" spans="1:16" ht="13.15" customHeight="1">
      <c r="A108" s="708" t="s">
        <v>386</v>
      </c>
      <c r="C108" s="708" t="s">
        <v>3133</v>
      </c>
    </row>
    <row r="109" spans="1:16" ht="3.4" customHeight="1"/>
    <row r="110" spans="1:16" ht="13.15" customHeight="1">
      <c r="E110" s="708" t="str">
        <f>'Part I-Project Information'!E81</f>
        <v>Yes</v>
      </c>
      <c r="F110" s="708" t="s">
        <v>3913</v>
      </c>
      <c r="H110" s="708" t="str">
        <f>'Part I-Project Information'!H81</f>
        <v>Yes</v>
      </c>
      <c r="I110" s="708" t="s">
        <v>3912</v>
      </c>
      <c r="K110" s="708">
        <f>'Part I-Project Information'!K81</f>
        <v>0</v>
      </c>
      <c r="L110" s="708" t="s">
        <v>144</v>
      </c>
    </row>
    <row r="111" spans="1:16" ht="13.15" customHeight="1">
      <c r="E111" s="708">
        <f>'Part I-Project Information'!E82</f>
        <v>0</v>
      </c>
      <c r="F111" s="708" t="s">
        <v>651</v>
      </c>
      <c r="H111" s="708">
        <f>'Part I-Project Information'!H82</f>
        <v>0</v>
      </c>
      <c r="I111" s="708" t="s">
        <v>3233</v>
      </c>
      <c r="K111" s="708">
        <f>'Part I-Project Information'!K82</f>
        <v>0</v>
      </c>
      <c r="L111" s="708" t="s">
        <v>3234</v>
      </c>
    </row>
    <row r="112" spans="1:16" ht="9" customHeight="1"/>
    <row r="113" spans="1:15" ht="13.15" customHeight="1">
      <c r="A113" s="708" t="s">
        <v>542</v>
      </c>
      <c r="C113" s="708" t="s">
        <v>1835</v>
      </c>
    </row>
    <row r="114" spans="1:15" ht="3.4" customHeight="1"/>
    <row r="115" spans="1:15" ht="13.15" customHeight="1">
      <c r="C115" s="708" t="s">
        <v>848</v>
      </c>
      <c r="E115" s="708">
        <f>'Part I-Project Information'!E86</f>
        <v>0</v>
      </c>
      <c r="M115" s="708" t="s">
        <v>849</v>
      </c>
      <c r="O115" s="708">
        <f>'Part I-Project Information'!O86</f>
        <v>0</v>
      </c>
    </row>
    <row r="116" spans="1:15" ht="13.15" customHeight="1">
      <c r="C116" s="708" t="s">
        <v>1642</v>
      </c>
      <c r="E116" s="708">
        <f>'Part I-Project Information'!E87</f>
        <v>0</v>
      </c>
      <c r="M116" s="708" t="s">
        <v>1391</v>
      </c>
      <c r="O116" s="708">
        <f>'Part I-Project Information'!O87</f>
        <v>0</v>
      </c>
    </row>
    <row r="117" spans="1:15" ht="13.15" customHeight="1">
      <c r="C117" s="708" t="s">
        <v>954</v>
      </c>
      <c r="E117" s="708">
        <f>'Part I-Project Information'!E88</f>
        <v>0</v>
      </c>
      <c r="H117" s="708" t="s">
        <v>2831</v>
      </c>
      <c r="I117" s="708">
        <f>'Part I-Project Information'!I88</f>
        <v>0</v>
      </c>
      <c r="J117" s="708" t="s">
        <v>3354</v>
      </c>
      <c r="K117" s="708">
        <f>'Part I-Project Information'!K88</f>
        <v>0</v>
      </c>
    </row>
    <row r="118" spans="1:15" ht="13.15" customHeight="1">
      <c r="C118" s="708" t="s">
        <v>3302</v>
      </c>
      <c r="E118" s="708">
        <f>'Part I-Project Information'!E89</f>
        <v>0</v>
      </c>
      <c r="H118" s="708" t="s">
        <v>3057</v>
      </c>
      <c r="I118" s="708">
        <f>'Part I-Project Information'!I89</f>
        <v>0</v>
      </c>
      <c r="L118" s="708" t="s">
        <v>3061</v>
      </c>
      <c r="M118" s="708">
        <f>'Part I-Project Information'!M89</f>
        <v>0</v>
      </c>
    </row>
    <row r="119" spans="1:15" ht="13.15" customHeight="1">
      <c r="C119" s="708" t="s">
        <v>3301</v>
      </c>
      <c r="E119" s="708">
        <f>'Part I-Project Information'!E90</f>
        <v>0</v>
      </c>
      <c r="H119" s="708" t="s">
        <v>2834</v>
      </c>
      <c r="I119" s="708">
        <f>'Part I-Project Information'!I90</f>
        <v>0</v>
      </c>
      <c r="K119" s="708" t="s">
        <v>2835</v>
      </c>
      <c r="L119" s="708">
        <f>'Part I-Project Information'!L90</f>
        <v>0</v>
      </c>
      <c r="N119" s="708" t="s">
        <v>3056</v>
      </c>
      <c r="O119" s="708">
        <f>'Part I-Project Information'!O90</f>
        <v>0</v>
      </c>
    </row>
    <row r="120" spans="1:15" ht="3.4" customHeight="1"/>
    <row r="121" spans="1:15" ht="13.15" customHeight="1">
      <c r="A121" s="708" t="s">
        <v>464</v>
      </c>
      <c r="C121" s="708" t="s">
        <v>2666</v>
      </c>
    </row>
    <row r="122" spans="1:15" ht="3.6" customHeight="1"/>
    <row r="123" spans="1:15" ht="13.15" customHeight="1">
      <c r="C123" s="708" t="s">
        <v>3257</v>
      </c>
    </row>
    <row r="124" spans="1:15" ht="4.9000000000000004" customHeight="1"/>
    <row r="125" spans="1:15" ht="13.15" customHeight="1">
      <c r="B125" s="708" t="s">
        <v>3060</v>
      </c>
      <c r="C125" s="708" t="s">
        <v>2123</v>
      </c>
      <c r="H125" s="708">
        <f>'Part I-Project Information'!H96</f>
        <v>1</v>
      </c>
    </row>
    <row r="126" spans="1:15" ht="3.6" customHeight="1"/>
    <row r="127" spans="1:15" ht="13.15" customHeight="1">
      <c r="B127" s="708" t="s">
        <v>3063</v>
      </c>
      <c r="C127" s="708" t="s">
        <v>526</v>
      </c>
      <c r="H127" s="708">
        <f>'Part I-Project Information'!H98</f>
        <v>852800</v>
      </c>
    </row>
    <row r="128" spans="1:15" ht="3.6" customHeight="1"/>
    <row r="129" spans="2:13" ht="13.15" customHeight="1">
      <c r="B129" s="708" t="s">
        <v>1239</v>
      </c>
      <c r="C129" s="708" t="s">
        <v>396</v>
      </c>
    </row>
    <row r="130" spans="2:13" ht="13.15" customHeight="1">
      <c r="C130" s="708" t="s">
        <v>3235</v>
      </c>
      <c r="F130" s="708" t="s">
        <v>1774</v>
      </c>
      <c r="J130" s="708" t="s">
        <v>3235</v>
      </c>
      <c r="M130" s="708" t="s">
        <v>1774</v>
      </c>
    </row>
    <row r="131" spans="2:13" ht="13.15" customHeight="1">
      <c r="C131" s="708" t="str">
        <f>'Part I-Project Information'!C102</f>
        <v>In-Fill Housing, Inc.</v>
      </c>
      <c r="F131" s="708" t="str">
        <f>'Part I-Project Information'!F102</f>
        <v>Brentwood Place Apartments</v>
      </c>
      <c r="J131" s="708">
        <f>'Part I-Project Information'!J102</f>
        <v>8</v>
      </c>
      <c r="M131" s="708">
        <f>'Part I-Project Information'!M102</f>
        <v>0</v>
      </c>
    </row>
    <row r="132" spans="2:13" ht="13.15" customHeight="1">
      <c r="C132" s="708">
        <f>'Part I-Project Information'!C103</f>
        <v>2</v>
      </c>
      <c r="F132" s="708">
        <f>'Part I-Project Information'!F103</f>
        <v>0</v>
      </c>
      <c r="J132" s="708">
        <f>'Part I-Project Information'!J103</f>
        <v>9</v>
      </c>
      <c r="M132" s="708">
        <f>'Part I-Project Information'!M103</f>
        <v>0</v>
      </c>
    </row>
    <row r="133" spans="2:13" ht="13.15" customHeight="1">
      <c r="C133" s="708">
        <f>'Part I-Project Information'!C104</f>
        <v>3</v>
      </c>
      <c r="F133" s="708">
        <f>'Part I-Project Information'!F104</f>
        <v>0</v>
      </c>
      <c r="J133" s="708">
        <f>'Part I-Project Information'!J104</f>
        <v>10</v>
      </c>
      <c r="M133" s="708">
        <f>'Part I-Project Information'!M104</f>
        <v>0</v>
      </c>
    </row>
    <row r="134" spans="2:13" ht="13.15" customHeight="1">
      <c r="C134" s="708">
        <f>'Part I-Project Information'!C105</f>
        <v>4</v>
      </c>
      <c r="F134" s="708">
        <f>'Part I-Project Information'!F105</f>
        <v>0</v>
      </c>
      <c r="J134" s="708">
        <f>'Part I-Project Information'!J105</f>
        <v>11</v>
      </c>
      <c r="M134" s="708">
        <f>'Part I-Project Information'!M105</f>
        <v>0</v>
      </c>
    </row>
    <row r="135" spans="2:13" ht="13.15" customHeight="1">
      <c r="C135" s="708">
        <f>'Part I-Project Information'!C106</f>
        <v>5</v>
      </c>
      <c r="F135" s="708">
        <f>'Part I-Project Information'!F106</f>
        <v>0</v>
      </c>
      <c r="J135" s="708">
        <f>'Part I-Project Information'!J106</f>
        <v>12</v>
      </c>
      <c r="M135" s="708">
        <f>'Part I-Project Information'!M106</f>
        <v>0</v>
      </c>
    </row>
    <row r="136" spans="2:13" ht="13.15" customHeight="1">
      <c r="C136" s="708">
        <f>'Part I-Project Information'!C107</f>
        <v>6</v>
      </c>
      <c r="F136" s="708">
        <f>'Part I-Project Information'!F107</f>
        <v>0</v>
      </c>
      <c r="J136" s="708">
        <f>'Part I-Project Information'!J107</f>
        <v>13</v>
      </c>
      <c r="M136" s="708">
        <f>'Part I-Project Information'!M107</f>
        <v>0</v>
      </c>
    </row>
    <row r="137" spans="2:13" ht="13.15" customHeight="1">
      <c r="C137" s="708">
        <f>'Part I-Project Information'!C108</f>
        <v>7</v>
      </c>
      <c r="F137" s="708">
        <f>'Part I-Project Information'!F108</f>
        <v>0</v>
      </c>
      <c r="J137" s="708">
        <f>'Part I-Project Information'!J108</f>
        <v>14</v>
      </c>
      <c r="M137" s="708">
        <f>'Part I-Project Information'!M108</f>
        <v>0</v>
      </c>
    </row>
    <row r="138" spans="2:13" ht="4.9000000000000004" customHeight="1"/>
    <row r="139" spans="2:13" ht="13.15" customHeight="1">
      <c r="B139" s="708" t="s">
        <v>3212</v>
      </c>
      <c r="C139" s="708" t="s">
        <v>2900</v>
      </c>
    </row>
    <row r="140" spans="2:13" ht="13.15" customHeight="1"/>
    <row r="141" spans="2:13" ht="13.15" customHeight="1">
      <c r="C141" s="708" t="s">
        <v>3235</v>
      </c>
      <c r="F141" s="708" t="s">
        <v>1774</v>
      </c>
      <c r="J141" s="708" t="s">
        <v>3235</v>
      </c>
      <c r="M141" s="708" t="s">
        <v>1774</v>
      </c>
    </row>
    <row r="142" spans="2:13" ht="13.15" customHeight="1">
      <c r="C142" s="708">
        <f>'Part I-Project Information'!C113</f>
        <v>1</v>
      </c>
      <c r="F142" s="708">
        <f>'Part I-Project Information'!F113</f>
        <v>0</v>
      </c>
      <c r="J142" s="708">
        <f>'Part I-Project Information'!J113</f>
        <v>8</v>
      </c>
      <c r="M142" s="708">
        <f>'Part I-Project Information'!M113</f>
        <v>0</v>
      </c>
    </row>
    <row r="143" spans="2:13" ht="13.15" customHeight="1">
      <c r="C143" s="708">
        <f>'Part I-Project Information'!C114</f>
        <v>2</v>
      </c>
      <c r="F143" s="708">
        <f>'Part I-Project Information'!F114</f>
        <v>0</v>
      </c>
      <c r="J143" s="708">
        <f>'Part I-Project Information'!J114</f>
        <v>9</v>
      </c>
      <c r="M143" s="708">
        <f>'Part I-Project Information'!M114</f>
        <v>0</v>
      </c>
    </row>
    <row r="144" spans="2:13" ht="13.15" customHeight="1">
      <c r="C144" s="708">
        <f>'Part I-Project Information'!C115</f>
        <v>3</v>
      </c>
      <c r="F144" s="708">
        <f>'Part I-Project Information'!F115</f>
        <v>0</v>
      </c>
      <c r="J144" s="708">
        <f>'Part I-Project Information'!J115</f>
        <v>10</v>
      </c>
      <c r="M144" s="708">
        <f>'Part I-Project Information'!M115</f>
        <v>0</v>
      </c>
    </row>
    <row r="145" spans="1:15" ht="13.15" customHeight="1">
      <c r="C145" s="708">
        <f>'Part I-Project Information'!C116</f>
        <v>4</v>
      </c>
      <c r="F145" s="708">
        <f>'Part I-Project Information'!F116</f>
        <v>0</v>
      </c>
      <c r="J145" s="708">
        <f>'Part I-Project Information'!J116</f>
        <v>11</v>
      </c>
      <c r="M145" s="708">
        <f>'Part I-Project Information'!M116</f>
        <v>0</v>
      </c>
    </row>
    <row r="146" spans="1:15" ht="13.15" customHeight="1">
      <c r="C146" s="708">
        <f>'Part I-Project Information'!C117</f>
        <v>5</v>
      </c>
      <c r="F146" s="708">
        <f>'Part I-Project Information'!F117</f>
        <v>0</v>
      </c>
      <c r="J146" s="708">
        <f>'Part I-Project Information'!J117</f>
        <v>12</v>
      </c>
      <c r="M146" s="708">
        <f>'Part I-Project Information'!M117</f>
        <v>0</v>
      </c>
    </row>
    <row r="147" spans="1:15" ht="13.15" customHeight="1">
      <c r="C147" s="708">
        <f>'Part I-Project Information'!C118</f>
        <v>6</v>
      </c>
      <c r="F147" s="708">
        <f>'Part I-Project Information'!F118</f>
        <v>0</v>
      </c>
      <c r="J147" s="708">
        <f>'Part I-Project Information'!J118</f>
        <v>13</v>
      </c>
      <c r="M147" s="708">
        <f>'Part I-Project Information'!M118</f>
        <v>0</v>
      </c>
    </row>
    <row r="148" spans="1:15" ht="13.15" customHeight="1">
      <c r="C148" s="708">
        <f>'Part I-Project Information'!C119</f>
        <v>7</v>
      </c>
      <c r="F148" s="708">
        <f>'Part I-Project Information'!F119</f>
        <v>0</v>
      </c>
      <c r="J148" s="708">
        <f>'Part I-Project Information'!J119</f>
        <v>14</v>
      </c>
      <c r="M148" s="708">
        <f>'Part I-Project Information'!M119</f>
        <v>0</v>
      </c>
    </row>
    <row r="149" spans="1:15" ht="6.6" customHeight="1"/>
    <row r="150" spans="1:15" ht="13.15" customHeight="1">
      <c r="A150" s="708" t="s">
        <v>465</v>
      </c>
      <c r="C150" s="708" t="s">
        <v>3664</v>
      </c>
      <c r="H150" s="708" t="str">
        <f>'Part I-Project Information'!H121</f>
        <v>No</v>
      </c>
    </row>
    <row r="151" spans="1:15" ht="3.4" customHeight="1"/>
    <row r="152" spans="1:15" ht="13.15" customHeight="1">
      <c r="B152" s="708" t="s">
        <v>3060</v>
      </c>
      <c r="C152" s="708" t="s">
        <v>2732</v>
      </c>
      <c r="H152" s="708" t="str">
        <f>'Part I-Project Information'!H123</f>
        <v>No</v>
      </c>
    </row>
    <row r="153" spans="1:15" ht="13.15" customHeight="1">
      <c r="C153" s="708" t="s">
        <v>3666</v>
      </c>
      <c r="H153" s="708">
        <f>'Part I-Project Information'!H124</f>
        <v>0</v>
      </c>
    </row>
    <row r="154" spans="1:15" ht="13.15" customHeight="1">
      <c r="C154" s="708" t="s">
        <v>2731</v>
      </c>
      <c r="H154" s="708">
        <f>'Part I-Project Information'!H125</f>
        <v>0</v>
      </c>
    </row>
    <row r="155" spans="1:15" ht="13.15" customHeight="1">
      <c r="C155" s="708" t="s">
        <v>3667</v>
      </c>
      <c r="H155" s="708">
        <f>'Part I-Project Information'!H126</f>
        <v>0</v>
      </c>
      <c r="K155" s="708" t="s">
        <v>3375</v>
      </c>
      <c r="O155" s="708" t="str">
        <f>'Part I-Project Information'!O126</f>
        <v>GA-</v>
      </c>
    </row>
    <row r="156" spans="1:15" ht="13.15" customHeight="1">
      <c r="C156" s="708" t="s">
        <v>3665</v>
      </c>
      <c r="H156" s="708" t="str">
        <f>'Part I-Project Information'!H127</f>
        <v>No</v>
      </c>
      <c r="K156" s="708" t="s">
        <v>3376</v>
      </c>
      <c r="O156" s="708" t="str">
        <f>'Part I-Project Information'!O127</f>
        <v>GA-</v>
      </c>
    </row>
    <row r="157" spans="1:15" ht="13.15" customHeight="1">
      <c r="C157" s="708" t="s">
        <v>3273</v>
      </c>
      <c r="H157" s="708">
        <f>'Part I-Project Information'!H128</f>
        <v>0</v>
      </c>
    </row>
    <row r="158" spans="1:15" ht="3.4" customHeight="1"/>
    <row r="159" spans="1:15" ht="13.15" customHeight="1">
      <c r="B159" s="708" t="s">
        <v>3063</v>
      </c>
      <c r="C159" s="708" t="s">
        <v>3769</v>
      </c>
      <c r="H159" s="708" t="str">
        <f>'Part I-Project Information'!H130</f>
        <v>No</v>
      </c>
    </row>
    <row r="160" spans="1:15" ht="3.4" customHeight="1"/>
    <row r="161" spans="1:16" ht="13.15" customHeight="1">
      <c r="B161" s="708" t="s">
        <v>1239</v>
      </c>
      <c r="C161" s="708" t="s">
        <v>982</v>
      </c>
    </row>
    <row r="162" spans="1:16" ht="13.15" customHeight="1">
      <c r="C162" s="708" t="s">
        <v>4085</v>
      </c>
      <c r="H162" s="708" t="str">
        <f>'Part I-Project Information'!H133</f>
        <v>No</v>
      </c>
      <c r="K162" s="708" t="s">
        <v>2287</v>
      </c>
      <c r="O162" s="708" t="str">
        <f>'Part I-Project Information'!O133</f>
        <v>No</v>
      </c>
    </row>
    <row r="163" spans="1:16" ht="13.15" customHeight="1">
      <c r="C163" s="708" t="s">
        <v>4086</v>
      </c>
      <c r="H163" s="708" t="str">
        <f>'Part I-Project Information'!H134</f>
        <v>No</v>
      </c>
    </row>
    <row r="164" spans="1:16" ht="6" customHeight="1"/>
    <row r="165" spans="1:16" ht="13.15" customHeight="1">
      <c r="A165" s="708" t="s">
        <v>466</v>
      </c>
      <c r="C165" s="708" t="s">
        <v>1836</v>
      </c>
    </row>
    <row r="166" spans="1:16" ht="1.9" customHeight="1"/>
    <row r="167" spans="1:16" ht="13.15" customHeight="1">
      <c r="B167" s="708" t="s">
        <v>3060</v>
      </c>
      <c r="C167" s="708" t="s">
        <v>2865</v>
      </c>
    </row>
    <row r="168" spans="1:16" ht="12.6" customHeight="1">
      <c r="C168" s="708" t="s">
        <v>2279</v>
      </c>
      <c r="K168" s="708" t="str">
        <f>'Part I-Project Information'!K139</f>
        <v>No</v>
      </c>
    </row>
    <row r="169" spans="1:16" ht="12.6" customHeight="1">
      <c r="C169" s="708" t="s">
        <v>950</v>
      </c>
      <c r="K169" s="708">
        <f>'Part I-Project Information'!K140</f>
        <v>0</v>
      </c>
      <c r="L169" s="708" t="s">
        <v>2827</v>
      </c>
      <c r="P169" s="708">
        <f>IF('Part VI-Revenues &amp; Expenses'!$M$61=0,0,$K169/'Part VI-Revenues &amp; Expenses'!$M$61)</f>
        <v>0</v>
      </c>
    </row>
    <row r="170" spans="1:16" ht="12.6" customHeight="1">
      <c r="C170" s="708" t="s">
        <v>3274</v>
      </c>
      <c r="K170" s="708">
        <f>'Part I-Project Information'!K141</f>
        <v>0</v>
      </c>
      <c r="L170" s="708" t="s">
        <v>2827</v>
      </c>
      <c r="P170" s="708">
        <f>IF('Part VI-Revenues &amp; Expenses'!$M$61=0,0,$K170/'Part VI-Revenues &amp; Expenses'!$M$61)</f>
        <v>0</v>
      </c>
    </row>
    <row r="171" spans="1:16" ht="12.6" customHeight="1">
      <c r="C171" s="708" t="s">
        <v>2828</v>
      </c>
      <c r="E171" s="708">
        <f>'Part I-Project Information'!E142</f>
        <v>0</v>
      </c>
      <c r="L171" s="708" t="s">
        <v>2829</v>
      </c>
      <c r="M171" s="708">
        <f>'Part I-Project Information'!M142</f>
        <v>0</v>
      </c>
    </row>
    <row r="172" spans="1:16" ht="12.6" customHeight="1">
      <c r="C172" s="708" t="s">
        <v>2830</v>
      </c>
      <c r="E172" s="708">
        <f>'Part I-Project Information'!E143</f>
        <v>0</v>
      </c>
      <c r="L172" s="708" t="s">
        <v>2832</v>
      </c>
      <c r="M172" s="708">
        <f>'Part I-Project Information'!M143</f>
        <v>0</v>
      </c>
    </row>
    <row r="173" spans="1:16" ht="12.6" customHeight="1">
      <c r="C173" s="708" t="s">
        <v>954</v>
      </c>
      <c r="E173" s="708">
        <f>'Part I-Project Information'!E144</f>
        <v>0</v>
      </c>
      <c r="I173" s="708" t="s">
        <v>3354</v>
      </c>
      <c r="J173" s="708">
        <f>'Part I-Project Information'!J144</f>
        <v>0</v>
      </c>
      <c r="L173" s="708" t="s">
        <v>2835</v>
      </c>
      <c r="M173" s="708">
        <f>'Part I-Project Information'!M144</f>
        <v>0</v>
      </c>
    </row>
    <row r="174" spans="1:16" ht="12.6" customHeight="1">
      <c r="C174" s="708" t="s">
        <v>2833</v>
      </c>
      <c r="E174" s="708">
        <f>'Part I-Project Information'!E145</f>
        <v>0</v>
      </c>
      <c r="H174" s="708" t="s">
        <v>2834</v>
      </c>
      <c r="I174" s="708">
        <f>'Part I-Project Information'!I145</f>
        <v>0</v>
      </c>
      <c r="L174" s="708" t="s">
        <v>3056</v>
      </c>
      <c r="M174" s="708">
        <f>'Part I-Project Information'!M145</f>
        <v>0</v>
      </c>
    </row>
    <row r="175" spans="1:16" ht="1.9" customHeight="1"/>
    <row r="176" spans="1:16" ht="12.6" customHeight="1">
      <c r="B176" s="708" t="s">
        <v>3063</v>
      </c>
      <c r="C176" s="708" t="s">
        <v>2373</v>
      </c>
      <c r="I176" s="708" t="str">
        <f>'Part I-Project Information'!I147</f>
        <v>No</v>
      </c>
      <c r="J176" s="708" t="s">
        <v>1254</v>
      </c>
      <c r="L176" s="708">
        <f>'Part I-Project Information'!L147</f>
        <v>0</v>
      </c>
      <c r="M176" s="708" t="s">
        <v>3471</v>
      </c>
      <c r="P176" s="708">
        <f>'Part I-Project Information'!P147</f>
        <v>0</v>
      </c>
    </row>
    <row r="177" spans="2:16" ht="1.9" customHeight="1"/>
    <row r="178" spans="2:16" ht="12.6" customHeight="1">
      <c r="B178" s="708" t="s">
        <v>1239</v>
      </c>
      <c r="C178" s="708" t="s">
        <v>2786</v>
      </c>
      <c r="I178" s="708" t="str">
        <f>'Part I-Project Information'!I149</f>
        <v>No</v>
      </c>
    </row>
    <row r="179" spans="2:16" ht="1.9" customHeight="1"/>
    <row r="180" spans="2:16" ht="12.6" customHeight="1">
      <c r="B180" s="708" t="s">
        <v>3212</v>
      </c>
      <c r="C180" s="708" t="s">
        <v>3055</v>
      </c>
      <c r="I180" s="708" t="str">
        <f>'Part I-Project Information'!I151</f>
        <v>No</v>
      </c>
    </row>
    <row r="181" spans="2:16" ht="12.6" customHeight="1">
      <c r="C181" s="708" t="s">
        <v>2210</v>
      </c>
      <c r="I181" s="708">
        <f>'Part I-Project Information'!I152</f>
        <v>0</v>
      </c>
    </row>
    <row r="182" spans="2:16" ht="12.6" customHeight="1">
      <c r="C182" s="708" t="s">
        <v>1380</v>
      </c>
      <c r="I182" s="708">
        <f>'Part I-Project Information'!I153</f>
        <v>0</v>
      </c>
    </row>
    <row r="183" spans="2:16" ht="12.6" customHeight="1">
      <c r="C183" s="708" t="s">
        <v>2823</v>
      </c>
      <c r="I183" s="708" t="e">
        <f>IF(I181="","",I182/I181)</f>
        <v>#DIV/0!</v>
      </c>
    </row>
    <row r="184" spans="2:16" ht="1.9" customHeight="1"/>
    <row r="185" spans="2:16" ht="13.15" customHeight="1">
      <c r="B185" s="708" t="s">
        <v>2763</v>
      </c>
      <c r="C185" s="708" t="s">
        <v>2374</v>
      </c>
    </row>
    <row r="186" spans="2:16" ht="12.6" customHeight="1">
      <c r="C186" s="708" t="s">
        <v>3328</v>
      </c>
      <c r="I186" s="708">
        <f>'Part I-Project Information'!I157</f>
        <v>0</v>
      </c>
      <c r="L186" s="708" t="s">
        <v>3327</v>
      </c>
      <c r="P186" s="708">
        <f>'Part I-Project Information'!P157</f>
        <v>0</v>
      </c>
    </row>
    <row r="187" spans="2:16" ht="12.6" customHeight="1">
      <c r="C187" s="708" t="s">
        <v>3330</v>
      </c>
      <c r="I187" s="708">
        <f>'Part I-Project Information'!I158</f>
        <v>0</v>
      </c>
      <c r="L187" s="708" t="s">
        <v>2376</v>
      </c>
      <c r="P187" s="708">
        <f>'Part I-Project Information'!P158</f>
        <v>0</v>
      </c>
    </row>
    <row r="188" spans="2:16" ht="12.6" customHeight="1">
      <c r="C188" s="708" t="s">
        <v>1980</v>
      </c>
      <c r="I188" s="708" t="str">
        <f>'Part I-Project Information'!I159</f>
        <v>Yes</v>
      </c>
      <c r="L188" s="708" t="s">
        <v>2545</v>
      </c>
      <c r="P188" s="708">
        <f>'Part I-Project Information'!P159</f>
        <v>0</v>
      </c>
    </row>
    <row r="189" spans="2:16" ht="12.6" customHeight="1">
      <c r="C189" s="708" t="s">
        <v>2375</v>
      </c>
      <c r="I189" s="708" t="str">
        <f>'Part I-Project Information'!I160</f>
        <v>Yes</v>
      </c>
      <c r="L189" s="708" t="s">
        <v>2290</v>
      </c>
      <c r="P189" s="708">
        <f>'Part I-Project Information'!P160</f>
        <v>0</v>
      </c>
    </row>
    <row r="190" spans="2:16" ht="12.6" customHeight="1">
      <c r="C190" s="708" t="s">
        <v>2377</v>
      </c>
      <c r="I190" s="708" t="str">
        <f>'Part I-Project Information'!I161</f>
        <v>Yes</v>
      </c>
    </row>
    <row r="191" spans="2:16" ht="12.6" customHeight="1">
      <c r="C191" s="708" t="s">
        <v>2845</v>
      </c>
      <c r="I191" s="708">
        <f>'Part I-Project Information'!I162</f>
        <v>0</v>
      </c>
      <c r="J191" s="708" t="s">
        <v>3374</v>
      </c>
      <c r="O191" s="708">
        <f>'Part I-Project Information'!O162</f>
        <v>0</v>
      </c>
    </row>
    <row r="192" spans="2:16" ht="12.6" customHeight="1">
      <c r="C192" s="708" t="s">
        <v>3410</v>
      </c>
      <c r="E192" s="708">
        <f>'Part I-Project Information'!E163</f>
        <v>0</v>
      </c>
      <c r="I192" s="708">
        <f>'Part I-Project Information'!I163</f>
        <v>0</v>
      </c>
    </row>
    <row r="193" spans="1:12" ht="1.9" customHeight="1"/>
    <row r="194" spans="1:12" ht="13.15" customHeight="1">
      <c r="B194" s="708" t="s">
        <v>2764</v>
      </c>
      <c r="C194" s="708" t="s">
        <v>1229</v>
      </c>
    </row>
    <row r="195" spans="1:12" ht="12.6" customHeight="1">
      <c r="C195" s="708" t="s">
        <v>976</v>
      </c>
      <c r="I195" s="708">
        <f>'Part I-Project Information'!I166</f>
        <v>0</v>
      </c>
    </row>
    <row r="196" spans="1:12" ht="12.6" customHeight="1">
      <c r="C196" s="708" t="s">
        <v>368</v>
      </c>
      <c r="I196" s="708">
        <f>'Part I-Project Information'!I167</f>
        <v>0</v>
      </c>
    </row>
    <row r="197" spans="1:12" ht="12.6" customHeight="1">
      <c r="C197" s="708" t="s">
        <v>3436</v>
      </c>
      <c r="I197" s="708">
        <f>'Part I-Project Information'!I168</f>
        <v>41487</v>
      </c>
    </row>
    <row r="198" spans="1:12" ht="1.9" customHeight="1"/>
    <row r="199" spans="1:12" ht="12.4" customHeight="1">
      <c r="A199" s="708" t="s">
        <v>2753</v>
      </c>
      <c r="C199" s="708" t="s">
        <v>880</v>
      </c>
      <c r="K199" s="708" t="s">
        <v>3381</v>
      </c>
      <c r="L199" s="708" t="s">
        <v>89</v>
      </c>
    </row>
    <row r="200" spans="1:12" ht="38.450000000000003" customHeight="1">
      <c r="A200" s="708" t="str">
        <f>'Part I-Project Information'!A171</f>
        <v>For the zip code for the Project Site, the City has not offered a numbered address for the site, therefore it is listed as located at the corner of the two cross streets where the entrance shall be.   As such, the zip code service does not give a 4 digit extension for non numbered addresses.</v>
      </c>
      <c r="K200" s="708">
        <f>'Part I-Project Information'!K171</f>
        <v>0</v>
      </c>
    </row>
    <row r="201" spans="1:12" ht="38.450000000000003" customHeight="1">
      <c r="A201" s="708">
        <f>'Part I-Project Information'!A172</f>
        <v>0</v>
      </c>
      <c r="K201" s="708">
        <f>'Part I-Project Information'!K172</f>
        <v>0</v>
      </c>
    </row>
    <row r="202" spans="1:12" ht="38.450000000000003" customHeight="1">
      <c r="A202" s="708">
        <f>'Part I-Project Information'!A173</f>
        <v>0</v>
      </c>
      <c r="K202" s="708">
        <f>'Part I-Project Information'!K173</f>
        <v>0</v>
      </c>
    </row>
    <row r="203" spans="1:12" ht="12.4" customHeight="1"/>
    <row r="204" spans="1:12" ht="12.4" customHeight="1"/>
    <row r="205" spans="1:12" ht="13.9" customHeight="1">
      <c r="A205" s="708" t="str">
        <f>CONCATENATE("PART TWO - DEVELOPMENT TEAM INFORMATION","  -  ",'Part I-Project Information'!$O$4," ",'Part I-Project Information'!$F$22,", ",'Part I-Project Information'!F228,", ",'Part I-Project Information'!J229," County")</f>
        <v>PART TWO - DEVELOPMENT TEAM INFORMATION  -  2011-044 Brentwood Place Apartments, , City of Cairo Development Authority County</v>
      </c>
    </row>
    <row r="206" spans="1:12" ht="12.4" customHeight="1"/>
    <row r="207" spans="1:12" ht="13.15" customHeight="1">
      <c r="A207" s="708" t="s">
        <v>951</v>
      </c>
      <c r="B207" s="708" t="s">
        <v>2913</v>
      </c>
    </row>
    <row r="208" spans="1:12" ht="8.65" customHeight="1"/>
    <row r="209" spans="2:17" ht="12.6" customHeight="1">
      <c r="B209" s="708" t="s">
        <v>3060</v>
      </c>
      <c r="C209" s="708" t="s">
        <v>2909</v>
      </c>
      <c r="H209" s="708" t="str">
        <f>'Part II-Development Team'!H5</f>
        <v>Brentwood Partners, LP</v>
      </c>
      <c r="O209" s="708" t="s">
        <v>3067</v>
      </c>
      <c r="Q209" s="708" t="str">
        <f>'Part II-Development Team'!Q5</f>
        <v>Bruce Gerwig</v>
      </c>
    </row>
    <row r="210" spans="2:17" ht="12.6" customHeight="1">
      <c r="E210" s="708" t="s">
        <v>1642</v>
      </c>
      <c r="H210" s="708" t="str">
        <f>'Part II-Development Team'!H6</f>
        <v>PO Box 4928</v>
      </c>
      <c r="O210" s="708" t="s">
        <v>2776</v>
      </c>
      <c r="Q210" s="708" t="str">
        <f>'Part II-Development Team'!Q6</f>
        <v>President</v>
      </c>
    </row>
    <row r="211" spans="2:17" ht="12.6" customHeight="1">
      <c r="E211" s="708" t="s">
        <v>954</v>
      </c>
      <c r="H211" s="708" t="str">
        <f>'Part II-Development Team'!H7</f>
        <v>Macon</v>
      </c>
      <c r="K211" s="708" t="s">
        <v>1255</v>
      </c>
      <c r="L211" s="708">
        <f>'Part II-Development Team'!L7</f>
        <v>0</v>
      </c>
      <c r="O211" s="708" t="s">
        <v>2835</v>
      </c>
      <c r="Q211" s="708">
        <f>'Part II-Development Team'!Q7</f>
        <v>4787525060</v>
      </c>
    </row>
    <row r="212" spans="2:17" ht="12.6" customHeight="1">
      <c r="E212" s="708" t="s">
        <v>2831</v>
      </c>
      <c r="H212" s="708" t="str">
        <f>'Part II-Development Team'!H8</f>
        <v>GA</v>
      </c>
      <c r="I212" s="708" t="s">
        <v>4087</v>
      </c>
      <c r="J212" s="708">
        <f>'Part II-Development Team'!J8</f>
        <v>312084928</v>
      </c>
      <c r="L212" s="708" t="s">
        <v>4088</v>
      </c>
      <c r="N212" s="708">
        <f>'Part II-Development Team'!N8</f>
        <v>8</v>
      </c>
      <c r="O212" s="708" t="s">
        <v>3056</v>
      </c>
      <c r="Q212" s="708">
        <f>'Part II-Development Team'!Q8</f>
        <v>4787148005</v>
      </c>
    </row>
    <row r="213" spans="2:17" ht="12.6" customHeight="1">
      <c r="E213" s="708" t="s">
        <v>3062</v>
      </c>
      <c r="H213" s="708">
        <f>'Part II-Development Team'!H9</f>
        <v>4787525060</v>
      </c>
      <c r="J213" s="708">
        <f>'Part II-Development Team'!J9</f>
        <v>0</v>
      </c>
      <c r="K213" s="708" t="s">
        <v>2834</v>
      </c>
      <c r="L213" s="708">
        <f>'Part II-Development Team'!L9</f>
        <v>4787525066</v>
      </c>
      <c r="N213" s="708" t="s">
        <v>3061</v>
      </c>
      <c r="O213" s="708" t="str">
        <f>'Part II-Development Team'!O9</f>
        <v>bgerwig@maconhousing.com</v>
      </c>
    </row>
    <row r="214" spans="2:17" ht="13.15" customHeight="1">
      <c r="E214" s="708" t="s">
        <v>998</v>
      </c>
      <c r="L214" s="708" t="s">
        <v>1215</v>
      </c>
    </row>
    <row r="215" spans="2:17" ht="4.1500000000000004" customHeight="1"/>
    <row r="216" spans="2:17" ht="13.15" customHeight="1">
      <c r="B216" s="708" t="s">
        <v>3063</v>
      </c>
      <c r="C216" s="708" t="s">
        <v>2910</v>
      </c>
      <c r="L216" s="708" t="s">
        <v>1972</v>
      </c>
      <c r="O216" s="708" t="s">
        <v>1973</v>
      </c>
    </row>
    <row r="217" spans="2:17" ht="4.1500000000000004" customHeight="1"/>
    <row r="218" spans="2:17" ht="13.15" customHeight="1">
      <c r="C218" s="708" t="s">
        <v>3064</v>
      </c>
      <c r="D218" s="708" t="s">
        <v>3065</v>
      </c>
      <c r="L218" s="708" t="s">
        <v>1976</v>
      </c>
      <c r="O218" s="708" t="s">
        <v>1971</v>
      </c>
    </row>
    <row r="219" spans="2:17" ht="4.1500000000000004" customHeight="1"/>
    <row r="220" spans="2:17" ht="12.6" customHeight="1">
      <c r="D220" s="708" t="s">
        <v>3213</v>
      </c>
      <c r="E220" s="708" t="s">
        <v>2911</v>
      </c>
      <c r="H220" s="708" t="str">
        <f>'Part II-Development Team'!H16</f>
        <v>Brentwood In-Fill, Inc.</v>
      </c>
      <c r="O220" s="708" t="s">
        <v>3067</v>
      </c>
      <c r="Q220" s="708" t="str">
        <f>'Part II-Development Team'!Q16</f>
        <v>Bruce Gerwig</v>
      </c>
    </row>
    <row r="221" spans="2:17" ht="12.6" customHeight="1">
      <c r="E221" s="708" t="s">
        <v>1642</v>
      </c>
      <c r="H221" s="708" t="str">
        <f>'Part II-Development Team'!H17</f>
        <v>PO Box 4928</v>
      </c>
      <c r="O221" s="708" t="s">
        <v>2776</v>
      </c>
      <c r="Q221" s="708" t="str">
        <f>'Part II-Development Team'!Q17</f>
        <v>President</v>
      </c>
    </row>
    <row r="222" spans="2:17" ht="12.6" customHeight="1">
      <c r="E222" s="708" t="s">
        <v>954</v>
      </c>
      <c r="H222" s="708" t="str">
        <f>'Part II-Development Team'!H18</f>
        <v>Macon</v>
      </c>
      <c r="O222" s="708" t="s">
        <v>2835</v>
      </c>
      <c r="Q222" s="708">
        <f>'Part II-Development Team'!Q18</f>
        <v>4787525060</v>
      </c>
    </row>
    <row r="223" spans="2:17" ht="12.6" customHeight="1">
      <c r="E223" s="708" t="s">
        <v>2831</v>
      </c>
      <c r="H223" s="708" t="str">
        <f>'Part II-Development Team'!H19</f>
        <v>GA</v>
      </c>
      <c r="I223" s="708" t="s">
        <v>4087</v>
      </c>
      <c r="J223" s="708">
        <f>'Part II-Development Team'!J19</f>
        <v>312084928</v>
      </c>
      <c r="L223" s="708" t="s">
        <v>4088</v>
      </c>
      <c r="N223" s="708">
        <f>'Part II-Development Team'!N19</f>
        <v>8</v>
      </c>
      <c r="O223" s="708" t="s">
        <v>3056</v>
      </c>
      <c r="Q223" s="708">
        <f>'Part II-Development Team'!Q19</f>
        <v>4787148005</v>
      </c>
    </row>
    <row r="224" spans="2:17" ht="12.6" customHeight="1">
      <c r="E224" s="708" t="s">
        <v>3062</v>
      </c>
      <c r="H224" s="708">
        <f>'Part II-Development Team'!H20</f>
        <v>4787525060</v>
      </c>
      <c r="J224" s="708">
        <f>'Part II-Development Team'!J20</f>
        <v>0</v>
      </c>
      <c r="K224" s="708" t="s">
        <v>2834</v>
      </c>
      <c r="L224" s="708">
        <f>'Part II-Development Team'!L20</f>
        <v>4787525066</v>
      </c>
      <c r="N224" s="708" t="s">
        <v>3061</v>
      </c>
      <c r="O224" s="708" t="str">
        <f>'Part II-Development Team'!O20</f>
        <v>bgerwig@maconhousing.com</v>
      </c>
    </row>
    <row r="225" spans="3:17" ht="4.1500000000000004" customHeight="1"/>
    <row r="226" spans="3:17" ht="12.6" customHeight="1">
      <c r="D226" s="708" t="s">
        <v>3214</v>
      </c>
      <c r="E226" s="708" t="s">
        <v>2912</v>
      </c>
      <c r="H226" s="708" t="str">
        <f>'Part II-Development Team'!H22</f>
        <v>none</v>
      </c>
      <c r="O226" s="708" t="s">
        <v>3067</v>
      </c>
      <c r="Q226" s="708">
        <f>'Part II-Development Team'!Q22</f>
        <v>0</v>
      </c>
    </row>
    <row r="227" spans="3:17" ht="12.6" customHeight="1">
      <c r="E227" s="708" t="s">
        <v>1642</v>
      </c>
      <c r="H227" s="708">
        <f>'Part II-Development Team'!H23</f>
        <v>0</v>
      </c>
      <c r="O227" s="708" t="s">
        <v>2776</v>
      </c>
      <c r="Q227" s="708">
        <f>'Part II-Development Team'!Q23</f>
        <v>0</v>
      </c>
    </row>
    <row r="228" spans="3:17" ht="12.6" customHeight="1">
      <c r="E228" s="708" t="s">
        <v>954</v>
      </c>
      <c r="H228" s="708">
        <f>'Part II-Development Team'!H24</f>
        <v>0</v>
      </c>
      <c r="O228" s="708" t="s">
        <v>2835</v>
      </c>
      <c r="Q228" s="708">
        <f>'Part II-Development Team'!Q24</f>
        <v>0</v>
      </c>
    </row>
    <row r="229" spans="3:17" ht="12.6" customHeight="1">
      <c r="E229" s="708" t="s">
        <v>2831</v>
      </c>
      <c r="H229" s="708">
        <f>'Part II-Development Team'!H25</f>
        <v>0</v>
      </c>
      <c r="I229" s="708" t="s">
        <v>3354</v>
      </c>
      <c r="J229" s="708">
        <f>'Part II-Development Team'!J25</f>
        <v>0</v>
      </c>
      <c r="O229" s="708" t="s">
        <v>3056</v>
      </c>
      <c r="Q229" s="708">
        <f>'Part II-Development Team'!Q25</f>
        <v>0</v>
      </c>
    </row>
    <row r="230" spans="3:17" ht="12.6" customHeight="1">
      <c r="E230" s="708" t="s">
        <v>3062</v>
      </c>
      <c r="H230" s="708">
        <f>'Part II-Development Team'!H26</f>
        <v>0</v>
      </c>
      <c r="J230" s="708">
        <f>'Part II-Development Team'!J26</f>
        <v>0</v>
      </c>
      <c r="K230" s="708" t="s">
        <v>2834</v>
      </c>
      <c r="L230" s="708">
        <f>'Part II-Development Team'!L26</f>
        <v>0</v>
      </c>
      <c r="N230" s="708" t="s">
        <v>3061</v>
      </c>
      <c r="O230" s="708">
        <f>'Part II-Development Team'!O26</f>
        <v>0</v>
      </c>
    </row>
    <row r="231" spans="3:17" ht="4.1500000000000004" customHeight="1"/>
    <row r="232" spans="3:17" ht="12.6" customHeight="1">
      <c r="D232" s="708" t="s">
        <v>2762</v>
      </c>
      <c r="E232" s="708" t="s">
        <v>2912</v>
      </c>
      <c r="H232" s="708" t="str">
        <f>'Part II-Development Team'!H28</f>
        <v>none</v>
      </c>
      <c r="O232" s="708" t="s">
        <v>3067</v>
      </c>
      <c r="Q232" s="708">
        <f>'Part II-Development Team'!Q28</f>
        <v>0</v>
      </c>
    </row>
    <row r="233" spans="3:17" ht="12.6" customHeight="1">
      <c r="E233" s="708" t="s">
        <v>1642</v>
      </c>
      <c r="H233" s="708">
        <f>'Part II-Development Team'!H29</f>
        <v>0</v>
      </c>
      <c r="O233" s="708" t="s">
        <v>2776</v>
      </c>
      <c r="Q233" s="708">
        <f>'Part II-Development Team'!Q29</f>
        <v>0</v>
      </c>
    </row>
    <row r="234" spans="3:17" ht="12.6" customHeight="1">
      <c r="E234" s="708" t="s">
        <v>954</v>
      </c>
      <c r="H234" s="708">
        <f>'Part II-Development Team'!H30</f>
        <v>0</v>
      </c>
      <c r="O234" s="708" t="s">
        <v>2835</v>
      </c>
      <c r="Q234" s="708">
        <f>'Part II-Development Team'!Q30</f>
        <v>0</v>
      </c>
    </row>
    <row r="235" spans="3:17" ht="12.6" customHeight="1">
      <c r="E235" s="708" t="s">
        <v>2831</v>
      </c>
      <c r="H235" s="708">
        <f>'Part II-Development Team'!H31</f>
        <v>0</v>
      </c>
      <c r="I235" s="708" t="s">
        <v>3354</v>
      </c>
      <c r="J235" s="708">
        <f>'Part II-Development Team'!J31</f>
        <v>0</v>
      </c>
      <c r="O235" s="708" t="s">
        <v>3056</v>
      </c>
      <c r="Q235" s="708">
        <f>'Part II-Development Team'!Q31</f>
        <v>0</v>
      </c>
    </row>
    <row r="236" spans="3:17" ht="12.6" customHeight="1">
      <c r="E236" s="708" t="s">
        <v>3062</v>
      </c>
      <c r="H236" s="708">
        <f>'Part II-Development Team'!H32</f>
        <v>0</v>
      </c>
      <c r="J236" s="708">
        <f>'Part II-Development Team'!J32</f>
        <v>0</v>
      </c>
      <c r="K236" s="708" t="s">
        <v>2834</v>
      </c>
      <c r="L236" s="708">
        <f>'Part II-Development Team'!L32</f>
        <v>0</v>
      </c>
      <c r="N236" s="708" t="s">
        <v>3061</v>
      </c>
      <c r="O236" s="708">
        <f>'Part II-Development Team'!O32</f>
        <v>0</v>
      </c>
    </row>
    <row r="237" spans="3:17" ht="4.1500000000000004" customHeight="1"/>
    <row r="238" spans="3:17" ht="13.15" customHeight="1">
      <c r="C238" s="708" t="s">
        <v>3066</v>
      </c>
      <c r="D238" s="708" t="s">
        <v>2914</v>
      </c>
    </row>
    <row r="239" spans="3:17" ht="4.1500000000000004" customHeight="1"/>
    <row r="240" spans="3:17" ht="12.6" customHeight="1">
      <c r="D240" s="708" t="s">
        <v>3213</v>
      </c>
      <c r="E240" s="708" t="s">
        <v>1240</v>
      </c>
      <c r="H240" s="708" t="str">
        <f>'Part II-Development Team'!H36</f>
        <v>Hunt Capital Partners, LLC</v>
      </c>
      <c r="O240" s="708" t="s">
        <v>3067</v>
      </c>
      <c r="Q240" s="708" t="str">
        <f>'Part II-Development Team'!Q36</f>
        <v>Dana Mayo</v>
      </c>
    </row>
    <row r="241" spans="3:17" ht="12.6" customHeight="1">
      <c r="E241" s="708" t="s">
        <v>1642</v>
      </c>
      <c r="H241" s="708" t="str">
        <f>'Part II-Development Team'!H37</f>
        <v>2029 Century Park East, Ste. 800</v>
      </c>
      <c r="O241" s="708" t="s">
        <v>2776</v>
      </c>
      <c r="Q241" s="708" t="str">
        <f>'Part II-Development Team'!Q37</f>
        <v>Senior VP, Director of Acq</v>
      </c>
    </row>
    <row r="242" spans="3:17" ht="12.6" customHeight="1">
      <c r="E242" s="708" t="s">
        <v>954</v>
      </c>
      <c r="H242" s="708" t="str">
        <f>'Part II-Development Team'!H38</f>
        <v>Los Angeles</v>
      </c>
      <c r="O242" s="708" t="s">
        <v>2835</v>
      </c>
      <c r="Q242" s="708">
        <f>'Part II-Development Team'!Q38</f>
        <v>0</v>
      </c>
    </row>
    <row r="243" spans="3:17" ht="12.6" customHeight="1">
      <c r="E243" s="708" t="s">
        <v>2831</v>
      </c>
      <c r="H243" s="708" t="str">
        <f>'Part II-Development Team'!H39</f>
        <v>CA</v>
      </c>
      <c r="I243" s="708" t="s">
        <v>3354</v>
      </c>
      <c r="J243" s="708">
        <f>'Part II-Development Team'!J39</f>
        <v>900672909</v>
      </c>
      <c r="O243" s="708" t="s">
        <v>3056</v>
      </c>
      <c r="Q243" s="708">
        <f>'Part II-Development Team'!Q39</f>
        <v>3107175578</v>
      </c>
    </row>
    <row r="244" spans="3:17" ht="12.6" customHeight="1">
      <c r="E244" s="708" t="s">
        <v>3062</v>
      </c>
      <c r="H244" s="708">
        <f>'Part II-Development Team'!H40</f>
        <v>4242044349</v>
      </c>
      <c r="J244" s="708">
        <f>'Part II-Development Team'!J40</f>
        <v>0</v>
      </c>
      <c r="K244" s="708" t="s">
        <v>2834</v>
      </c>
      <c r="L244" s="708">
        <f>'Part II-Development Team'!L40</f>
        <v>4242044390</v>
      </c>
      <c r="N244" s="708" t="s">
        <v>3061</v>
      </c>
      <c r="O244" s="708" t="str">
        <f>'Part II-Development Team'!O40</f>
        <v>dana.mayo@huntcompanies.com</v>
      </c>
    </row>
    <row r="245" spans="3:17" ht="4.1500000000000004" customHeight="1"/>
    <row r="246" spans="3:17" ht="12.6" customHeight="1">
      <c r="D246" s="708" t="s">
        <v>3214</v>
      </c>
      <c r="E246" s="708" t="s">
        <v>1241</v>
      </c>
      <c r="H246" s="708" t="str">
        <f>'Part II-Development Team'!H42</f>
        <v>Hunt Capital Partners, LLC</v>
      </c>
      <c r="O246" s="708" t="s">
        <v>3067</v>
      </c>
      <c r="Q246" s="708" t="str">
        <f>'Part II-Development Team'!Q42</f>
        <v>Dana Mayo</v>
      </c>
    </row>
    <row r="247" spans="3:17" ht="12.6" customHeight="1">
      <c r="E247" s="708" t="s">
        <v>1642</v>
      </c>
      <c r="H247" s="708" t="str">
        <f>'Part II-Development Team'!H43</f>
        <v>2029 Century Park East, Ste. 800</v>
      </c>
      <c r="O247" s="708" t="s">
        <v>2776</v>
      </c>
      <c r="Q247" s="708" t="str">
        <f>'Part II-Development Team'!Q43</f>
        <v>Senior VP, Director of Acq</v>
      </c>
    </row>
    <row r="248" spans="3:17" ht="12.6" customHeight="1">
      <c r="E248" s="708" t="s">
        <v>954</v>
      </c>
      <c r="H248" s="708" t="str">
        <f>'Part II-Development Team'!H44</f>
        <v>Los Angeles</v>
      </c>
      <c r="O248" s="708" t="s">
        <v>2835</v>
      </c>
      <c r="Q248" s="708">
        <f>'Part II-Development Team'!Q44</f>
        <v>0</v>
      </c>
    </row>
    <row r="249" spans="3:17" ht="12.6" customHeight="1">
      <c r="E249" s="708" t="s">
        <v>2831</v>
      </c>
      <c r="H249" s="708" t="str">
        <f>'Part II-Development Team'!H45</f>
        <v>CA</v>
      </c>
      <c r="I249" s="708" t="s">
        <v>3354</v>
      </c>
      <c r="J249" s="708">
        <f>'Part II-Development Team'!J45</f>
        <v>900672909</v>
      </c>
      <c r="O249" s="708" t="s">
        <v>3056</v>
      </c>
      <c r="Q249" s="708">
        <f>'Part II-Development Team'!Q45</f>
        <v>3107175578</v>
      </c>
    </row>
    <row r="250" spans="3:17" ht="12.6" customHeight="1">
      <c r="E250" s="708" t="s">
        <v>3062</v>
      </c>
      <c r="H250" s="708">
        <f>'Part II-Development Team'!H46</f>
        <v>4242044349</v>
      </c>
      <c r="J250" s="708">
        <f>'Part II-Development Team'!J46</f>
        <v>0</v>
      </c>
      <c r="K250" s="708" t="s">
        <v>2834</v>
      </c>
      <c r="L250" s="708">
        <f>'Part II-Development Team'!L46</f>
        <v>4242044390</v>
      </c>
      <c r="N250" s="708" t="s">
        <v>3061</v>
      </c>
      <c r="O250" s="708" t="str">
        <f>'Part II-Development Team'!O46</f>
        <v>dana.mayo@huntcompanies.com</v>
      </c>
    </row>
    <row r="251" spans="3:17" ht="4.1500000000000004" customHeight="1"/>
    <row r="252" spans="3:17" ht="13.15" customHeight="1">
      <c r="C252" s="708" t="s">
        <v>3822</v>
      </c>
      <c r="D252" s="708" t="s">
        <v>995</v>
      </c>
    </row>
    <row r="253" spans="3:17" ht="4.1500000000000004" customHeight="1"/>
    <row r="254" spans="3:17" ht="12.6" customHeight="1">
      <c r="E254" s="708" t="s">
        <v>103</v>
      </c>
      <c r="H254" s="708" t="str">
        <f>'Part II-Development Team'!H50</f>
        <v>In-Fill Housing, Inc.</v>
      </c>
      <c r="O254" s="708" t="s">
        <v>3067</v>
      </c>
      <c r="Q254" s="708" t="str">
        <f>'Part II-Development Team'!Q50</f>
        <v>Bruce Gerwig</v>
      </c>
    </row>
    <row r="255" spans="3:17" ht="12.6" customHeight="1">
      <c r="E255" s="708" t="s">
        <v>1642</v>
      </c>
      <c r="H255" s="708" t="str">
        <f>'Part II-Development Team'!H51</f>
        <v>PO Box 4928</v>
      </c>
      <c r="O255" s="708" t="s">
        <v>2776</v>
      </c>
      <c r="Q255" s="708" t="str">
        <f>'Part II-Development Team'!Q51</f>
        <v>President</v>
      </c>
    </row>
    <row r="256" spans="3:17" ht="12.6" customHeight="1">
      <c r="E256" s="708" t="s">
        <v>954</v>
      </c>
      <c r="H256" s="708" t="str">
        <f>'Part II-Development Team'!H52</f>
        <v>Macon</v>
      </c>
      <c r="O256" s="708" t="s">
        <v>2835</v>
      </c>
      <c r="Q256" s="708">
        <f>'Part II-Development Team'!Q52</f>
        <v>4787525060</v>
      </c>
    </row>
    <row r="257" spans="1:17" ht="12.6" customHeight="1">
      <c r="E257" s="708" t="s">
        <v>2831</v>
      </c>
      <c r="H257" s="708" t="str">
        <f>'Part II-Development Team'!H53</f>
        <v>GA</v>
      </c>
      <c r="I257" s="708" t="s">
        <v>3354</v>
      </c>
      <c r="J257" s="708">
        <f>'Part II-Development Team'!J53</f>
        <v>312084928</v>
      </c>
      <c r="O257" s="708" t="s">
        <v>3056</v>
      </c>
      <c r="Q257" s="708">
        <f>'Part II-Development Team'!Q53</f>
        <v>4787148005</v>
      </c>
    </row>
    <row r="258" spans="1:17" ht="12.6" customHeight="1">
      <c r="E258" s="708" t="s">
        <v>3062</v>
      </c>
      <c r="H258" s="708">
        <f>'Part II-Development Team'!H54</f>
        <v>4787525060</v>
      </c>
      <c r="J258" s="708">
        <f>'Part II-Development Team'!J54</f>
        <v>0</v>
      </c>
      <c r="K258" s="708" t="s">
        <v>2834</v>
      </c>
      <c r="L258" s="708">
        <f>'Part II-Development Team'!L54</f>
        <v>4787525066</v>
      </c>
      <c r="N258" s="708" t="s">
        <v>3061</v>
      </c>
      <c r="O258" s="708" t="str">
        <f>'Part II-Development Team'!O54</f>
        <v>bgerwig@maconhousing.com</v>
      </c>
    </row>
    <row r="259" spans="1:17" ht="13.15" customHeight="1"/>
    <row r="260" spans="1:17" ht="13.15" customHeight="1">
      <c r="A260" s="708" t="s">
        <v>1230</v>
      </c>
      <c r="B260" s="708" t="s">
        <v>996</v>
      </c>
    </row>
    <row r="261" spans="1:17" ht="9" customHeight="1"/>
    <row r="262" spans="1:17" ht="13.15" customHeight="1">
      <c r="B262" s="708" t="s">
        <v>3060</v>
      </c>
      <c r="C262" s="708" t="s">
        <v>376</v>
      </c>
      <c r="H262" s="708" t="str">
        <f>'Part II-Development Team'!H58</f>
        <v>In-Fill Housing, Inc.</v>
      </c>
      <c r="O262" s="708" t="s">
        <v>3067</v>
      </c>
      <c r="Q262" s="708" t="str">
        <f>'Part II-Development Team'!Q58</f>
        <v>Bruce Gerwig</v>
      </c>
    </row>
    <row r="263" spans="1:17" ht="13.15" customHeight="1">
      <c r="E263" s="708" t="s">
        <v>1642</v>
      </c>
      <c r="H263" s="708" t="str">
        <f>'Part II-Development Team'!H59</f>
        <v>PO Box 4928</v>
      </c>
      <c r="O263" s="708" t="s">
        <v>2776</v>
      </c>
      <c r="Q263" s="708" t="str">
        <f>'Part II-Development Team'!Q59</f>
        <v>President</v>
      </c>
    </row>
    <row r="264" spans="1:17" ht="13.15" customHeight="1">
      <c r="E264" s="708" t="s">
        <v>954</v>
      </c>
      <c r="H264" s="708" t="str">
        <f>'Part II-Development Team'!H60</f>
        <v>Macon</v>
      </c>
      <c r="O264" s="708" t="s">
        <v>2835</v>
      </c>
      <c r="Q264" s="708">
        <f>'Part II-Development Team'!Q60</f>
        <v>4787525060</v>
      </c>
    </row>
    <row r="265" spans="1:17" ht="13.15" customHeight="1">
      <c r="E265" s="708" t="s">
        <v>2831</v>
      </c>
      <c r="H265" s="708" t="str">
        <f>'Part II-Development Team'!H61</f>
        <v>GA</v>
      </c>
      <c r="I265" s="708" t="s">
        <v>3354</v>
      </c>
      <c r="J265" s="708">
        <f>'Part II-Development Team'!J61</f>
        <v>312084928</v>
      </c>
      <c r="O265" s="708" t="s">
        <v>3056</v>
      </c>
      <c r="Q265" s="708">
        <f>'Part II-Development Team'!Q61</f>
        <v>4787148005</v>
      </c>
    </row>
    <row r="266" spans="1:17" ht="13.15" customHeight="1">
      <c r="E266" s="708" t="s">
        <v>3062</v>
      </c>
      <c r="H266" s="708">
        <f>'Part II-Development Team'!H62</f>
        <v>4787525060</v>
      </c>
      <c r="J266" s="708">
        <f>'Part II-Development Team'!J62</f>
        <v>0</v>
      </c>
      <c r="K266" s="708" t="s">
        <v>2834</v>
      </c>
      <c r="L266" s="708">
        <f>'Part II-Development Team'!L62</f>
        <v>4787525066</v>
      </c>
      <c r="N266" s="708" t="s">
        <v>3061</v>
      </c>
      <c r="O266" s="708" t="str">
        <f>'Part II-Development Team'!O62</f>
        <v>bgerwig@maconhousing.com</v>
      </c>
    </row>
    <row r="267" spans="1:17" ht="6.6" customHeight="1"/>
    <row r="268" spans="1:17" ht="13.15" customHeight="1">
      <c r="B268" s="708" t="s">
        <v>3063</v>
      </c>
      <c r="C268" s="708" t="s">
        <v>377</v>
      </c>
      <c r="H268" s="708" t="str">
        <f>'Part II-Development Team'!H64</f>
        <v>none</v>
      </c>
      <c r="O268" s="708" t="s">
        <v>3067</v>
      </c>
      <c r="Q268" s="708">
        <f>'Part II-Development Team'!Q64</f>
        <v>0</v>
      </c>
    </row>
    <row r="269" spans="1:17" ht="13.15" customHeight="1">
      <c r="E269" s="708" t="s">
        <v>1642</v>
      </c>
      <c r="H269" s="708">
        <f>'Part II-Development Team'!H65</f>
        <v>0</v>
      </c>
      <c r="O269" s="708" t="s">
        <v>2776</v>
      </c>
      <c r="Q269" s="708">
        <f>'Part II-Development Team'!Q65</f>
        <v>0</v>
      </c>
    </row>
    <row r="270" spans="1:17" ht="13.15" customHeight="1">
      <c r="E270" s="708" t="s">
        <v>954</v>
      </c>
      <c r="H270" s="708">
        <f>'Part II-Development Team'!H66</f>
        <v>0</v>
      </c>
      <c r="O270" s="708" t="s">
        <v>2835</v>
      </c>
      <c r="Q270" s="708">
        <f>'Part II-Development Team'!Q66</f>
        <v>0</v>
      </c>
    </row>
    <row r="271" spans="1:17" ht="13.15" customHeight="1">
      <c r="E271" s="708" t="s">
        <v>2831</v>
      </c>
      <c r="H271" s="708">
        <f>'Part II-Development Team'!H67</f>
        <v>0</v>
      </c>
      <c r="I271" s="708" t="s">
        <v>3354</v>
      </c>
      <c r="J271" s="708">
        <f>'Part II-Development Team'!J67</f>
        <v>0</v>
      </c>
      <c r="O271" s="708" t="s">
        <v>3056</v>
      </c>
      <c r="Q271" s="708">
        <f>'Part II-Development Team'!Q67</f>
        <v>0</v>
      </c>
    </row>
    <row r="272" spans="1:17" ht="13.15" customHeight="1">
      <c r="E272" s="708" t="s">
        <v>3062</v>
      </c>
      <c r="H272" s="708">
        <f>'Part II-Development Team'!H68</f>
        <v>0</v>
      </c>
      <c r="J272" s="708">
        <f>'Part II-Development Team'!J68</f>
        <v>0</v>
      </c>
      <c r="K272" s="708" t="s">
        <v>2834</v>
      </c>
      <c r="L272" s="708">
        <f>'Part II-Development Team'!L68</f>
        <v>0</v>
      </c>
      <c r="N272" s="708" t="s">
        <v>3061</v>
      </c>
      <c r="O272" s="708">
        <f>'Part II-Development Team'!O68</f>
        <v>0</v>
      </c>
    </row>
    <row r="273" spans="1:17" ht="6.6" customHeight="1"/>
    <row r="274" spans="1:17" ht="13.15" customHeight="1">
      <c r="B274" s="708" t="s">
        <v>1239</v>
      </c>
      <c r="C274" s="708" t="s">
        <v>2280</v>
      </c>
      <c r="H274" s="708" t="str">
        <f>'Part II-Development Team'!H70</f>
        <v>none</v>
      </c>
      <c r="O274" s="708" t="s">
        <v>3067</v>
      </c>
      <c r="Q274" s="708">
        <f>'Part II-Development Team'!Q70</f>
        <v>0</v>
      </c>
    </row>
    <row r="275" spans="1:17" ht="13.15" customHeight="1">
      <c r="E275" s="708" t="s">
        <v>1642</v>
      </c>
      <c r="H275" s="708">
        <f>'Part II-Development Team'!H71</f>
        <v>0</v>
      </c>
      <c r="O275" s="708" t="s">
        <v>2776</v>
      </c>
      <c r="Q275" s="708">
        <f>'Part II-Development Team'!Q71</f>
        <v>0</v>
      </c>
    </row>
    <row r="276" spans="1:17" ht="13.15" customHeight="1">
      <c r="E276" s="708" t="s">
        <v>954</v>
      </c>
      <c r="H276" s="708">
        <f>'Part II-Development Team'!H72</f>
        <v>0</v>
      </c>
      <c r="O276" s="708" t="s">
        <v>2835</v>
      </c>
      <c r="Q276" s="708">
        <f>'Part II-Development Team'!Q72</f>
        <v>0</v>
      </c>
    </row>
    <row r="277" spans="1:17" ht="13.15" customHeight="1">
      <c r="E277" s="708" t="s">
        <v>2831</v>
      </c>
      <c r="H277" s="708">
        <f>'Part II-Development Team'!H73</f>
        <v>0</v>
      </c>
      <c r="I277" s="708" t="s">
        <v>3354</v>
      </c>
      <c r="J277" s="708">
        <f>'Part II-Development Team'!J73</f>
        <v>0</v>
      </c>
      <c r="O277" s="708" t="s">
        <v>3056</v>
      </c>
      <c r="Q277" s="708">
        <f>'Part II-Development Team'!Q73</f>
        <v>0</v>
      </c>
    </row>
    <row r="278" spans="1:17" ht="13.15" customHeight="1">
      <c r="E278" s="708" t="s">
        <v>3062</v>
      </c>
      <c r="H278" s="708">
        <f>'Part II-Development Team'!H74</f>
        <v>0</v>
      </c>
      <c r="J278" s="708">
        <f>'Part II-Development Team'!J74</f>
        <v>0</v>
      </c>
      <c r="K278" s="708" t="s">
        <v>2834</v>
      </c>
      <c r="L278" s="708">
        <f>'Part II-Development Team'!L74</f>
        <v>0</v>
      </c>
      <c r="N278" s="708" t="s">
        <v>3061</v>
      </c>
      <c r="O278" s="708">
        <f>'Part II-Development Team'!O74</f>
        <v>0</v>
      </c>
    </row>
    <row r="279" spans="1:17" ht="6.6" customHeight="1"/>
    <row r="280" spans="1:17" ht="13.15" customHeight="1">
      <c r="B280" s="708" t="s">
        <v>3212</v>
      </c>
      <c r="C280" s="708" t="s">
        <v>378</v>
      </c>
      <c r="H280" s="708" t="str">
        <f>'Part II-Development Team'!H76</f>
        <v>Tapestry Development Group, Inc.</v>
      </c>
      <c r="O280" s="708" t="s">
        <v>3067</v>
      </c>
      <c r="Q280" s="708" t="str">
        <f>'Part II-Development Team'!Q76</f>
        <v>Richelle Patton</v>
      </c>
    </row>
    <row r="281" spans="1:17" ht="13.15" customHeight="1">
      <c r="E281" s="708" t="s">
        <v>1642</v>
      </c>
      <c r="H281" s="708" t="str">
        <f>'Part II-Development Team'!H77</f>
        <v>2005 Swazey Drive</v>
      </c>
      <c r="O281" s="708" t="s">
        <v>2776</v>
      </c>
      <c r="Q281" s="708" t="str">
        <f>'Part II-Development Team'!Q77</f>
        <v>President</v>
      </c>
    </row>
    <row r="282" spans="1:17" ht="13.15" customHeight="1">
      <c r="E282" s="708" t="s">
        <v>954</v>
      </c>
      <c r="H282" s="708" t="str">
        <f>'Part II-Development Team'!H78</f>
        <v>Decatur</v>
      </c>
      <c r="O282" s="708" t="s">
        <v>2835</v>
      </c>
      <c r="Q282" s="708">
        <f>'Part II-Development Team'!Q78</f>
        <v>4049976786</v>
      </c>
    </row>
    <row r="283" spans="1:17" ht="13.15" customHeight="1">
      <c r="E283" s="708" t="s">
        <v>2831</v>
      </c>
      <c r="H283" s="708" t="str">
        <f>'Part II-Development Team'!H79</f>
        <v>GA</v>
      </c>
      <c r="I283" s="708" t="s">
        <v>3354</v>
      </c>
      <c r="J283" s="708">
        <f>'Part II-Development Team'!J79</f>
        <v>300323909</v>
      </c>
      <c r="O283" s="708" t="s">
        <v>3056</v>
      </c>
      <c r="Q283" s="708">
        <f>'Part II-Development Team'!Q79</f>
        <v>0</v>
      </c>
    </row>
    <row r="284" spans="1:17" ht="13.15" customHeight="1">
      <c r="E284" s="708" t="s">
        <v>3062</v>
      </c>
      <c r="H284" s="708">
        <f>'Part II-Development Team'!H80</f>
        <v>4049976786</v>
      </c>
      <c r="J284" s="708">
        <f>'Part II-Development Team'!J80</f>
        <v>0</v>
      </c>
      <c r="K284" s="708" t="s">
        <v>2834</v>
      </c>
      <c r="L284" s="708">
        <f>'Part II-Development Team'!L80</f>
        <v>4044927187</v>
      </c>
      <c r="N284" s="708" t="s">
        <v>3061</v>
      </c>
      <c r="O284" s="708" t="str">
        <f>'Part II-Development Team'!O80</f>
        <v>richellepatton@tapestrydevelopment.org</v>
      </c>
    </row>
    <row r="285" spans="1:17" ht="13.15" customHeight="1"/>
    <row r="286" spans="1:17" ht="13.15" customHeight="1">
      <c r="A286" s="708" t="s">
        <v>1232</v>
      </c>
      <c r="B286" s="708" t="s">
        <v>379</v>
      </c>
    </row>
    <row r="287" spans="1:17" ht="9" customHeight="1"/>
    <row r="288" spans="1:17" ht="13.15" customHeight="1">
      <c r="B288" s="708" t="s">
        <v>3060</v>
      </c>
      <c r="C288" s="708" t="s">
        <v>380</v>
      </c>
      <c r="H288" s="708" t="str">
        <f>'Part II-Development Team'!H84</f>
        <v>none</v>
      </c>
      <c r="O288" s="708" t="s">
        <v>3067</v>
      </c>
      <c r="Q288" s="708">
        <f>'Part II-Development Team'!Q84</f>
        <v>0</v>
      </c>
    </row>
    <row r="289" spans="2:17" ht="13.15" customHeight="1">
      <c r="E289" s="708" t="s">
        <v>1642</v>
      </c>
      <c r="H289" s="708">
        <f>'Part II-Development Team'!H85</f>
        <v>0</v>
      </c>
      <c r="O289" s="708" t="s">
        <v>2776</v>
      </c>
      <c r="Q289" s="708">
        <f>'Part II-Development Team'!Q85</f>
        <v>0</v>
      </c>
    </row>
    <row r="290" spans="2:17" ht="13.15" customHeight="1">
      <c r="E290" s="708" t="s">
        <v>954</v>
      </c>
      <c r="H290" s="708">
        <f>'Part II-Development Team'!H86</f>
        <v>0</v>
      </c>
      <c r="O290" s="708" t="s">
        <v>2835</v>
      </c>
      <c r="Q290" s="708">
        <f>'Part II-Development Team'!Q86</f>
        <v>0</v>
      </c>
    </row>
    <row r="291" spans="2:17" ht="13.15" customHeight="1">
      <c r="E291" s="708" t="s">
        <v>2831</v>
      </c>
      <c r="H291" s="708">
        <f>'Part II-Development Team'!H87</f>
        <v>0</v>
      </c>
      <c r="I291" s="708" t="s">
        <v>3354</v>
      </c>
      <c r="J291" s="708">
        <f>'Part II-Development Team'!J87</f>
        <v>0</v>
      </c>
      <c r="O291" s="708" t="s">
        <v>3056</v>
      </c>
      <c r="Q291" s="708">
        <f>'Part II-Development Team'!Q87</f>
        <v>0</v>
      </c>
    </row>
    <row r="292" spans="2:17" ht="13.15" customHeight="1">
      <c r="E292" s="708" t="s">
        <v>3062</v>
      </c>
      <c r="H292" s="708">
        <f>'Part II-Development Team'!H88</f>
        <v>0</v>
      </c>
      <c r="J292" s="708">
        <f>'Part II-Development Team'!J88</f>
        <v>0</v>
      </c>
      <c r="K292" s="708" t="s">
        <v>2834</v>
      </c>
      <c r="L292" s="708">
        <f>'Part II-Development Team'!L88</f>
        <v>0</v>
      </c>
      <c r="N292" s="708" t="s">
        <v>3061</v>
      </c>
      <c r="O292" s="708">
        <f>'Part II-Development Team'!O88</f>
        <v>0</v>
      </c>
    </row>
    <row r="293" spans="2:17" ht="6.6" customHeight="1"/>
    <row r="294" spans="2:17" ht="13.15" customHeight="1">
      <c r="B294" s="708" t="s">
        <v>3063</v>
      </c>
      <c r="C294" s="708" t="s">
        <v>381</v>
      </c>
      <c r="H294" s="708" t="str">
        <f>'Part II-Development Team'!H90</f>
        <v>TBD - See notes at bottom of section</v>
      </c>
      <c r="O294" s="708" t="s">
        <v>3067</v>
      </c>
      <c r="Q294" s="708">
        <f>'Part II-Development Team'!Q90</f>
        <v>0</v>
      </c>
    </row>
    <row r="295" spans="2:17" ht="13.15" customHeight="1">
      <c r="E295" s="708" t="s">
        <v>1642</v>
      </c>
      <c r="H295" s="708">
        <f>'Part II-Development Team'!H91</f>
        <v>0</v>
      </c>
      <c r="O295" s="708" t="s">
        <v>2776</v>
      </c>
      <c r="Q295" s="708">
        <f>'Part II-Development Team'!Q91</f>
        <v>0</v>
      </c>
    </row>
    <row r="296" spans="2:17" ht="13.15" customHeight="1">
      <c r="E296" s="708" t="s">
        <v>954</v>
      </c>
      <c r="H296" s="708">
        <f>'Part II-Development Team'!H92</f>
        <v>0</v>
      </c>
      <c r="O296" s="708" t="s">
        <v>2835</v>
      </c>
      <c r="Q296" s="708">
        <f>'Part II-Development Team'!Q92</f>
        <v>0</v>
      </c>
    </row>
    <row r="297" spans="2:17" ht="13.15" customHeight="1">
      <c r="E297" s="708" t="s">
        <v>2831</v>
      </c>
      <c r="H297" s="708">
        <f>'Part II-Development Team'!H93</f>
        <v>0</v>
      </c>
      <c r="I297" s="708" t="s">
        <v>3354</v>
      </c>
      <c r="J297" s="708">
        <f>'Part II-Development Team'!J93</f>
        <v>0</v>
      </c>
      <c r="O297" s="708" t="s">
        <v>3056</v>
      </c>
      <c r="Q297" s="708">
        <f>'Part II-Development Team'!Q93</f>
        <v>0</v>
      </c>
    </row>
    <row r="298" spans="2:17" ht="13.15" customHeight="1">
      <c r="E298" s="708" t="s">
        <v>3062</v>
      </c>
      <c r="H298" s="708">
        <f>'Part II-Development Team'!H94</f>
        <v>0</v>
      </c>
      <c r="J298" s="708">
        <f>'Part II-Development Team'!J94</f>
        <v>0</v>
      </c>
      <c r="K298" s="708" t="s">
        <v>2834</v>
      </c>
      <c r="L298" s="708">
        <f>'Part II-Development Team'!L94</f>
        <v>0</v>
      </c>
      <c r="N298" s="708" t="s">
        <v>3061</v>
      </c>
      <c r="O298" s="708">
        <f>'Part II-Development Team'!O94</f>
        <v>0</v>
      </c>
    </row>
    <row r="299" spans="2:17" ht="6.6" customHeight="1"/>
    <row r="300" spans="2:17" ht="13.15" customHeight="1">
      <c r="B300" s="708" t="s">
        <v>1239</v>
      </c>
      <c r="C300" s="708" t="s">
        <v>382</v>
      </c>
      <c r="H300" s="708" t="str">
        <f>'Part II-Development Team'!H96</f>
        <v>Tower Management Company, Inc.</v>
      </c>
      <c r="O300" s="708" t="s">
        <v>3067</v>
      </c>
      <c r="Q300" s="708" t="str">
        <f>'Part II-Development Team'!Q96</f>
        <v>Cheryl Murphy</v>
      </c>
    </row>
    <row r="301" spans="2:17" ht="13.15" customHeight="1">
      <c r="E301" s="708" t="s">
        <v>1642</v>
      </c>
      <c r="H301" s="708" t="str">
        <f>'Part II-Development Team'!H97</f>
        <v>1341 Cassville Road, NW</v>
      </c>
      <c r="O301" s="708" t="s">
        <v>2776</v>
      </c>
      <c r="Q301" s="708" t="str">
        <f>'Part II-Development Team'!Q97</f>
        <v>President</v>
      </c>
    </row>
    <row r="302" spans="2:17" ht="13.15" customHeight="1">
      <c r="E302" s="708" t="s">
        <v>954</v>
      </c>
      <c r="H302" s="708" t="str">
        <f>'Part II-Development Team'!H98</f>
        <v>Cartersville</v>
      </c>
      <c r="O302" s="708" t="s">
        <v>2835</v>
      </c>
      <c r="Q302" s="708">
        <f>'Part II-Development Team'!Q98</f>
        <v>7703862921</v>
      </c>
    </row>
    <row r="303" spans="2:17" ht="13.15" customHeight="1">
      <c r="E303" s="708" t="s">
        <v>2831</v>
      </c>
      <c r="H303" s="708" t="str">
        <f>'Part II-Development Team'!H99</f>
        <v>GA</v>
      </c>
      <c r="I303" s="708" t="s">
        <v>3354</v>
      </c>
      <c r="J303" s="708">
        <f>'Part II-Development Team'!J99</f>
        <v>301204886</v>
      </c>
      <c r="O303" s="708" t="s">
        <v>3056</v>
      </c>
      <c r="Q303" s="708">
        <f>'Part II-Development Team'!Q99</f>
        <v>7705478461</v>
      </c>
    </row>
    <row r="304" spans="2:17" ht="13.15" customHeight="1">
      <c r="E304" s="708" t="s">
        <v>3062</v>
      </c>
      <c r="H304" s="708">
        <f>'Part II-Development Team'!H100</f>
        <v>7703862921</v>
      </c>
      <c r="J304" s="708">
        <f>'Part II-Development Team'!J100</f>
        <v>0</v>
      </c>
      <c r="K304" s="708" t="s">
        <v>2834</v>
      </c>
      <c r="L304" s="708">
        <f>'Part II-Development Team'!L100</f>
        <v>7703861937</v>
      </c>
      <c r="N304" s="708" t="s">
        <v>3061</v>
      </c>
      <c r="O304" s="708" t="str">
        <f>'Part II-Development Team'!O100</f>
        <v>cheryl@towermgtco.com</v>
      </c>
    </row>
    <row r="305" spans="2:17" ht="6.6" customHeight="1"/>
    <row r="306" spans="2:17" ht="13.15" customHeight="1">
      <c r="B306" s="708" t="s">
        <v>3212</v>
      </c>
      <c r="C306" s="708" t="s">
        <v>383</v>
      </c>
      <c r="H306" s="708" t="str">
        <f>'Part II-Development Team'!H102</f>
        <v>James, Bates, Pope &amp; Spivey, LLP</v>
      </c>
      <c r="O306" s="708" t="s">
        <v>3067</v>
      </c>
      <c r="Q306" s="708" t="str">
        <f>'Part II-Development Team'!Q102</f>
        <v>Scott Spivey</v>
      </c>
    </row>
    <row r="307" spans="2:17" ht="13.15" customHeight="1">
      <c r="E307" s="708" t="s">
        <v>1642</v>
      </c>
      <c r="H307" s="708" t="str">
        <f>'Part II-Development Team'!H103</f>
        <v>231 Riverside Drive</v>
      </c>
      <c r="O307" s="708" t="s">
        <v>2776</v>
      </c>
      <c r="Q307" s="708" t="str">
        <f>'Part II-Development Team'!Q103</f>
        <v>Partner</v>
      </c>
    </row>
    <row r="308" spans="2:17" ht="13.15" customHeight="1">
      <c r="E308" s="708" t="s">
        <v>954</v>
      </c>
      <c r="H308" s="708" t="str">
        <f>'Part II-Development Team'!H104</f>
        <v>Macon</v>
      </c>
      <c r="O308" s="708" t="s">
        <v>2835</v>
      </c>
      <c r="Q308" s="708">
        <f>'Part II-Development Team'!Q104</f>
        <v>4787499927</v>
      </c>
    </row>
    <row r="309" spans="2:17" ht="13.15" customHeight="1">
      <c r="E309" s="708" t="s">
        <v>2831</v>
      </c>
      <c r="H309" s="708" t="str">
        <f>'Part II-Development Team'!H105</f>
        <v>GA</v>
      </c>
      <c r="I309" s="708" t="s">
        <v>3354</v>
      </c>
      <c r="J309" s="708">
        <f>'Part II-Development Team'!J105</f>
        <v>312010000</v>
      </c>
      <c r="O309" s="708" t="s">
        <v>3056</v>
      </c>
      <c r="Q309" s="708">
        <f>'Part II-Development Team'!Q105</f>
        <v>4782561808</v>
      </c>
    </row>
    <row r="310" spans="2:17" ht="13.15" customHeight="1">
      <c r="E310" s="708" t="s">
        <v>3062</v>
      </c>
      <c r="H310" s="708">
        <f>'Part II-Development Team'!H106</f>
        <v>4787499927</v>
      </c>
      <c r="J310" s="708">
        <f>'Part II-Development Team'!J106</f>
        <v>0</v>
      </c>
      <c r="K310" s="708" t="s">
        <v>2834</v>
      </c>
      <c r="L310" s="708">
        <f>'Part II-Development Team'!L106</f>
        <v>4787428720</v>
      </c>
      <c r="N310" s="708" t="s">
        <v>3061</v>
      </c>
      <c r="O310" s="708" t="str">
        <f>'Part II-Development Team'!O106</f>
        <v xml:space="preserve">sspivey@jbpslaw.com </v>
      </c>
    </row>
    <row r="311" spans="2:17" ht="6" customHeight="1"/>
    <row r="312" spans="2:17" ht="0.75" customHeight="1"/>
    <row r="313" spans="2:17" ht="13.15" customHeight="1">
      <c r="B313" s="708" t="s">
        <v>2763</v>
      </c>
      <c r="C313" s="708" t="s">
        <v>384</v>
      </c>
      <c r="H313" s="708" t="str">
        <f>'Part II-Development Team'!H109</f>
        <v>Habif Arogeti &amp; Wynne</v>
      </c>
      <c r="O313" s="708" t="s">
        <v>3067</v>
      </c>
      <c r="Q313" s="708" t="str">
        <f>'Part II-Development Team'!Q109</f>
        <v>Frank Gudger</v>
      </c>
    </row>
    <row r="314" spans="2:17" ht="13.15" customHeight="1">
      <c r="E314" s="708" t="s">
        <v>1642</v>
      </c>
      <c r="H314" s="708" t="str">
        <f>'Part II-Development Team'!H110</f>
        <v>Five Concourse Parkway, Suite 1000</v>
      </c>
      <c r="O314" s="708" t="s">
        <v>2776</v>
      </c>
      <c r="Q314" s="708" t="str">
        <f>'Part II-Development Team'!Q110</f>
        <v>Principal</v>
      </c>
    </row>
    <row r="315" spans="2:17" ht="13.15" customHeight="1">
      <c r="E315" s="708" t="s">
        <v>954</v>
      </c>
      <c r="H315" s="708" t="str">
        <f>'Part II-Development Team'!H111</f>
        <v>Atlanta</v>
      </c>
      <c r="O315" s="708" t="s">
        <v>2835</v>
      </c>
      <c r="Q315" s="708">
        <f>'Part II-Development Team'!Q111</f>
        <v>4048929651</v>
      </c>
    </row>
    <row r="316" spans="2:17" ht="13.15" customHeight="1">
      <c r="E316" s="708" t="s">
        <v>2831</v>
      </c>
      <c r="H316" s="708" t="str">
        <f>'Part II-Development Team'!H112</f>
        <v>GA</v>
      </c>
      <c r="I316" s="708" t="s">
        <v>3354</v>
      </c>
      <c r="J316" s="708">
        <f>'Part II-Development Team'!J112</f>
        <v>303286132</v>
      </c>
      <c r="O316" s="708" t="s">
        <v>3056</v>
      </c>
      <c r="Q316" s="708">
        <f>'Part II-Development Team'!Q112</f>
        <v>6783620453</v>
      </c>
    </row>
    <row r="317" spans="2:17" ht="13.15" customHeight="1">
      <c r="E317" s="708" t="s">
        <v>3062</v>
      </c>
      <c r="H317" s="708">
        <f>'Part II-Development Team'!H113</f>
        <v>4048929651</v>
      </c>
      <c r="J317" s="708">
        <f>'Part II-Development Team'!J113</f>
        <v>0</v>
      </c>
      <c r="K317" s="708" t="s">
        <v>2834</v>
      </c>
      <c r="L317" s="708">
        <f>'Part II-Development Team'!L113</f>
        <v>7703513460</v>
      </c>
      <c r="N317" s="708" t="s">
        <v>3061</v>
      </c>
      <c r="O317" s="708" t="str">
        <f>'Part II-Development Team'!O113</f>
        <v>frank.gudger@hawcpa.com</v>
      </c>
    </row>
    <row r="318" spans="2:17" ht="6.6" customHeight="1"/>
    <row r="319" spans="2:17" ht="13.15" customHeight="1">
      <c r="B319" s="708" t="s">
        <v>2764</v>
      </c>
      <c r="C319" s="708" t="s">
        <v>385</v>
      </c>
      <c r="H319" s="708" t="str">
        <f>'Part II-Development Team'!H115</f>
        <v>Pucciano &amp; English, Inc.</v>
      </c>
      <c r="O319" s="708" t="s">
        <v>3067</v>
      </c>
      <c r="Q319" s="708" t="str">
        <f>'Part II-Development Team'!Q115</f>
        <v>David English</v>
      </c>
    </row>
    <row r="320" spans="2:17" ht="13.15" customHeight="1">
      <c r="E320" s="708" t="s">
        <v>1642</v>
      </c>
      <c r="H320" s="708" t="str">
        <f>'Part II-Development Team'!H116</f>
        <v>3084 Mercer University Drive, Suite 110</v>
      </c>
      <c r="O320" s="708" t="s">
        <v>2776</v>
      </c>
      <c r="Q320" s="708" t="str">
        <f>'Part II-Development Team'!Q116</f>
        <v>Manager</v>
      </c>
    </row>
    <row r="321" spans="1:18" ht="13.15" customHeight="1">
      <c r="E321" s="708" t="s">
        <v>954</v>
      </c>
      <c r="H321" s="708" t="str">
        <f>'Part II-Development Team'!H117</f>
        <v>Atlanta</v>
      </c>
      <c r="O321" s="708" t="s">
        <v>2835</v>
      </c>
      <c r="Q321" s="708">
        <f>'Part II-Development Team'!Q117</f>
        <v>7704570623</v>
      </c>
    </row>
    <row r="322" spans="1:18" ht="13.15" customHeight="1">
      <c r="E322" s="708" t="s">
        <v>2831</v>
      </c>
      <c r="H322" s="708" t="str">
        <f>'Part II-Development Team'!H118</f>
        <v>GA</v>
      </c>
      <c r="I322" s="708" t="s">
        <v>3354</v>
      </c>
      <c r="J322" s="708">
        <f>'Part II-Development Team'!J118</f>
        <v>303414139</v>
      </c>
      <c r="O322" s="708" t="s">
        <v>3056</v>
      </c>
      <c r="Q322" s="708">
        <f>'Part II-Development Team'!Q118</f>
        <v>0</v>
      </c>
    </row>
    <row r="323" spans="1:18" ht="13.15" customHeight="1">
      <c r="E323" s="708" t="s">
        <v>3062</v>
      </c>
      <c r="H323" s="708">
        <f>'Part II-Development Team'!H119</f>
        <v>7704570623</v>
      </c>
      <c r="J323" s="708">
        <f>'Part II-Development Team'!J119</f>
        <v>0</v>
      </c>
      <c r="K323" s="708" t="s">
        <v>2834</v>
      </c>
      <c r="L323" s="708">
        <f>'Part II-Development Team'!L119</f>
        <v>7704510092</v>
      </c>
      <c r="N323" s="708" t="s">
        <v>3061</v>
      </c>
      <c r="O323" s="708" t="str">
        <f>'Part II-Development Team'!O119</f>
        <v>denglish@pucciano-english.com</v>
      </c>
    </row>
    <row r="324" spans="1:18" ht="13.15" customHeight="1"/>
    <row r="325" spans="1:18" ht="13.15" customHeight="1">
      <c r="A325" s="708" t="s">
        <v>2824</v>
      </c>
      <c r="B325" s="708" t="s">
        <v>366</v>
      </c>
    </row>
    <row r="326" spans="1:18" ht="6.6" customHeight="1"/>
    <row r="327" spans="1:18" ht="21.6" customHeight="1">
      <c r="A327" s="708" t="s">
        <v>977</v>
      </c>
      <c r="E327" s="708" t="s">
        <v>4089</v>
      </c>
      <c r="F327" s="708" t="s">
        <v>3601</v>
      </c>
      <c r="G327" s="708" t="s">
        <v>4090</v>
      </c>
      <c r="J327" s="708" t="s">
        <v>4091</v>
      </c>
      <c r="L327" s="708" t="s">
        <v>4092</v>
      </c>
      <c r="N327" s="708" t="s">
        <v>4093</v>
      </c>
      <c r="P327" s="708" t="s">
        <v>3602</v>
      </c>
      <c r="R327" s="708" t="s">
        <v>3603</v>
      </c>
    </row>
    <row r="328" spans="1:18" ht="21.6" customHeight="1"/>
    <row r="329" spans="1:18" ht="21.6" customHeight="1"/>
    <row r="330" spans="1:18" ht="21.6" customHeight="1"/>
    <row r="331" spans="1:18" ht="21.6" customHeight="1"/>
    <row r="332" spans="1:18" ht="13.9" customHeight="1">
      <c r="A332" s="708" t="s">
        <v>3535</v>
      </c>
      <c r="E332" s="708" t="str">
        <f>'Part II-Development Team'!E128</f>
        <v>No</v>
      </c>
      <c r="F332" s="708" t="str">
        <f>'Part II-Development Team'!F128</f>
        <v>No</v>
      </c>
      <c r="G332" s="708" t="str">
        <f>'Part II-Development Team'!G128</f>
        <v>No</v>
      </c>
      <c r="J332" s="708" t="str">
        <f>'Part II-Development Team'!J128</f>
        <v>Yes</v>
      </c>
      <c r="L332" s="708" t="str">
        <f>'Part II-Development Team'!L128</f>
        <v>No</v>
      </c>
      <c r="N332" s="708" t="str">
        <f>'Part II-Development Team'!N128</f>
        <v>No</v>
      </c>
      <c r="P332" s="708" t="str">
        <f>'Part II-Development Team'!P128</f>
        <v>For Profit</v>
      </c>
      <c r="R332" s="708">
        <f>'Part II-Development Team'!R128</f>
        <v>1E-4</v>
      </c>
    </row>
    <row r="333" spans="1:18" ht="13.9" customHeight="1">
      <c r="A333" s="708" t="s">
        <v>3525</v>
      </c>
      <c r="E333" s="708">
        <f>'Part II-Development Team'!E129</f>
        <v>0</v>
      </c>
      <c r="F333" s="708">
        <f>'Part II-Development Team'!F129</f>
        <v>0</v>
      </c>
      <c r="G333" s="708">
        <f>'Part II-Development Team'!G129</f>
        <v>0</v>
      </c>
      <c r="J333" s="708">
        <f>'Part II-Development Team'!J129</f>
        <v>0</v>
      </c>
      <c r="L333" s="708">
        <f>'Part II-Development Team'!L129</f>
        <v>0</v>
      </c>
      <c r="N333" s="708">
        <f>'Part II-Development Team'!N129</f>
        <v>0</v>
      </c>
      <c r="P333" s="708">
        <f>'Part II-Development Team'!P129</f>
        <v>0</v>
      </c>
      <c r="R333" s="708">
        <f>'Part II-Development Team'!R129</f>
        <v>0</v>
      </c>
    </row>
    <row r="334" spans="1:18" ht="13.9" customHeight="1">
      <c r="A334" s="708" t="s">
        <v>3526</v>
      </c>
      <c r="E334" s="708">
        <f>'Part II-Development Team'!E130</f>
        <v>0</v>
      </c>
      <c r="F334" s="708">
        <f>'Part II-Development Team'!F130</f>
        <v>0</v>
      </c>
      <c r="G334" s="708">
        <f>'Part II-Development Team'!G130</f>
        <v>0</v>
      </c>
      <c r="J334" s="708">
        <f>'Part II-Development Team'!J130</f>
        <v>0</v>
      </c>
      <c r="L334" s="708">
        <f>'Part II-Development Team'!L130</f>
        <v>0</v>
      </c>
      <c r="N334" s="708">
        <f>'Part II-Development Team'!N130</f>
        <v>0</v>
      </c>
      <c r="P334" s="708">
        <f>'Part II-Development Team'!P130</f>
        <v>0</v>
      </c>
      <c r="R334" s="708">
        <f>'Part II-Development Team'!R130</f>
        <v>0</v>
      </c>
    </row>
    <row r="335" spans="1:18" ht="13.9" customHeight="1">
      <c r="A335" s="708" t="s">
        <v>3527</v>
      </c>
      <c r="E335" s="708" t="str">
        <f>'Part II-Development Team'!E131</f>
        <v>No</v>
      </c>
      <c r="F335" s="708" t="str">
        <f>'Part II-Development Team'!F131</f>
        <v>No</v>
      </c>
      <c r="G335" s="708" t="str">
        <f>'Part II-Development Team'!G131</f>
        <v>No</v>
      </c>
      <c r="J335" s="708" t="str">
        <f>'Part II-Development Team'!J131</f>
        <v>No</v>
      </c>
      <c r="L335" s="708" t="str">
        <f>'Part II-Development Team'!L131</f>
        <v>No</v>
      </c>
      <c r="N335" s="708" t="str">
        <f>'Part II-Development Team'!N131</f>
        <v>No</v>
      </c>
      <c r="P335" s="708" t="str">
        <f>'Part II-Development Team'!P131</f>
        <v>For Profit</v>
      </c>
      <c r="R335" s="708">
        <f>'Part II-Development Team'!R131</f>
        <v>0.9899</v>
      </c>
    </row>
    <row r="336" spans="1:18" ht="13.9" customHeight="1">
      <c r="A336" s="708" t="s">
        <v>3528</v>
      </c>
      <c r="E336" s="708" t="str">
        <f>'Part II-Development Team'!E132</f>
        <v>No</v>
      </c>
      <c r="F336" s="708" t="str">
        <f>'Part II-Development Team'!F132</f>
        <v>No</v>
      </c>
      <c r="G336" s="708" t="str">
        <f>'Part II-Development Team'!G132</f>
        <v>No</v>
      </c>
      <c r="J336" s="708" t="str">
        <f>'Part II-Development Team'!J132</f>
        <v>No</v>
      </c>
      <c r="L336" s="708" t="str">
        <f>'Part II-Development Team'!L132</f>
        <v>No</v>
      </c>
      <c r="N336" s="708" t="str">
        <f>'Part II-Development Team'!N132</f>
        <v>No</v>
      </c>
      <c r="P336" s="708" t="str">
        <f>'Part II-Development Team'!P132</f>
        <v>For Profit</v>
      </c>
      <c r="R336" s="708">
        <f>'Part II-Development Team'!R132</f>
        <v>0.01</v>
      </c>
    </row>
    <row r="337" spans="1:18" ht="13.9" customHeight="1">
      <c r="A337" s="708" t="s">
        <v>3529</v>
      </c>
      <c r="E337" s="708" t="str">
        <f>'Part II-Development Team'!E133</f>
        <v>No</v>
      </c>
      <c r="F337" s="708" t="str">
        <f>'Part II-Development Team'!F133</f>
        <v>No</v>
      </c>
      <c r="G337" s="708" t="str">
        <f>'Part II-Development Team'!G133</f>
        <v>No</v>
      </c>
      <c r="J337" s="708" t="str">
        <f>'Part II-Development Team'!J133</f>
        <v>Yes</v>
      </c>
      <c r="L337" s="708" t="str">
        <f>'Part II-Development Team'!L133</f>
        <v>No</v>
      </c>
      <c r="N337" s="708" t="str">
        <f>'Part II-Development Team'!N133</f>
        <v>No</v>
      </c>
      <c r="P337" s="708" t="str">
        <f>'Part II-Development Team'!P133</f>
        <v>Nonprofit</v>
      </c>
      <c r="R337" s="708">
        <f>'Part II-Development Team'!R133</f>
        <v>0</v>
      </c>
    </row>
    <row r="338" spans="1:18" ht="13.9" customHeight="1">
      <c r="A338" s="708" t="s">
        <v>997</v>
      </c>
      <c r="E338" s="708" t="str">
        <f>'Part II-Development Team'!E134</f>
        <v>No</v>
      </c>
      <c r="F338" s="708" t="str">
        <f>'Part II-Development Team'!F134</f>
        <v>No</v>
      </c>
      <c r="G338" s="708" t="str">
        <f>'Part II-Development Team'!G134</f>
        <v>No</v>
      </c>
      <c r="J338" s="708" t="str">
        <f>'Part II-Development Team'!J134</f>
        <v>Yes</v>
      </c>
      <c r="L338" s="708" t="str">
        <f>'Part II-Development Team'!L134</f>
        <v>No</v>
      </c>
      <c r="N338" s="708" t="str">
        <f>'Part II-Development Team'!N134</f>
        <v>No</v>
      </c>
      <c r="P338" s="708" t="str">
        <f>'Part II-Development Team'!P134</f>
        <v>Nonprofit</v>
      </c>
      <c r="R338" s="708">
        <f>'Part II-Development Team'!R134</f>
        <v>0</v>
      </c>
    </row>
    <row r="339" spans="1:18" ht="13.9" customHeight="1">
      <c r="A339" s="708" t="s">
        <v>3530</v>
      </c>
      <c r="E339" s="708">
        <f>'Part II-Development Team'!E135</f>
        <v>0</v>
      </c>
      <c r="F339" s="708">
        <f>'Part II-Development Team'!F135</f>
        <v>0</v>
      </c>
      <c r="G339" s="708">
        <f>'Part II-Development Team'!G135</f>
        <v>0</v>
      </c>
      <c r="J339" s="708">
        <f>'Part II-Development Team'!J135</f>
        <v>0</v>
      </c>
      <c r="L339" s="708">
        <f>'Part II-Development Team'!L135</f>
        <v>0</v>
      </c>
      <c r="N339" s="708">
        <f>'Part II-Development Team'!N135</f>
        <v>0</v>
      </c>
      <c r="P339" s="708">
        <f>'Part II-Development Team'!P135</f>
        <v>0</v>
      </c>
      <c r="R339" s="708">
        <f>'Part II-Development Team'!R135</f>
        <v>0</v>
      </c>
    </row>
    <row r="340" spans="1:18" ht="13.9" customHeight="1">
      <c r="A340" s="708" t="s">
        <v>3531</v>
      </c>
      <c r="E340" s="708">
        <f>'Part II-Development Team'!E136</f>
        <v>0</v>
      </c>
      <c r="F340" s="708">
        <f>'Part II-Development Team'!F136</f>
        <v>0</v>
      </c>
      <c r="G340" s="708">
        <f>'Part II-Development Team'!G136</f>
        <v>0</v>
      </c>
      <c r="J340" s="708">
        <f>'Part II-Development Team'!J136</f>
        <v>0</v>
      </c>
      <c r="L340" s="708">
        <f>'Part II-Development Team'!L136</f>
        <v>0</v>
      </c>
      <c r="N340" s="708">
        <f>'Part II-Development Team'!N136</f>
        <v>0</v>
      </c>
      <c r="P340" s="708">
        <f>'Part II-Development Team'!P136</f>
        <v>0</v>
      </c>
      <c r="R340" s="708">
        <f>'Part II-Development Team'!R136</f>
        <v>0</v>
      </c>
    </row>
    <row r="341" spans="1:18" ht="13.9" customHeight="1">
      <c r="A341" s="708" t="s">
        <v>3532</v>
      </c>
      <c r="E341" s="708">
        <f>'Part II-Development Team'!E137</f>
        <v>0</v>
      </c>
      <c r="F341" s="708">
        <f>'Part II-Development Team'!F137</f>
        <v>0</v>
      </c>
      <c r="G341" s="708">
        <f>'Part II-Development Team'!G137</f>
        <v>0</v>
      </c>
      <c r="J341" s="708">
        <f>'Part II-Development Team'!J137</f>
        <v>0</v>
      </c>
      <c r="L341" s="708">
        <f>'Part II-Development Team'!L137</f>
        <v>0</v>
      </c>
      <c r="N341" s="708">
        <f>'Part II-Development Team'!N137</f>
        <v>0</v>
      </c>
      <c r="P341" s="708">
        <f>'Part II-Development Team'!P137</f>
        <v>0</v>
      </c>
      <c r="R341" s="708">
        <f>'Part II-Development Team'!R137</f>
        <v>0</v>
      </c>
    </row>
    <row r="342" spans="1:18" ht="13.9" customHeight="1">
      <c r="A342" s="708" t="s">
        <v>3533</v>
      </c>
      <c r="E342" s="708" t="str">
        <f>'Part II-Development Team'!E138</f>
        <v>No</v>
      </c>
      <c r="F342" s="708" t="str">
        <f>'Part II-Development Team'!F138</f>
        <v>No</v>
      </c>
      <c r="G342" s="708" t="str">
        <f>'Part II-Development Team'!G138</f>
        <v>No</v>
      </c>
      <c r="J342" s="708" t="str">
        <f>'Part II-Development Team'!J138</f>
        <v>No</v>
      </c>
      <c r="L342" s="708" t="str">
        <f>'Part II-Development Team'!L138</f>
        <v>No</v>
      </c>
      <c r="N342" s="708" t="str">
        <f>'Part II-Development Team'!N138</f>
        <v>No</v>
      </c>
      <c r="P342" s="708" t="str">
        <f>'Part II-Development Team'!P138</f>
        <v>Nonprofit</v>
      </c>
      <c r="R342" s="708">
        <f>'Part II-Development Team'!R138</f>
        <v>0</v>
      </c>
    </row>
    <row r="343" spans="1:18" ht="13.9" customHeight="1">
      <c r="A343" s="708" t="s">
        <v>2281</v>
      </c>
      <c r="E343" s="708">
        <f>'Part II-Development Team'!E139</f>
        <v>0</v>
      </c>
      <c r="F343" s="708">
        <f>'Part II-Development Team'!F139</f>
        <v>0</v>
      </c>
      <c r="G343" s="708">
        <f>'Part II-Development Team'!G139</f>
        <v>0</v>
      </c>
      <c r="J343" s="708">
        <f>'Part II-Development Team'!J139</f>
        <v>0</v>
      </c>
      <c r="L343" s="708">
        <f>'Part II-Development Team'!L139</f>
        <v>0</v>
      </c>
      <c r="N343" s="708">
        <f>'Part II-Development Team'!N139</f>
        <v>0</v>
      </c>
      <c r="P343" s="708">
        <f>'Part II-Development Team'!P139</f>
        <v>0</v>
      </c>
      <c r="R343" s="708">
        <f>'Part II-Development Team'!R139</f>
        <v>0</v>
      </c>
    </row>
    <row r="344" spans="1:18" ht="13.9" customHeight="1">
      <c r="A344" s="708" t="s">
        <v>3534</v>
      </c>
      <c r="E344" s="708" t="str">
        <f>'Part II-Development Team'!E140</f>
        <v>No</v>
      </c>
      <c r="F344" s="708" t="str">
        <f>'Part II-Development Team'!F140</f>
        <v>No</v>
      </c>
      <c r="G344" s="708" t="str">
        <f>'Part II-Development Team'!G140</f>
        <v>No</v>
      </c>
      <c r="J344" s="708" t="str">
        <f>'Part II-Development Team'!J140</f>
        <v>No</v>
      </c>
      <c r="L344" s="708" t="str">
        <f>'Part II-Development Team'!L140</f>
        <v>No</v>
      </c>
      <c r="N344" s="708" t="str">
        <f>'Part II-Development Team'!N140</f>
        <v>No</v>
      </c>
      <c r="P344" s="708" t="str">
        <f>'Part II-Development Team'!P140</f>
        <v>For Profit</v>
      </c>
      <c r="R344" s="708">
        <f>'Part II-Development Team'!R140</f>
        <v>0</v>
      </c>
    </row>
    <row r="345" spans="1:18" ht="13.9" customHeight="1">
      <c r="Q345" s="708" t="s">
        <v>833</v>
      </c>
      <c r="R345" s="708">
        <f>SUM(R332:S344)</f>
        <v>1</v>
      </c>
    </row>
    <row r="346" spans="1:18" ht="12.4" customHeight="1"/>
    <row r="347" spans="1:18" ht="12.4" customHeight="1">
      <c r="A347" s="708" t="s">
        <v>2826</v>
      </c>
      <c r="C347" s="708" t="s">
        <v>880</v>
      </c>
      <c r="N347" s="708" t="s">
        <v>823</v>
      </c>
      <c r="O347" s="708" t="s">
        <v>89</v>
      </c>
    </row>
    <row r="348" spans="1:18" ht="3.6" customHeight="1"/>
    <row r="349" spans="1:18" ht="42.6" customHeight="1">
      <c r="A349" s="708" t="str">
        <f>'Part II-Development Team'!A145</f>
        <v>In-Fill Housing, Inc. is the sole shareholder of Brentwood In-Fill, Inc., which is the Managing General Partner of Brentwood Partners, LP which is the owner of the Project.  In-Fill Housing, Inc. is also the Developer and Non-Profit Sponsor.  Therefore, there is an identity of interest between the Managing General Partner, the Developer and the Non-Profit Sponsor.  As an affiliate of the Macon Housing Authority, In-Fill Housing, Inc. competitively bids the construction work . We will use our competitive bidding process to select a qualified General Contractor.</v>
      </c>
      <c r="N349" s="708">
        <f>'Part II-Development Team'!N145</f>
        <v>0</v>
      </c>
    </row>
    <row r="350" spans="1:18" ht="42.6" customHeight="1">
      <c r="A350" s="708" t="str">
        <f>'Part II-Development Team'!A146</f>
        <v>David English, Project Architect, is one of the current owners of the site.</v>
      </c>
      <c r="N350" s="708">
        <f>'Part II-Development Team'!N146</f>
        <v>0</v>
      </c>
    </row>
    <row r="351" spans="1:18" ht="42.6" customHeight="1">
      <c r="A351" s="708">
        <f>'Part II-Development Team'!A147</f>
        <v>0</v>
      </c>
      <c r="N351" s="708">
        <f>'Part II-Development Team'!N147</f>
        <v>0</v>
      </c>
    </row>
    <row r="352" spans="1:18" ht="12.4" customHeight="1"/>
    <row r="354" spans="1:16">
      <c r="A354" s="708" t="str">
        <f>CONCATENATE("PART THREE - SOURCES OF FUNDS","  -  ",'Part I-Project Information'!$O$4," ",'Part I-Project Information'!$F$22,", ",'Part I-Project Information'!$F$24,", ",'Part I-Project Information'!$J$25," County")</f>
        <v>PART THREE - SOURCES OF FUNDS  -  2011-044 Brentwood Place Apartments, Forsyth, Monroe County</v>
      </c>
    </row>
    <row r="356" spans="1:16">
      <c r="A356" s="708" t="s">
        <v>951</v>
      </c>
      <c r="B356" s="708" t="s">
        <v>3770</v>
      </c>
    </row>
    <row r="358" spans="1:16">
      <c r="B358" s="708" t="str">
        <f>'Part III A-Sources of Funds'!B5</f>
        <v>Yes</v>
      </c>
      <c r="C358" s="708" t="s">
        <v>3653</v>
      </c>
      <c r="E358" s="708" t="str">
        <f>'Part III A-Sources of Funds'!E5</f>
        <v>Yes</v>
      </c>
      <c r="F358" s="708" t="s">
        <v>1981</v>
      </c>
      <c r="J358" s="708">
        <f>'Part III A-Sources of Funds'!J5</f>
        <v>1628524</v>
      </c>
      <c r="M358" s="708">
        <f>'Part III A-Sources of Funds'!M5</f>
        <v>0</v>
      </c>
      <c r="N358" s="708" t="s">
        <v>846</v>
      </c>
    </row>
    <row r="359" spans="1:16">
      <c r="B359" s="708">
        <f>'Part III A-Sources of Funds'!B6</f>
        <v>0</v>
      </c>
      <c r="C359" s="708" t="s">
        <v>2836</v>
      </c>
      <c r="E359" s="708">
        <f>'Part III A-Sources of Funds'!E6</f>
        <v>0</v>
      </c>
      <c r="F359" s="708" t="s">
        <v>3312</v>
      </c>
      <c r="J359" s="708">
        <f>'Part III A-Sources of Funds'!J6</f>
        <v>0</v>
      </c>
      <c r="K359" s="708" t="s">
        <v>847</v>
      </c>
      <c r="M359" s="708">
        <f>'Part III A-Sources of Funds'!M6</f>
        <v>0</v>
      </c>
      <c r="N359" s="708" t="s">
        <v>845</v>
      </c>
    </row>
    <row r="360" spans="1:16">
      <c r="B360" s="708">
        <f>'Part III A-Sources of Funds'!B7</f>
        <v>0</v>
      </c>
      <c r="C360" s="708" t="s">
        <v>2837</v>
      </c>
      <c r="E360" s="708">
        <f>'Part III A-Sources of Funds'!E7</f>
        <v>0</v>
      </c>
      <c r="F360" s="708" t="s">
        <v>3311</v>
      </c>
      <c r="J360" s="708">
        <f>'Part III A-Sources of Funds'!J7</f>
        <v>0</v>
      </c>
      <c r="K360" s="708" t="s">
        <v>2291</v>
      </c>
      <c r="M360" s="708">
        <f>'Part III A-Sources of Funds'!M7</f>
        <v>0</v>
      </c>
      <c r="N360" s="708" t="s">
        <v>1982</v>
      </c>
      <c r="P360" s="708">
        <f>'Part III A-Sources of Funds'!P7</f>
        <v>0</v>
      </c>
    </row>
    <row r="361" spans="1:16">
      <c r="B361" s="708">
        <f>'Part III A-Sources of Funds'!B8</f>
        <v>0</v>
      </c>
      <c r="C361" s="708" t="s">
        <v>3914</v>
      </c>
      <c r="E361" s="708">
        <f>'Part III A-Sources of Funds'!E8</f>
        <v>0</v>
      </c>
      <c r="F361" s="708" t="s">
        <v>3915</v>
      </c>
      <c r="H361" s="708">
        <f>'Part III A-Sources of Funds'!H8</f>
        <v>0</v>
      </c>
      <c r="I361" s="708" t="s">
        <v>3654</v>
      </c>
      <c r="J361" s="708" t="str">
        <f>'Part III A-Sources of Funds'!J8</f>
        <v>Yes</v>
      </c>
      <c r="K361" s="708" t="s">
        <v>875</v>
      </c>
      <c r="M361" s="708">
        <f>'Part III A-Sources of Funds'!M8</f>
        <v>0</v>
      </c>
      <c r="N361" s="708" t="s">
        <v>3232</v>
      </c>
    </row>
    <row r="362" spans="1:16">
      <c r="B362" s="708" t="s">
        <v>310</v>
      </c>
    </row>
    <row r="364" spans="1:16">
      <c r="A364" s="708" t="s">
        <v>1230</v>
      </c>
      <c r="B364" s="708" t="s">
        <v>3495</v>
      </c>
    </row>
    <row r="366" spans="1:16">
      <c r="B366" s="708" t="s">
        <v>2927</v>
      </c>
      <c r="H366" s="708" t="s">
        <v>1998</v>
      </c>
      <c r="L366" s="708" t="s">
        <v>3068</v>
      </c>
      <c r="N366" s="708" t="s">
        <v>2258</v>
      </c>
      <c r="P366" s="708" t="s">
        <v>2537</v>
      </c>
    </row>
    <row r="367" spans="1:16">
      <c r="B367" s="708" t="s">
        <v>2348</v>
      </c>
      <c r="H367" s="708" t="str">
        <f>'Part III A-Sources of Funds'!H14</f>
        <v>Bank of America</v>
      </c>
      <c r="L367" s="708">
        <f>'Part III A-Sources of Funds'!L14</f>
        <v>1000000</v>
      </c>
      <c r="N367" s="708">
        <f>'Part III A-Sources of Funds'!N14</f>
        <v>3.5000000000000003E-2</v>
      </c>
      <c r="P367" s="708">
        <f>'Part III A-Sources of Funds'!P14</f>
        <v>24</v>
      </c>
    </row>
    <row r="368" spans="1:16">
      <c r="B368" s="708" t="s">
        <v>2349</v>
      </c>
      <c r="H368" s="708" t="str">
        <f>'Part III A-Sources of Funds'!H15</f>
        <v>DCA HOME Loan</v>
      </c>
      <c r="L368" s="708">
        <f>'Part III A-Sources of Funds'!L15</f>
        <v>1075029</v>
      </c>
      <c r="N368" s="708">
        <f>'Part III A-Sources of Funds'!N15</f>
        <v>0</v>
      </c>
      <c r="P368" s="708">
        <f>'Part III A-Sources of Funds'!P15</f>
        <v>24</v>
      </c>
    </row>
    <row r="369" spans="1:17">
      <c r="B369" s="708" t="s">
        <v>2350</v>
      </c>
      <c r="H369" s="708" t="str">
        <f>'Part III A-Sources of Funds'!H16</f>
        <v>In-fill Housing - Loan of AHP Grant</v>
      </c>
      <c r="L369" s="708">
        <f>'Part III A-Sources of Funds'!L16</f>
        <v>465000</v>
      </c>
      <c r="N369" s="708">
        <f>'Part III A-Sources of Funds'!N16</f>
        <v>0</v>
      </c>
      <c r="P369" s="708">
        <f>'Part III A-Sources of Funds'!P16</f>
        <v>24</v>
      </c>
    </row>
    <row r="370" spans="1:17">
      <c r="B370" s="708" t="s">
        <v>3333</v>
      </c>
      <c r="H370" s="708">
        <f>'Part III A-Sources of Funds'!H17</f>
        <v>0</v>
      </c>
      <c r="L370" s="708">
        <f>'Part III A-Sources of Funds'!L17</f>
        <v>0</v>
      </c>
    </row>
    <row r="371" spans="1:17">
      <c r="B371" s="708" t="s">
        <v>1384</v>
      </c>
      <c r="H371" s="708">
        <f>'Part III A-Sources of Funds'!H18</f>
        <v>0</v>
      </c>
      <c r="L371" s="708">
        <f>'Part III A-Sources of Funds'!L18</f>
        <v>0</v>
      </c>
    </row>
    <row r="372" spans="1:17">
      <c r="B372" s="708" t="s">
        <v>978</v>
      </c>
      <c r="H372" s="708">
        <f>'Part III A-Sources of Funds'!H19</f>
        <v>0</v>
      </c>
      <c r="L372" s="708">
        <f>'Part III A-Sources of Funds'!L19</f>
        <v>0</v>
      </c>
    </row>
    <row r="373" spans="1:17">
      <c r="B373" s="708" t="s">
        <v>1385</v>
      </c>
      <c r="H373" s="708" t="str">
        <f>'Part III A-Sources of Funds'!H20</f>
        <v>Hunt Capital Partners</v>
      </c>
      <c r="L373" s="708">
        <f>'Part III A-Sources of Funds'!L20</f>
        <v>4571834</v>
      </c>
    </row>
    <row r="374" spans="1:17">
      <c r="B374" s="708" t="s">
        <v>1386</v>
      </c>
      <c r="H374" s="708" t="str">
        <f>'Part III A-Sources of Funds'!H21</f>
        <v>Hunt Capital Partners</v>
      </c>
      <c r="L374" s="708">
        <f>'Part III A-Sources of Funds'!L21</f>
        <v>1678837</v>
      </c>
    </row>
    <row r="375" spans="1:17">
      <c r="B375" s="708" t="s">
        <v>309</v>
      </c>
      <c r="D375" s="708">
        <f>'Part III A-Sources of Funds'!D22</f>
        <v>0</v>
      </c>
      <c r="H375" s="708">
        <f>'Part III A-Sources of Funds'!H22</f>
        <v>0</v>
      </c>
      <c r="L375" s="708">
        <f>'Part III A-Sources of Funds'!L22</f>
        <v>0</v>
      </c>
    </row>
    <row r="376" spans="1:17">
      <c r="B376" s="708" t="s">
        <v>309</v>
      </c>
      <c r="D376" s="708">
        <f>'Part III A-Sources of Funds'!D23</f>
        <v>0</v>
      </c>
      <c r="H376" s="708">
        <f>'Part III A-Sources of Funds'!H23</f>
        <v>0</v>
      </c>
      <c r="L376" s="708">
        <f>'Part III A-Sources of Funds'!L23</f>
        <v>0</v>
      </c>
    </row>
    <row r="377" spans="1:17">
      <c r="B377" s="708" t="s">
        <v>309</v>
      </c>
      <c r="D377" s="708">
        <f>'Part III A-Sources of Funds'!D24</f>
        <v>0</v>
      </c>
      <c r="H377" s="708">
        <f>'Part III A-Sources of Funds'!H24</f>
        <v>0</v>
      </c>
      <c r="L377" s="708">
        <f>'Part III A-Sources of Funds'!L24</f>
        <v>0</v>
      </c>
    </row>
    <row r="378" spans="1:17">
      <c r="B378" s="708" t="s">
        <v>1999</v>
      </c>
      <c r="L378" s="708">
        <f>SUM(L367:L377)</f>
        <v>8790700</v>
      </c>
    </row>
    <row r="379" spans="1:17">
      <c r="B379" s="708" t="s">
        <v>2000</v>
      </c>
      <c r="L379" s="70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8790700</v>
      </c>
    </row>
    <row r="380" spans="1:17">
      <c r="B380" s="708" t="s">
        <v>3261</v>
      </c>
      <c r="L380" s="708">
        <f>L378-L379</f>
        <v>0</v>
      </c>
    </row>
    <row r="382" spans="1:17">
      <c r="A382" s="708" t="s">
        <v>1232</v>
      </c>
      <c r="B382" s="708" t="s">
        <v>1383</v>
      </c>
    </row>
    <row r="383" spans="1:17">
      <c r="J383" s="708" t="s">
        <v>3195</v>
      </c>
      <c r="K383" s="708" t="s">
        <v>1996</v>
      </c>
      <c r="L383" s="708" t="s">
        <v>2001</v>
      </c>
      <c r="M383" s="708" t="s">
        <v>40</v>
      </c>
      <c r="Q383" s="708" t="s">
        <v>3492</v>
      </c>
    </row>
    <row r="384" spans="1:17">
      <c r="B384" s="708" t="s">
        <v>2927</v>
      </c>
      <c r="E384" s="708" t="s">
        <v>1998</v>
      </c>
      <c r="H384" s="708" t="s">
        <v>720</v>
      </c>
      <c r="J384" s="708" t="s">
        <v>2844</v>
      </c>
      <c r="K384" s="708" t="s">
        <v>3332</v>
      </c>
      <c r="L384" s="708" t="s">
        <v>3332</v>
      </c>
      <c r="O384" s="708" t="s">
        <v>84</v>
      </c>
    </row>
    <row r="385" spans="2:19">
      <c r="B385" s="708" t="str">
        <f>IF(OR(E385 = "Neither",E385 = "&lt;&lt;Select applicable option&gt;&gt;"), "N/A","Mortgage A")</f>
        <v>N/A</v>
      </c>
      <c r="E385" s="708" t="str">
        <f>'Part III A-Sources of Funds'!E32</f>
        <v>&lt;&lt;Select applicable option&gt;&gt;</v>
      </c>
      <c r="H385" s="708">
        <f>'Part III A-Sources of Funds'!H32</f>
        <v>0</v>
      </c>
      <c r="J385" s="708">
        <f>'Part III A-Sources of Funds'!J32</f>
        <v>0</v>
      </c>
      <c r="K385" s="708">
        <f>'Part III A-Sources of Funds'!K32</f>
        <v>0</v>
      </c>
      <c r="L385" s="708">
        <f>'Part III A-Sources of Funds'!L32</f>
        <v>0</v>
      </c>
      <c r="M385" s="708" t="str">
        <f>'Part III A-Sources of Funds'!M32</f>
        <v/>
      </c>
      <c r="O385" s="708" t="str">
        <f>'Part III A-Sources of Funds'!O32</f>
        <v>Amortizing</v>
      </c>
      <c r="Q385" s="708" t="str">
        <f>'Part III A-Sources of Funds'!Q32</f>
        <v>n/a</v>
      </c>
    </row>
    <row r="386" spans="2:19">
      <c r="B386" s="708" t="str">
        <f>IF(OR(E385 = "Neither",E385 = "&lt;&lt;Select applicable option&gt;&gt;"), "Mortgage A","Mortgage B")</f>
        <v>Mortgage A</v>
      </c>
      <c r="E386" s="708" t="str">
        <f>'Part III A-Sources of Funds'!E33</f>
        <v>In-Fill Housing - Loan of AHP Grant</v>
      </c>
      <c r="H386" s="708">
        <f>'Part III A-Sources of Funds'!H33</f>
        <v>465000</v>
      </c>
      <c r="J386" s="708">
        <f>'Part III A-Sources of Funds'!J33</f>
        <v>4.0500000000000001E-2</v>
      </c>
      <c r="K386" s="708">
        <f>'Part III A-Sources of Funds'!K33</f>
        <v>21</v>
      </c>
      <c r="L386" s="708" t="str">
        <f>'Part III A-Sources of Funds'!L33</f>
        <v>n/a</v>
      </c>
      <c r="M386" s="708" t="str">
        <f>'Part III A-Sources of Funds'!M33</f>
        <v/>
      </c>
      <c r="O386" s="708" t="str">
        <f>'Part III A-Sources of Funds'!O33</f>
        <v>Cash Flow</v>
      </c>
      <c r="Q386" s="708" t="str">
        <f>'Part III A-Sources of Funds'!Q33</f>
        <v>balloon</v>
      </c>
    </row>
    <row r="387" spans="2:19">
      <c r="B387" s="708" t="str">
        <f>IF(OR(E385 = "Neither",E385 = "&lt;&lt;Select applicable option&gt;&gt;"), "Mortgage B","Mortgage C")</f>
        <v>Mortgage B</v>
      </c>
      <c r="E387" s="708" t="str">
        <f>'Part III A-Sources of Funds'!E34</f>
        <v>DCA HOME Loan</v>
      </c>
      <c r="H387" s="708">
        <f>'Part III A-Sources of Funds'!H34</f>
        <v>1075029</v>
      </c>
      <c r="J387" s="708">
        <f>'Part III A-Sources of Funds'!J34</f>
        <v>0.01</v>
      </c>
      <c r="K387" s="708">
        <f>'Part III A-Sources of Funds'!K34</f>
        <v>20</v>
      </c>
      <c r="L387" s="708">
        <f>'Part III A-Sources of Funds'!L34</f>
        <v>30</v>
      </c>
      <c r="M387" s="708" t="str">
        <f>'Part III A-Sources of Funds'!M34</f>
        <v/>
      </c>
      <c r="O387" s="708" t="str">
        <f>'Part III A-Sources of Funds'!O34</f>
        <v>DCA HOME IPS</v>
      </c>
      <c r="Q387" s="708">
        <f>'Part III A-Sources of Funds'!Q34</f>
        <v>1.4</v>
      </c>
    </row>
    <row r="388" spans="2:19">
      <c r="B388" s="708" t="s">
        <v>1231</v>
      </c>
      <c r="C388" s="708">
        <f>'Part III A-Sources of Funds'!C35</f>
        <v>0</v>
      </c>
      <c r="E388" s="708">
        <f>'Part III A-Sources of Funds'!E35</f>
        <v>0</v>
      </c>
      <c r="H388" s="708">
        <f>'Part III A-Sources of Funds'!H35</f>
        <v>0</v>
      </c>
      <c r="J388" s="708">
        <f>'Part III A-Sources of Funds'!J35</f>
        <v>0</v>
      </c>
      <c r="K388" s="708">
        <f>'Part III A-Sources of Funds'!K35</f>
        <v>0</v>
      </c>
      <c r="L388" s="708">
        <f>'Part III A-Sources of Funds'!L35</f>
        <v>0</v>
      </c>
      <c r="M388" s="708" t="str">
        <f>'Part III A-Sources of Funds'!M35</f>
        <v/>
      </c>
      <c r="O388" s="708">
        <f>'Part III A-Sources of Funds'!O35</f>
        <v>0</v>
      </c>
      <c r="Q388" s="708">
        <f>'Part III A-Sources of Funds'!Q35</f>
        <v>0</v>
      </c>
    </row>
    <row r="389" spans="2:19">
      <c r="B389" s="708" t="s">
        <v>2086</v>
      </c>
      <c r="E389" s="708">
        <f>'Part III A-Sources of Funds'!E36</f>
        <v>0</v>
      </c>
      <c r="H389" s="708">
        <f>'Part III A-Sources of Funds'!H36</f>
        <v>0</v>
      </c>
      <c r="J389" s="708">
        <f>'Part III A-Sources of Funds'!J36</f>
        <v>0</v>
      </c>
      <c r="K389" s="708">
        <f>'Part III A-Sources of Funds'!K36</f>
        <v>0</v>
      </c>
      <c r="L389" s="708">
        <f>'Part III A-Sources of Funds'!L36</f>
        <v>0</v>
      </c>
      <c r="M389" s="708" t="str">
        <f>'Part III A-Sources of Funds'!M36</f>
        <v/>
      </c>
      <c r="O389" s="708">
        <f>'Part III A-Sources of Funds'!O36</f>
        <v>0</v>
      </c>
      <c r="Q389" s="708">
        <f>'Part III A-Sources of Funds'!Q36</f>
        <v>0</v>
      </c>
    </row>
    <row r="390" spans="2:19">
      <c r="B390" s="708" t="s">
        <v>292</v>
      </c>
      <c r="D390" s="708" t="str">
        <f>'Part III A-Sources of Funds'!D37</f>
        <v/>
      </c>
      <c r="E390" s="708">
        <f>'Part III A-Sources of Funds'!E37</f>
        <v>0</v>
      </c>
      <c r="H390" s="708">
        <f>'Part III A-Sources of Funds'!H37</f>
        <v>0</v>
      </c>
      <c r="J390" s="708">
        <f>'Part III A-Sources of Funds'!J37</f>
        <v>0</v>
      </c>
      <c r="K390" s="708">
        <f>'Part III A-Sources of Funds'!K37</f>
        <v>0</v>
      </c>
      <c r="L390" s="708">
        <f>'Part III A-Sources of Funds'!L37</f>
        <v>0</v>
      </c>
      <c r="M390" s="708" t="str">
        <f>'Part III A-Sources of Funds'!M37</f>
        <v/>
      </c>
      <c r="O390" s="708">
        <f>'Part III A-Sources of Funds'!O37</f>
        <v>0</v>
      </c>
      <c r="Q390" s="708">
        <f>'Part III A-Sources of Funds'!Q37</f>
        <v>0</v>
      </c>
    </row>
    <row r="391" spans="2:19">
      <c r="B391" s="708" t="s">
        <v>3333</v>
      </c>
      <c r="E391" s="708">
        <f>'Part III A-Sources of Funds'!E38</f>
        <v>0</v>
      </c>
      <c r="H391" s="708">
        <f>'Part III A-Sources of Funds'!H38</f>
        <v>0</v>
      </c>
      <c r="S391" s="708" t="s">
        <v>809</v>
      </c>
    </row>
    <row r="392" spans="2:19">
      <c r="B392" s="708" t="s">
        <v>1384</v>
      </c>
      <c r="E392" s="708">
        <f>'Part III A-Sources of Funds'!E39</f>
        <v>0</v>
      </c>
      <c r="H392" s="708">
        <f>'Part III A-Sources of Funds'!H39</f>
        <v>0</v>
      </c>
      <c r="J392" s="708" t="s">
        <v>810</v>
      </c>
      <c r="L392" s="708" t="s">
        <v>811</v>
      </c>
      <c r="S392" s="708" t="s">
        <v>3864</v>
      </c>
    </row>
    <row r="393" spans="2:19">
      <c r="B393" s="708" t="s">
        <v>1385</v>
      </c>
      <c r="E393" s="708" t="str">
        <f>'Part III A-Sources of Funds'!E40</f>
        <v>Hunt Capital Partners</v>
      </c>
      <c r="H393" s="708">
        <f>'Part III A-Sources of Funds'!H40</f>
        <v>6502600</v>
      </c>
      <c r="J393" s="708">
        <f>'Part IV-Uses of Funds'!$J$165*10*'Part IV-Uses of Funds'!$N$158</f>
        <v>6502600</v>
      </c>
      <c r="L393" s="708">
        <f>H393-J393</f>
        <v>0</v>
      </c>
      <c r="M393" s="708" t="s">
        <v>2538</v>
      </c>
      <c r="S393" s="708">
        <f>H393/H403</f>
        <v>0.62342354883562767</v>
      </c>
    </row>
    <row r="394" spans="2:19">
      <c r="B394" s="708" t="s">
        <v>1386</v>
      </c>
      <c r="E394" s="708" t="str">
        <f>'Part III A-Sources of Funds'!E41</f>
        <v>Hunt Capital Partners</v>
      </c>
      <c r="H394" s="708">
        <f>'Part III A-Sources of Funds'!H41</f>
        <v>2387840</v>
      </c>
      <c r="J394" s="708">
        <f>'Part IV-Uses of Funds'!$J$165*10*'Part IV-Uses of Funds'!$Q$158</f>
        <v>2387840</v>
      </c>
      <c r="L394" s="708">
        <f>H394-J394</f>
        <v>0</v>
      </c>
      <c r="S394" s="708">
        <f>H394/H403</f>
        <v>0.22892930317898458</v>
      </c>
    </row>
    <row r="395" spans="2:19">
      <c r="B395" s="708" t="s">
        <v>2121</v>
      </c>
      <c r="E395" s="708">
        <f>'Part III A-Sources of Funds'!E42</f>
        <v>0</v>
      </c>
      <c r="H395" s="708">
        <f>'Part III A-Sources of Funds'!H42</f>
        <v>0</v>
      </c>
      <c r="M395" s="708" t="s">
        <v>3022</v>
      </c>
      <c r="N395" s="708" t="s">
        <v>3023</v>
      </c>
      <c r="O395" s="708">
        <v>8</v>
      </c>
      <c r="P395" s="708">
        <v>9</v>
      </c>
      <c r="Q395" s="708">
        <v>10</v>
      </c>
      <c r="S395" s="708">
        <f>SUM(S393:S394)</f>
        <v>0.85235285201461219</v>
      </c>
    </row>
    <row r="396" spans="2:19">
      <c r="B396" s="708" t="s">
        <v>825</v>
      </c>
      <c r="E396" s="708">
        <f>'Part III A-Sources of Funds'!E43</f>
        <v>0</v>
      </c>
      <c r="H396" s="708">
        <f>'Part III A-Sources of Funds'!H43</f>
        <v>0</v>
      </c>
      <c r="M396" s="708" t="s">
        <v>3024</v>
      </c>
      <c r="N396" s="708">
        <f>'Part III A-Sources of Funds'!N43</f>
        <v>0.01</v>
      </c>
      <c r="O396" s="708">
        <f>'Part III A-Sources of Funds'!O43</f>
        <v>5.0000000000000001E-3</v>
      </c>
      <c r="P396" s="708">
        <f>'Part III A-Sources of Funds'!P43</f>
        <v>5.0000000000000001E-3</v>
      </c>
      <c r="Q396" s="708">
        <f>'Part III A-Sources of Funds'!Q43</f>
        <v>5.0000000000000001E-3</v>
      </c>
    </row>
    <row r="397" spans="2:19">
      <c r="B397" s="708" t="s">
        <v>2925</v>
      </c>
      <c r="E397" s="708">
        <f>'Part III A-Sources of Funds'!E44</f>
        <v>0</v>
      </c>
      <c r="H397" s="708">
        <f>'Part III A-Sources of Funds'!H44</f>
        <v>0</v>
      </c>
      <c r="M397" s="708">
        <v>11</v>
      </c>
      <c r="N397" s="708">
        <v>12</v>
      </c>
      <c r="O397" s="708">
        <v>13</v>
      </c>
      <c r="P397" s="708">
        <v>14</v>
      </c>
      <c r="Q397" s="708">
        <v>15</v>
      </c>
    </row>
    <row r="398" spans="2:19">
      <c r="B398" s="708" t="s">
        <v>2926</v>
      </c>
      <c r="E398" s="708">
        <f>'Part III A-Sources of Funds'!E45</f>
        <v>0</v>
      </c>
      <c r="H398" s="708">
        <f>'Part III A-Sources of Funds'!H45</f>
        <v>0</v>
      </c>
      <c r="M398" s="708">
        <f>'Part III A-Sources of Funds'!M45</f>
        <v>5.0000000000000001E-3</v>
      </c>
      <c r="N398" s="708">
        <f>'Part III A-Sources of Funds'!N45</f>
        <v>5.0000000000000001E-3</v>
      </c>
      <c r="O398" s="708">
        <f>'Part III A-Sources of Funds'!O45</f>
        <v>5.0000000000000001E-3</v>
      </c>
      <c r="P398" s="708">
        <f>'Part III A-Sources of Funds'!P45</f>
        <v>5.0000000000000001E-3</v>
      </c>
      <c r="Q398" s="708">
        <f>'Part III A-Sources of Funds'!Q45</f>
        <v>5.0000000000000001E-3</v>
      </c>
    </row>
    <row r="399" spans="2:19">
      <c r="B399" s="708" t="s">
        <v>1231</v>
      </c>
      <c r="C399" s="708">
        <f>'Part III A-Sources of Funds'!C46</f>
        <v>0</v>
      </c>
      <c r="E399" s="708">
        <f>'Part III A-Sources of Funds'!E46</f>
        <v>0</v>
      </c>
      <c r="H399" s="708">
        <f>'Part III A-Sources of Funds'!H46</f>
        <v>0</v>
      </c>
      <c r="M399" s="708">
        <v>16</v>
      </c>
      <c r="N399" s="708">
        <v>17</v>
      </c>
      <c r="O399" s="708">
        <v>18</v>
      </c>
      <c r="P399" s="708">
        <v>19</v>
      </c>
      <c r="Q399" s="708">
        <v>20</v>
      </c>
    </row>
    <row r="400" spans="2:19">
      <c r="B400" s="708" t="s">
        <v>1231</v>
      </c>
      <c r="C400" s="708">
        <f>'Part III A-Sources of Funds'!C47</f>
        <v>0</v>
      </c>
      <c r="E400" s="708">
        <f>'Part III A-Sources of Funds'!E47</f>
        <v>0</v>
      </c>
      <c r="H400" s="708">
        <f>'Part III A-Sources of Funds'!H47</f>
        <v>0</v>
      </c>
      <c r="M400" s="708">
        <f>'Part III A-Sources of Funds'!M47</f>
        <v>2.5000000000000001E-3</v>
      </c>
      <c r="N400" s="708">
        <f>'Part III A-Sources of Funds'!N47</f>
        <v>2.5000000000000001E-3</v>
      </c>
      <c r="O400" s="708">
        <f>'Part III A-Sources of Funds'!O47</f>
        <v>2.5000000000000001E-3</v>
      </c>
      <c r="P400" s="708">
        <f>'Part III A-Sources of Funds'!P47</f>
        <v>2.5000000000000001E-3</v>
      </c>
      <c r="Q400" s="708">
        <f>'Part III A-Sources of Funds'!Q47</f>
        <v>2.5000000000000001E-3</v>
      </c>
    </row>
    <row r="401" spans="1:17">
      <c r="B401" s="708" t="s">
        <v>1231</v>
      </c>
      <c r="C401" s="708">
        <f>'Part III A-Sources of Funds'!C48</f>
        <v>0</v>
      </c>
      <c r="E401" s="708">
        <f>'Part III A-Sources of Funds'!E48</f>
        <v>0</v>
      </c>
      <c r="H401" s="708">
        <f>'Part III A-Sources of Funds'!H48</f>
        <v>0</v>
      </c>
      <c r="M401" s="708">
        <v>21</v>
      </c>
      <c r="N401" s="708">
        <v>22</v>
      </c>
      <c r="O401" s="708">
        <v>23</v>
      </c>
      <c r="P401" s="708">
        <v>24</v>
      </c>
      <c r="Q401" s="708">
        <v>25</v>
      </c>
    </row>
    <row r="402" spans="1:17">
      <c r="B402" s="708" t="s">
        <v>3334</v>
      </c>
      <c r="H402" s="708">
        <f>SUM(H385:I401)</f>
        <v>10430469</v>
      </c>
      <c r="M402" s="708">
        <f>'Part III A-Sources of Funds'!M49</f>
        <v>0</v>
      </c>
      <c r="N402" s="708">
        <f>'Part III A-Sources of Funds'!N49</f>
        <v>0</v>
      </c>
      <c r="O402" s="708">
        <f>'Part III A-Sources of Funds'!O49</f>
        <v>0</v>
      </c>
      <c r="P402" s="708">
        <f>'Part III A-Sources of Funds'!P49</f>
        <v>0</v>
      </c>
      <c r="Q402" s="708">
        <f>'Part III A-Sources of Funds'!Q49</f>
        <v>0</v>
      </c>
    </row>
    <row r="403" spans="1:17">
      <c r="B403" s="708" t="s">
        <v>3335</v>
      </c>
      <c r="H403" s="708">
        <f>'Part IV-Uses of Funds'!$G$123</f>
        <v>10430469</v>
      </c>
      <c r="M403" s="708">
        <v>26</v>
      </c>
      <c r="N403" s="708">
        <v>27</v>
      </c>
      <c r="O403" s="708">
        <v>28</v>
      </c>
      <c r="P403" s="708">
        <v>29</v>
      </c>
      <c r="Q403" s="708">
        <v>30</v>
      </c>
    </row>
    <row r="404" spans="1:17">
      <c r="B404" s="708" t="s">
        <v>2277</v>
      </c>
      <c r="H404" s="708">
        <f>H402-H403</f>
        <v>0</v>
      </c>
      <c r="M404" s="708">
        <f>'Part III A-Sources of Funds'!M51</f>
        <v>0</v>
      </c>
      <c r="N404" s="708">
        <f>'Part III A-Sources of Funds'!N51</f>
        <v>0</v>
      </c>
      <c r="O404" s="708">
        <f>'Part III A-Sources of Funds'!O51</f>
        <v>0</v>
      </c>
      <c r="P404" s="708">
        <f>'Part III A-Sources of Funds'!P51</f>
        <v>0</v>
      </c>
      <c r="Q404" s="708">
        <f>'Part III A-Sources of Funds'!Q51</f>
        <v>0</v>
      </c>
    </row>
    <row r="406" spans="1:17">
      <c r="A406" s="708" t="s">
        <v>2824</v>
      </c>
      <c r="B406" s="708" t="s">
        <v>880</v>
      </c>
      <c r="K406" s="708" t="s">
        <v>2824</v>
      </c>
      <c r="L406" s="708" t="s">
        <v>89</v>
      </c>
    </row>
    <row r="408" spans="1:17">
      <c r="A408" s="708">
        <f>'Part III A-Sources of Funds'!A55</f>
        <v>0</v>
      </c>
      <c r="K408" s="708">
        <f>'Part III A-Sources of Funds'!K55</f>
        <v>0</v>
      </c>
    </row>
    <row r="409" spans="1:17">
      <c r="A409" s="708">
        <f>'Part III A-Sources of Funds'!A56</f>
        <v>0</v>
      </c>
      <c r="K409" s="708">
        <f>'Part III A-Sources of Funds'!K56</f>
        <v>0</v>
      </c>
    </row>
    <row r="410" spans="1:17">
      <c r="A410" s="708" t="str">
        <f>'Part III A-Sources of Funds'!A57</f>
        <v>Please note that we received a Georgia DCA HOME Loan consent in the amount listed at the top of Page 1, $1,628,524.  At application for the HOME Loan, we notified DCA that we were in the process of attempting to tranfer the AHP from the prior sponsor for Brentwood Place, to In-Fill Housing, Inc., and upon successful approval of the transfer, we could lower the HOME Loan request.  We were informed on June 21, 2011 that the FHLBA has approved the transfer of the sponsor to In-Fill Housing, Inc.  Therefore we have decreased the amount of the HOME Loan to the amount shown above.</v>
      </c>
      <c r="K410" s="708">
        <f>'Part III A-Sources of Funds'!K57</f>
        <v>0</v>
      </c>
    </row>
    <row r="411" spans="1:17">
      <c r="A411" s="708">
        <f>'Part III A-Sources of Funds'!A58</f>
        <v>0</v>
      </c>
      <c r="K411" s="708">
        <f>'Part III A-Sources of Funds'!K58</f>
        <v>0</v>
      </c>
    </row>
    <row r="414" spans="1:17" ht="16.149999999999999" customHeight="1">
      <c r="A414" s="708" t="str">
        <f>CONCATENATE("PART III B: USD 538 LOAN","  -  ",'Part I-Project Information'!$O$4," ",'Part I-Project Information'!$F$22,", ",'Part I-Project Information'!$F$24,", ",'Part I-Project Information'!$J$25," County")</f>
        <v>PART III B: USD 538 LOAN  -  2011-044 Brentwood Place Apartments, Forsyth, Monroe County</v>
      </c>
    </row>
    <row r="415" spans="1:17" ht="10.9" customHeight="1"/>
    <row r="416" spans="1:17" ht="14.45" customHeight="1">
      <c r="A416" s="708" t="s">
        <v>278</v>
      </c>
    </row>
    <row r="417" spans="1:5" ht="6" customHeight="1"/>
    <row r="418" spans="1:5">
      <c r="A418" s="708" t="s">
        <v>3386</v>
      </c>
      <c r="C418" s="708">
        <f>'Part III B-USDA 538 Loan'!C5</f>
        <v>0</v>
      </c>
      <c r="D418" s="708">
        <f>IF(C418&gt;1500000,1500000,0)</f>
        <v>0</v>
      </c>
      <c r="E418" s="708">
        <f>IF(C418&gt;1500000,C418-1500000,0)</f>
        <v>0</v>
      </c>
    </row>
    <row r="419" spans="1:5">
      <c r="A419" s="708" t="s">
        <v>3735</v>
      </c>
      <c r="B419" s="708" t="s">
        <v>746</v>
      </c>
      <c r="C419" s="708">
        <v>0</v>
      </c>
      <c r="D419" s="708" t="s">
        <v>747</v>
      </c>
    </row>
    <row r="420" spans="1:5">
      <c r="B420" s="708" t="s">
        <v>3751</v>
      </c>
      <c r="C420" s="708">
        <f>'Part III B-USDA 538 Loan'!C7</f>
        <v>0</v>
      </c>
      <c r="D420" s="708" t="s">
        <v>2660</v>
      </c>
    </row>
    <row r="421" spans="1:5" ht="13.15" customHeight="1">
      <c r="A421" s="708" t="s">
        <v>3739</v>
      </c>
      <c r="C421" s="708">
        <v>0</v>
      </c>
      <c r="D421" s="708" t="s">
        <v>2661</v>
      </c>
    </row>
    <row r="422" spans="1:5">
      <c r="A422" s="708" t="s">
        <v>2094</v>
      </c>
      <c r="C422" s="708">
        <f>'Part III B-USDA 538 Loan'!C9</f>
        <v>0</v>
      </c>
    </row>
    <row r="423" spans="1:5">
      <c r="A423" s="708" t="s">
        <v>2095</v>
      </c>
      <c r="C423" s="708">
        <f>'Part III B-USDA 538 Loan'!C10</f>
        <v>0</v>
      </c>
    </row>
    <row r="424" spans="1:5">
      <c r="A424" s="708" t="s">
        <v>2092</v>
      </c>
      <c r="C424" s="708" t="e">
        <f>PMT(C420/12,C423*12,-C418,0,0)*12</f>
        <v>#DIV/0!</v>
      </c>
      <c r="D424" s="708" t="e">
        <f>PMT($C$7/12,$C$10*12,-D418,0,0)*12</f>
        <v>#DIV/0!</v>
      </c>
      <c r="E424" s="708" t="e">
        <f>PMT($C$7/12,$C$10*12,-E418,0,0)*12</f>
        <v>#DIV/0!</v>
      </c>
    </row>
    <row r="425" spans="1:5">
      <c r="A425" s="708" t="s">
        <v>2093</v>
      </c>
      <c r="C425" s="708" t="e">
        <f>C424/12</f>
        <v>#DIV/0!</v>
      </c>
      <c r="D425" s="708" t="e">
        <f>D424/12</f>
        <v>#DIV/0!</v>
      </c>
      <c r="E425" s="708" t="e">
        <f>E424/12</f>
        <v>#DIV/0!</v>
      </c>
    </row>
    <row r="426" spans="1:5" ht="10.9" customHeight="1"/>
    <row r="427" spans="1:5" ht="12.6" customHeight="1">
      <c r="A427" s="708" t="s">
        <v>143</v>
      </c>
    </row>
    <row r="428" spans="1:5" ht="5.45" customHeight="1"/>
    <row r="429" spans="1:5" ht="13.15" customHeight="1">
      <c r="A429" s="708" t="s">
        <v>3753</v>
      </c>
      <c r="B429" s="708" t="s">
        <v>3749</v>
      </c>
      <c r="C429" s="708" t="s">
        <v>3750</v>
      </c>
      <c r="D429" s="708" t="s">
        <v>3385</v>
      </c>
    </row>
    <row r="430" spans="1:5" ht="12.6" customHeight="1">
      <c r="A430" s="708">
        <v>1</v>
      </c>
      <c r="B430" s="708">
        <f>IF(A430&gt;$C$9,0,SUM(C477:C488)*($C$6/$C$7))</f>
        <v>0</v>
      </c>
      <c r="C430" s="708">
        <f>IF(A430&gt;C422,0,(E476+K476)*$C$8)</f>
        <v>0</v>
      </c>
      <c r="D430" s="708">
        <f t="shared" ref="D430:D469" si="0">IF(A430&gt;$C$9,0,$C$11+C430)</f>
        <v>0</v>
      </c>
    </row>
    <row r="431" spans="1:5" ht="12.6" customHeight="1">
      <c r="A431" s="708">
        <v>2</v>
      </c>
      <c r="B431" s="708">
        <f>IF(A431&gt;C422,0,SUM(C489:C500)*($C$6/$C$7))</f>
        <v>0</v>
      </c>
      <c r="C431" s="708">
        <f>IF(A431&gt;C422,0,(E488+K488)*$C$8)</f>
        <v>0</v>
      </c>
      <c r="D431" s="708">
        <f t="shared" si="0"/>
        <v>0</v>
      </c>
    </row>
    <row r="432" spans="1:5" ht="12.6" customHeight="1">
      <c r="A432" s="708">
        <v>3</v>
      </c>
      <c r="B432" s="708">
        <f>IF(A432&gt;C422,0,SUM(C501:C512)*($C$6/$C$7))</f>
        <v>0</v>
      </c>
      <c r="C432" s="708">
        <f>IF(A432&gt;C422,0,(E500+K500)*$C$8)</f>
        <v>0</v>
      </c>
      <c r="D432" s="708">
        <f t="shared" si="0"/>
        <v>0</v>
      </c>
    </row>
    <row r="433" spans="1:4" ht="12.6" customHeight="1">
      <c r="A433" s="708">
        <v>4</v>
      </c>
      <c r="B433" s="708">
        <f>IF(A433&gt;C422,0,SUM(C513:C524)*($C$6/$C$7))</f>
        <v>0</v>
      </c>
      <c r="C433" s="708">
        <f>IF(A433&gt;C422,0,(E512+K512)*$C$8)</f>
        <v>0</v>
      </c>
      <c r="D433" s="708">
        <f t="shared" si="0"/>
        <v>0</v>
      </c>
    </row>
    <row r="434" spans="1:4" ht="12.6" customHeight="1">
      <c r="A434" s="708">
        <v>5</v>
      </c>
      <c r="B434" s="708">
        <f>IF(A434&gt;C422,0,SUM(C525:C536)*($C$6/$C$7))</f>
        <v>0</v>
      </c>
      <c r="C434" s="708">
        <f>IF(A434&gt;C422,0,(E524+K524)*$C$8)</f>
        <v>0</v>
      </c>
      <c r="D434" s="708">
        <f t="shared" si="0"/>
        <v>0</v>
      </c>
    </row>
    <row r="435" spans="1:4" ht="12.6" customHeight="1">
      <c r="A435" s="708">
        <v>6</v>
      </c>
      <c r="B435" s="708">
        <f>IF(A435&gt;C422,0,SUM(C537:C548)*($C$6/$C$7))</f>
        <v>0</v>
      </c>
      <c r="C435" s="708">
        <f>IF(A435&gt;C422,0,(E536+K536)*$C$8)</f>
        <v>0</v>
      </c>
      <c r="D435" s="708">
        <f t="shared" si="0"/>
        <v>0</v>
      </c>
    </row>
    <row r="436" spans="1:4" ht="12.6" customHeight="1">
      <c r="A436" s="708">
        <v>7</v>
      </c>
      <c r="B436" s="708">
        <f>IF(A436&gt;C422,0,SUM(C549:C560)*($C$6/$C$7))</f>
        <v>0</v>
      </c>
      <c r="C436" s="708">
        <f>IF(A436&gt;C422,0,(E548+K548)*$C$8)</f>
        <v>0</v>
      </c>
      <c r="D436" s="708">
        <f t="shared" si="0"/>
        <v>0</v>
      </c>
    </row>
    <row r="437" spans="1:4" ht="12.6" customHeight="1">
      <c r="A437" s="708">
        <v>8</v>
      </c>
      <c r="B437" s="708">
        <f>IF(A437&gt;C422,0,SUM(C561:C572)*($C$6/$C$7))</f>
        <v>0</v>
      </c>
      <c r="C437" s="708">
        <f>IF(A437&gt;C422,0,(E560+K560)*$C$8)</f>
        <v>0</v>
      </c>
      <c r="D437" s="708">
        <f t="shared" si="0"/>
        <v>0</v>
      </c>
    </row>
    <row r="438" spans="1:4" ht="12.6" customHeight="1">
      <c r="A438" s="708">
        <v>9</v>
      </c>
      <c r="B438" s="708">
        <f>IF(A438&gt;C422,0,SUM(C573:C584)*($C$6/$C$7))</f>
        <v>0</v>
      </c>
      <c r="C438" s="708">
        <f>IF(A438&gt;C422,0,(E572+K572)*$C$8)</f>
        <v>0</v>
      </c>
      <c r="D438" s="708">
        <f t="shared" si="0"/>
        <v>0</v>
      </c>
    </row>
    <row r="439" spans="1:4" ht="12.6" customHeight="1">
      <c r="A439" s="708">
        <v>10</v>
      </c>
      <c r="B439" s="708">
        <f>IF(A439&gt;C422,0,SUM(C585:C596)*($C$6/$C$7))</f>
        <v>0</v>
      </c>
      <c r="C439" s="708">
        <f>IF(A439&gt;C422,0,(E584+K584)*$C$8)</f>
        <v>0</v>
      </c>
      <c r="D439" s="708">
        <f t="shared" si="0"/>
        <v>0</v>
      </c>
    </row>
    <row r="440" spans="1:4" ht="12.6" customHeight="1">
      <c r="A440" s="708">
        <v>11</v>
      </c>
      <c r="B440" s="708">
        <f>IF(A440&gt;C422,0,SUM(C597:C608)*($C$6/$C$7))</f>
        <v>0</v>
      </c>
      <c r="C440" s="708">
        <f>IF(A440&gt;C422,0,(E596+K596)*$C$8)</f>
        <v>0</v>
      </c>
      <c r="D440" s="708">
        <f t="shared" si="0"/>
        <v>0</v>
      </c>
    </row>
    <row r="441" spans="1:4" ht="12.6" customHeight="1">
      <c r="A441" s="708">
        <v>12</v>
      </c>
      <c r="B441" s="708">
        <f>IF(A441&gt;C422,0,SUM(C609:C620)*($C$6/$C$7))</f>
        <v>0</v>
      </c>
      <c r="C441" s="708">
        <f>IF(A441&gt;C422,0,(E608+K608)*$C$8)</f>
        <v>0</v>
      </c>
      <c r="D441" s="708">
        <f t="shared" si="0"/>
        <v>0</v>
      </c>
    </row>
    <row r="442" spans="1:4" ht="12.6" customHeight="1">
      <c r="A442" s="708">
        <v>13</v>
      </c>
      <c r="B442" s="708">
        <f>IF(A442&gt;C422,0,SUM(C621:C632)*($C$6/$C$7))</f>
        <v>0</v>
      </c>
      <c r="C442" s="708">
        <f>IF(A442&gt;C422,0,(E620+K620)*$C$8)</f>
        <v>0</v>
      </c>
      <c r="D442" s="708">
        <f t="shared" si="0"/>
        <v>0</v>
      </c>
    </row>
    <row r="443" spans="1:4" ht="12.6" customHeight="1">
      <c r="A443" s="708">
        <v>14</v>
      </c>
      <c r="B443" s="708">
        <f>IF(A443&gt;C422,0,SUM(C633:C644)*($C$6/$C$7))</f>
        <v>0</v>
      </c>
      <c r="C443" s="708">
        <f>IF(A443&gt;C422,0,(E632+K632)*$C$8)</f>
        <v>0</v>
      </c>
      <c r="D443" s="708">
        <f t="shared" si="0"/>
        <v>0</v>
      </c>
    </row>
    <row r="444" spans="1:4" ht="12.6" customHeight="1">
      <c r="A444" s="708">
        <v>15</v>
      </c>
      <c r="B444" s="708">
        <f>IF(A444&gt;C422,0,SUM(C645:C656)*($C$6/$C$7))</f>
        <v>0</v>
      </c>
      <c r="C444" s="708">
        <f>IF(A444&gt;C422,0,(E644+K644)*$C$8)</f>
        <v>0</v>
      </c>
      <c r="D444" s="708">
        <f t="shared" si="0"/>
        <v>0</v>
      </c>
    </row>
    <row r="445" spans="1:4" ht="12.6" customHeight="1">
      <c r="A445" s="708">
        <v>16</v>
      </c>
      <c r="B445" s="708">
        <f>IF(A445&gt;C422,0,SUM(C657:C668)*($C$6/$C$7))</f>
        <v>0</v>
      </c>
      <c r="C445" s="708">
        <f>IF(A445&gt;C422,0,(E656+K656)*$C$8)</f>
        <v>0</v>
      </c>
      <c r="D445" s="708">
        <f t="shared" si="0"/>
        <v>0</v>
      </c>
    </row>
    <row r="446" spans="1:4" ht="12.6" customHeight="1">
      <c r="A446" s="708">
        <v>17</v>
      </c>
      <c r="B446" s="708">
        <f>IF(A446&gt;C422,0,SUM(C669:C680)*($C$6/$C$7))</f>
        <v>0</v>
      </c>
      <c r="C446" s="708">
        <f>IF(A446&gt;C422,0,(E668+K668)*$C$8)</f>
        <v>0</v>
      </c>
      <c r="D446" s="708">
        <f t="shared" si="0"/>
        <v>0</v>
      </c>
    </row>
    <row r="447" spans="1:4" ht="12.6" customHeight="1">
      <c r="A447" s="708">
        <v>18</v>
      </c>
      <c r="B447" s="708">
        <f>IF(A447&gt;C422,0,SUM(C681:C692)*($C$6/$C$7))</f>
        <v>0</v>
      </c>
      <c r="C447" s="708">
        <f>IF(A447&gt;C422,0,(E680+K680)*$C$8)</f>
        <v>0</v>
      </c>
      <c r="D447" s="708">
        <f t="shared" si="0"/>
        <v>0</v>
      </c>
    </row>
    <row r="448" spans="1:4" ht="12.6" customHeight="1">
      <c r="A448" s="708">
        <v>19</v>
      </c>
      <c r="B448" s="708">
        <f>IF(A448&gt;C422,0,SUM(C693:C704)*($C$6/$C$7))</f>
        <v>0</v>
      </c>
      <c r="C448" s="708">
        <f>IF(A448&gt;C422,0,(E692+K692)*$C$8)</f>
        <v>0</v>
      </c>
      <c r="D448" s="708">
        <f t="shared" si="0"/>
        <v>0</v>
      </c>
    </row>
    <row r="449" spans="1:4" ht="12.6" customHeight="1">
      <c r="A449" s="708">
        <v>20</v>
      </c>
      <c r="B449" s="708">
        <f>IF(A449&gt;C422,0,SUM(C705:C716)*($C$6/$C$7))</f>
        <v>0</v>
      </c>
      <c r="C449" s="708">
        <f>IF(A449&gt;C422,0,(E704+K704)*$C$8)</f>
        <v>0</v>
      </c>
      <c r="D449" s="708">
        <f t="shared" si="0"/>
        <v>0</v>
      </c>
    </row>
    <row r="450" spans="1:4" ht="12.6" customHeight="1">
      <c r="A450" s="708">
        <v>21</v>
      </c>
      <c r="B450" s="708">
        <f>IF(A450&gt;C422,0,SUM(C706:C717)*($C$6/$C$7))</f>
        <v>0</v>
      </c>
      <c r="C450" s="708">
        <f>IF(A450&gt;C422,0,(E716+K716)*$C$8)</f>
        <v>0</v>
      </c>
      <c r="D450" s="708">
        <f t="shared" si="0"/>
        <v>0</v>
      </c>
    </row>
    <row r="451" spans="1:4" ht="12.6" customHeight="1">
      <c r="A451" s="708">
        <v>22</v>
      </c>
      <c r="B451" s="708">
        <f>IF(A451&gt;C422,0,SUM(C707:C718)*($C$6/$C$7))</f>
        <v>0</v>
      </c>
      <c r="C451" s="708">
        <f>IF(A451&gt;C422,0,(E728+K728)*$C$8)</f>
        <v>0</v>
      </c>
      <c r="D451" s="708">
        <f t="shared" si="0"/>
        <v>0</v>
      </c>
    </row>
    <row r="452" spans="1:4" ht="12.6" customHeight="1">
      <c r="A452" s="708">
        <v>23</v>
      </c>
      <c r="B452" s="708">
        <f>IF(A452&gt;C422,0,SUM(C708:C719)*($C$6/$C$7))</f>
        <v>0</v>
      </c>
      <c r="C452" s="708">
        <f>IF(A452&gt;C422,0,(E740+K740)*$C$8)</f>
        <v>0</v>
      </c>
      <c r="D452" s="708">
        <f t="shared" si="0"/>
        <v>0</v>
      </c>
    </row>
    <row r="453" spans="1:4" ht="12.6" customHeight="1">
      <c r="A453" s="708">
        <v>24</v>
      </c>
      <c r="B453" s="708">
        <f>IF(A453&gt;C422,0,SUM(C709:C720)*($C$6/$C$7))</f>
        <v>0</v>
      </c>
      <c r="C453" s="708">
        <f>IF(A453&gt;C422,0,(E752+K752)*$C$8)</f>
        <v>0</v>
      </c>
      <c r="D453" s="708">
        <f t="shared" si="0"/>
        <v>0</v>
      </c>
    </row>
    <row r="454" spans="1:4" ht="12.6" customHeight="1">
      <c r="A454" s="708">
        <v>25</v>
      </c>
      <c r="B454" s="708">
        <f>IF(A454&gt;C422,0,SUM(C710:C721)*($C$6/$C$7))</f>
        <v>0</v>
      </c>
      <c r="C454" s="708">
        <f>IF(A454&gt;C422,0,(E764+K764)*$C$8)</f>
        <v>0</v>
      </c>
      <c r="D454" s="708">
        <f t="shared" si="0"/>
        <v>0</v>
      </c>
    </row>
    <row r="455" spans="1:4" ht="12.6" customHeight="1">
      <c r="A455" s="708">
        <v>26</v>
      </c>
      <c r="B455" s="708">
        <f>IF(A455&gt;C422,0,SUM(C711:C722)*($C$6/$C$7))</f>
        <v>0</v>
      </c>
      <c r="C455" s="708">
        <f>IF(A455&gt;C422,0,(E776+K776)*$C$8)</f>
        <v>0</v>
      </c>
      <c r="D455" s="708">
        <f t="shared" si="0"/>
        <v>0</v>
      </c>
    </row>
    <row r="456" spans="1:4" ht="12.6" customHeight="1">
      <c r="A456" s="708">
        <v>27</v>
      </c>
      <c r="B456" s="708">
        <f>IF(A456&gt;C422,0,SUM(C712:C723)*($C$6/$C$7))</f>
        <v>0</v>
      </c>
      <c r="C456" s="708">
        <f>IF(A456&gt;C422,0,(E788+K788)*$C$8)</f>
        <v>0</v>
      </c>
      <c r="D456" s="708">
        <f t="shared" si="0"/>
        <v>0</v>
      </c>
    </row>
    <row r="457" spans="1:4" ht="12.6" customHeight="1">
      <c r="A457" s="708">
        <v>28</v>
      </c>
      <c r="B457" s="708">
        <f>IF(A457&gt;C422,0,SUM(C713:C724)*($C$6/$C$7))</f>
        <v>0</v>
      </c>
      <c r="C457" s="708">
        <f>IF(A457&gt;C422,0,(E800+K800)*$C$8)</f>
        <v>0</v>
      </c>
      <c r="D457" s="708">
        <f t="shared" si="0"/>
        <v>0</v>
      </c>
    </row>
    <row r="458" spans="1:4" ht="12.6" customHeight="1">
      <c r="A458" s="708">
        <v>29</v>
      </c>
      <c r="B458" s="708">
        <f>IF(A458&gt;C422,0,SUM(C714:C725)*($C$6/$C$7))</f>
        <v>0</v>
      </c>
      <c r="C458" s="708">
        <f>IF(A458&gt;C422,0,(E824+K824)*$C$8)</f>
        <v>0</v>
      </c>
      <c r="D458" s="708">
        <f t="shared" si="0"/>
        <v>0</v>
      </c>
    </row>
    <row r="459" spans="1:4" ht="12.6" customHeight="1">
      <c r="A459" s="708">
        <v>30</v>
      </c>
      <c r="B459" s="708">
        <f>IF(A459&gt;C422,0,SUM(C715:C726)*($C$6/$C$7))</f>
        <v>0</v>
      </c>
      <c r="C459" s="708">
        <f>IF(A459&gt;C422,0,(E836+K836)*$C$8)</f>
        <v>0</v>
      </c>
      <c r="D459" s="708">
        <f t="shared" si="0"/>
        <v>0</v>
      </c>
    </row>
    <row r="460" spans="1:4" ht="12.6" customHeight="1">
      <c r="A460" s="708">
        <v>31</v>
      </c>
      <c r="B460" s="708">
        <f>IF(A460&gt;C422,0,SUM(C716:C727)*($C$6/$C$7))</f>
        <v>0</v>
      </c>
      <c r="C460" s="708">
        <f>IF(A460&gt;C422,0,(E848+K848)*$C$8)</f>
        <v>0</v>
      </c>
      <c r="D460" s="708">
        <f t="shared" si="0"/>
        <v>0</v>
      </c>
    </row>
    <row r="461" spans="1:4" ht="12.6" customHeight="1">
      <c r="A461" s="708">
        <v>32</v>
      </c>
      <c r="B461" s="708">
        <f>IF(A461&gt;C422,0,SUM(C717:C728)*($C$6/$C$7))</f>
        <v>0</v>
      </c>
      <c r="C461" s="708">
        <f>IF(A461&gt;C422,0,(E860+K860)*$C$8)</f>
        <v>0</v>
      </c>
      <c r="D461" s="708">
        <f t="shared" si="0"/>
        <v>0</v>
      </c>
    </row>
    <row r="462" spans="1:4" ht="12.6" customHeight="1">
      <c r="A462" s="708">
        <v>33</v>
      </c>
      <c r="B462" s="708">
        <f>IF(A462&gt;C422,0,SUM(C718:C729)*($C$6/$C$7))</f>
        <v>0</v>
      </c>
      <c r="C462" s="708">
        <f>IF(A462&gt;C422,0,(E872+K872)*$C$8)</f>
        <v>0</v>
      </c>
      <c r="D462" s="708">
        <f t="shared" si="0"/>
        <v>0</v>
      </c>
    </row>
    <row r="463" spans="1:4" ht="12.6" customHeight="1">
      <c r="A463" s="708">
        <v>34</v>
      </c>
      <c r="B463" s="708">
        <f>IF(A463&gt;C422,0,SUM(C719:C730)*($C$6/$C$7))</f>
        <v>0</v>
      </c>
      <c r="C463" s="708">
        <f>IF(A463&gt;C422,0,(E884+K884)*$C$8)</f>
        <v>0</v>
      </c>
      <c r="D463" s="708">
        <f t="shared" si="0"/>
        <v>0</v>
      </c>
    </row>
    <row r="464" spans="1:4" ht="12.6" customHeight="1">
      <c r="A464" s="708">
        <v>35</v>
      </c>
      <c r="B464" s="708">
        <f>IF(A464&gt;C422,0,SUM(C720:C731)*($C$6/$C$7))</f>
        <v>0</v>
      </c>
      <c r="C464" s="708">
        <f>IF(A464&gt;C422,0,(E896+K896)*$C$8)</f>
        <v>0</v>
      </c>
      <c r="D464" s="708">
        <f t="shared" si="0"/>
        <v>0</v>
      </c>
    </row>
    <row r="465" spans="1:12" ht="12.6" customHeight="1">
      <c r="A465" s="708">
        <v>36</v>
      </c>
      <c r="B465" s="708">
        <f>IF(A465&gt;C422,0,SUM(C721:C732)*($C$6/$C$7))</f>
        <v>0</v>
      </c>
      <c r="C465" s="708">
        <f>IF(A465&gt;C422,0,(E908+K908)*$C$8)</f>
        <v>0</v>
      </c>
      <c r="D465" s="708">
        <f t="shared" si="0"/>
        <v>0</v>
      </c>
    </row>
    <row r="466" spans="1:12" ht="12.6" customHeight="1">
      <c r="A466" s="708">
        <v>37</v>
      </c>
      <c r="B466" s="708">
        <f>IF(A466&gt;C422,0,SUM(C722:C733)*($C$6/$C$7))</f>
        <v>0</v>
      </c>
      <c r="C466" s="708">
        <f>IF(A466&gt;C422,0,(E920+K920)*$C$8)</f>
        <v>0</v>
      </c>
      <c r="D466" s="708">
        <f t="shared" si="0"/>
        <v>0</v>
      </c>
    </row>
    <row r="467" spans="1:12" ht="12.6" customHeight="1">
      <c r="A467" s="708">
        <v>38</v>
      </c>
      <c r="B467" s="708">
        <f>IF(A467&gt;C422,0,SUM(C723:C734)*($C$6/$C$7))</f>
        <v>0</v>
      </c>
      <c r="C467" s="708">
        <f>IF(A467&gt;C422,0,(E932+K932)*$C$8)</f>
        <v>0</v>
      </c>
      <c r="D467" s="708">
        <f t="shared" si="0"/>
        <v>0</v>
      </c>
    </row>
    <row r="468" spans="1:12" ht="12.6" customHeight="1">
      <c r="A468" s="708">
        <v>39</v>
      </c>
      <c r="B468" s="708">
        <f>IF(A468&gt;C422,0,SUM(C724:C735)*($C$6/$C$7))</f>
        <v>0</v>
      </c>
      <c r="C468" s="708">
        <f>IF(A468&gt;C422,0,(E944+K944)*$C$8)</f>
        <v>0</v>
      </c>
      <c r="D468" s="708">
        <f t="shared" si="0"/>
        <v>0</v>
      </c>
    </row>
    <row r="469" spans="1:12" ht="12.6" customHeight="1">
      <c r="A469" s="708">
        <v>40</v>
      </c>
      <c r="B469" s="708">
        <f>IF(A469&gt;C422,0,SUM(C725:C736)*($C$6/$C$7))</f>
        <v>0</v>
      </c>
      <c r="C469" s="708">
        <f>IF(A469&gt;C422,0,(E956+K956)*$C$8)</f>
        <v>0</v>
      </c>
      <c r="D469" s="708">
        <f t="shared" si="0"/>
        <v>0</v>
      </c>
    </row>
    <row r="470" spans="1:12" ht="3.4" customHeight="1"/>
    <row r="471" spans="1:12" ht="13.15" customHeight="1">
      <c r="A471" s="708" t="str">
        <f>CONCATENATE('Part I-Project Information'!$O$4," ",'Part I-Project Information'!$F$22,", ",'Part I-Project Information'!$F$24,", ",'Part I-Project Information'!$J$25," County")</f>
        <v>2011-044 Brentwood Place Apartments, Forsyth, Monroe County</v>
      </c>
      <c r="G471" s="708" t="str">
        <f>CONCATENATE('Part I-Project Information'!$O$4," ",'Part I-Project Information'!$F$22,", ",'Part I-Project Information'!$F$24,", ",'Part I-Project Information'!$J$25," County")</f>
        <v>2011-044 Brentwood Place Apartments, Forsyth, Monroe County</v>
      </c>
    </row>
    <row r="472" spans="1:12">
      <c r="A472" s="708" t="s">
        <v>3743</v>
      </c>
      <c r="G472" s="708" t="s">
        <v>3743</v>
      </c>
    </row>
    <row r="473" spans="1:12" ht="6" customHeight="1"/>
    <row r="474" spans="1:12">
      <c r="A474" s="708" t="s">
        <v>3744</v>
      </c>
      <c r="B474" s="708" t="s">
        <v>3745</v>
      </c>
      <c r="C474" s="708" t="s">
        <v>1995</v>
      </c>
      <c r="D474" s="708" t="s">
        <v>3746</v>
      </c>
      <c r="E474" s="708" t="s">
        <v>3747</v>
      </c>
      <c r="F474" s="708" t="s">
        <v>3753</v>
      </c>
      <c r="G474" s="708" t="s">
        <v>3744</v>
      </c>
      <c r="H474" s="708" t="s">
        <v>3745</v>
      </c>
      <c r="I474" s="708" t="s">
        <v>1995</v>
      </c>
      <c r="J474" s="708" t="s">
        <v>3746</v>
      </c>
      <c r="K474" s="708" t="s">
        <v>3747</v>
      </c>
      <c r="L474" s="708" t="s">
        <v>3753</v>
      </c>
    </row>
    <row r="475" spans="1:12" ht="3.6" customHeight="1"/>
    <row r="476" spans="1:12">
      <c r="A476" s="708" t="s">
        <v>3748</v>
      </c>
      <c r="E476" s="708">
        <f>IF($C$5&gt;1500000,$D$5,$C$5)</f>
        <v>0</v>
      </c>
      <c r="G476" s="708" t="s">
        <v>3748</v>
      </c>
      <c r="K476" s="708">
        <f>IF($C$5&gt;1500000,$E$5,0)</f>
        <v>0</v>
      </c>
    </row>
    <row r="477" spans="1:12">
      <c r="A477" s="708">
        <v>1</v>
      </c>
      <c r="B477" s="708">
        <f t="shared" ref="B477:B540" si="1">IF(A477&gt;12*$C$9,0,IF($C$5&gt;1500000,$D$12,$C$12))</f>
        <v>0</v>
      </c>
      <c r="C477" s="708">
        <f t="shared" ref="C477:C540" si="2">IF(A477&gt;12*$C$9,0,E476*$C$7/12)</f>
        <v>0</v>
      </c>
      <c r="D477" s="708">
        <f t="shared" ref="D477:D540" si="3">IF(A477&gt;12*$C$9,0,B477-C477)</f>
        <v>0</v>
      </c>
      <c r="E477" s="708">
        <f t="shared" ref="E477:E540" si="4">IF(A477&gt;12*$C$9,0,E476-D477)</f>
        <v>0</v>
      </c>
      <c r="G477" s="708">
        <v>1</v>
      </c>
      <c r="H477" s="708">
        <f t="shared" ref="H477:H540" si="5">IF(G477&gt;12*$C$9,0,IF($C$5&gt;1500000,$E$12,0))</f>
        <v>0</v>
      </c>
      <c r="I477" s="708">
        <f t="shared" ref="I477:I540" si="6">IF(G477&gt;12*$C$9,0,K476*$C$7/12)</f>
        <v>0</v>
      </c>
      <c r="J477" s="708">
        <f t="shared" ref="J477:J540" si="7">IF(G477&gt;12*$C$9,0,H477-I477)</f>
        <v>0</v>
      </c>
      <c r="K477" s="708">
        <f t="shared" ref="K477:K540" si="8">IF(G477&gt;12*$C$9,0,K476-J477)</f>
        <v>0</v>
      </c>
    </row>
    <row r="478" spans="1:12">
      <c r="A478" s="708">
        <v>2</v>
      </c>
      <c r="B478" s="708">
        <f t="shared" si="1"/>
        <v>0</v>
      </c>
      <c r="C478" s="708">
        <f t="shared" si="2"/>
        <v>0</v>
      </c>
      <c r="D478" s="708">
        <f t="shared" si="3"/>
        <v>0</v>
      </c>
      <c r="E478" s="708">
        <f t="shared" si="4"/>
        <v>0</v>
      </c>
      <c r="G478" s="708">
        <v>2</v>
      </c>
      <c r="H478" s="708">
        <f t="shared" si="5"/>
        <v>0</v>
      </c>
      <c r="I478" s="708">
        <f t="shared" si="6"/>
        <v>0</v>
      </c>
      <c r="J478" s="708">
        <f t="shared" si="7"/>
        <v>0</v>
      </c>
      <c r="K478" s="708">
        <f t="shared" si="8"/>
        <v>0</v>
      </c>
    </row>
    <row r="479" spans="1:12">
      <c r="A479" s="708">
        <v>3</v>
      </c>
      <c r="B479" s="708">
        <f t="shared" si="1"/>
        <v>0</v>
      </c>
      <c r="C479" s="708">
        <f t="shared" si="2"/>
        <v>0</v>
      </c>
      <c r="D479" s="708">
        <f t="shared" si="3"/>
        <v>0</v>
      </c>
      <c r="E479" s="708">
        <f t="shared" si="4"/>
        <v>0</v>
      </c>
      <c r="G479" s="708">
        <v>3</v>
      </c>
      <c r="H479" s="708">
        <f t="shared" si="5"/>
        <v>0</v>
      </c>
      <c r="I479" s="708">
        <f t="shared" si="6"/>
        <v>0</v>
      </c>
      <c r="J479" s="708">
        <f t="shared" si="7"/>
        <v>0</v>
      </c>
      <c r="K479" s="708">
        <f t="shared" si="8"/>
        <v>0</v>
      </c>
    </row>
    <row r="480" spans="1:12">
      <c r="A480" s="708">
        <v>4</v>
      </c>
      <c r="B480" s="708">
        <f t="shared" si="1"/>
        <v>0</v>
      </c>
      <c r="C480" s="708">
        <f t="shared" si="2"/>
        <v>0</v>
      </c>
      <c r="D480" s="708">
        <f t="shared" si="3"/>
        <v>0</v>
      </c>
      <c r="E480" s="708">
        <f t="shared" si="4"/>
        <v>0</v>
      </c>
      <c r="G480" s="708">
        <v>4</v>
      </c>
      <c r="H480" s="708">
        <f t="shared" si="5"/>
        <v>0</v>
      </c>
      <c r="I480" s="708">
        <f t="shared" si="6"/>
        <v>0</v>
      </c>
      <c r="J480" s="708">
        <f t="shared" si="7"/>
        <v>0</v>
      </c>
      <c r="K480" s="708">
        <f t="shared" si="8"/>
        <v>0</v>
      </c>
    </row>
    <row r="481" spans="1:12">
      <c r="A481" s="708">
        <v>5</v>
      </c>
      <c r="B481" s="708">
        <f t="shared" si="1"/>
        <v>0</v>
      </c>
      <c r="C481" s="708">
        <f t="shared" si="2"/>
        <v>0</v>
      </c>
      <c r="D481" s="708">
        <f t="shared" si="3"/>
        <v>0</v>
      </c>
      <c r="E481" s="708">
        <f t="shared" si="4"/>
        <v>0</v>
      </c>
      <c r="G481" s="708">
        <v>5</v>
      </c>
      <c r="H481" s="708">
        <f t="shared" si="5"/>
        <v>0</v>
      </c>
      <c r="I481" s="708">
        <f t="shared" si="6"/>
        <v>0</v>
      </c>
      <c r="J481" s="708">
        <f t="shared" si="7"/>
        <v>0</v>
      </c>
      <c r="K481" s="708">
        <f t="shared" si="8"/>
        <v>0</v>
      </c>
    </row>
    <row r="482" spans="1:12">
      <c r="A482" s="708">
        <v>6</v>
      </c>
      <c r="B482" s="708">
        <f t="shared" si="1"/>
        <v>0</v>
      </c>
      <c r="C482" s="708">
        <f t="shared" si="2"/>
        <v>0</v>
      </c>
      <c r="D482" s="708">
        <f t="shared" si="3"/>
        <v>0</v>
      </c>
      <c r="E482" s="708">
        <f t="shared" si="4"/>
        <v>0</v>
      </c>
      <c r="G482" s="708">
        <v>6</v>
      </c>
      <c r="H482" s="708">
        <f t="shared" si="5"/>
        <v>0</v>
      </c>
      <c r="I482" s="708">
        <f t="shared" si="6"/>
        <v>0</v>
      </c>
      <c r="J482" s="708">
        <f t="shared" si="7"/>
        <v>0</v>
      </c>
      <c r="K482" s="708">
        <f t="shared" si="8"/>
        <v>0</v>
      </c>
    </row>
    <row r="483" spans="1:12">
      <c r="A483" s="708">
        <v>7</v>
      </c>
      <c r="B483" s="708">
        <f t="shared" si="1"/>
        <v>0</v>
      </c>
      <c r="C483" s="708">
        <f t="shared" si="2"/>
        <v>0</v>
      </c>
      <c r="D483" s="708">
        <f t="shared" si="3"/>
        <v>0</v>
      </c>
      <c r="E483" s="708">
        <f t="shared" si="4"/>
        <v>0</v>
      </c>
      <c r="G483" s="708">
        <v>7</v>
      </c>
      <c r="H483" s="708">
        <f t="shared" si="5"/>
        <v>0</v>
      </c>
      <c r="I483" s="708">
        <f t="shared" si="6"/>
        <v>0</v>
      </c>
      <c r="J483" s="708">
        <f t="shared" si="7"/>
        <v>0</v>
      </c>
      <c r="K483" s="708">
        <f t="shared" si="8"/>
        <v>0</v>
      </c>
    </row>
    <row r="484" spans="1:12">
      <c r="A484" s="708">
        <v>8</v>
      </c>
      <c r="B484" s="708">
        <f t="shared" si="1"/>
        <v>0</v>
      </c>
      <c r="C484" s="708">
        <f t="shared" si="2"/>
        <v>0</v>
      </c>
      <c r="D484" s="708">
        <f t="shared" si="3"/>
        <v>0</v>
      </c>
      <c r="E484" s="708">
        <f t="shared" si="4"/>
        <v>0</v>
      </c>
      <c r="G484" s="708">
        <v>8</v>
      </c>
      <c r="H484" s="708">
        <f t="shared" si="5"/>
        <v>0</v>
      </c>
      <c r="I484" s="708">
        <f t="shared" si="6"/>
        <v>0</v>
      </c>
      <c r="J484" s="708">
        <f t="shared" si="7"/>
        <v>0</v>
      </c>
      <c r="K484" s="708">
        <f t="shared" si="8"/>
        <v>0</v>
      </c>
    </row>
    <row r="485" spans="1:12">
      <c r="A485" s="708">
        <v>9</v>
      </c>
      <c r="B485" s="708">
        <f t="shared" si="1"/>
        <v>0</v>
      </c>
      <c r="C485" s="708">
        <f t="shared" si="2"/>
        <v>0</v>
      </c>
      <c r="D485" s="708">
        <f t="shared" si="3"/>
        <v>0</v>
      </c>
      <c r="E485" s="708">
        <f t="shared" si="4"/>
        <v>0</v>
      </c>
      <c r="G485" s="708">
        <v>9</v>
      </c>
      <c r="H485" s="708">
        <f t="shared" si="5"/>
        <v>0</v>
      </c>
      <c r="I485" s="708">
        <f t="shared" si="6"/>
        <v>0</v>
      </c>
      <c r="J485" s="708">
        <f t="shared" si="7"/>
        <v>0</v>
      </c>
      <c r="K485" s="708">
        <f t="shared" si="8"/>
        <v>0</v>
      </c>
    </row>
    <row r="486" spans="1:12">
      <c r="A486" s="708">
        <v>10</v>
      </c>
      <c r="B486" s="708">
        <f t="shared" si="1"/>
        <v>0</v>
      </c>
      <c r="C486" s="708">
        <f t="shared" si="2"/>
        <v>0</v>
      </c>
      <c r="D486" s="708">
        <f t="shared" si="3"/>
        <v>0</v>
      </c>
      <c r="E486" s="708">
        <f t="shared" si="4"/>
        <v>0</v>
      </c>
      <c r="G486" s="708">
        <v>10</v>
      </c>
      <c r="H486" s="708">
        <f t="shared" si="5"/>
        <v>0</v>
      </c>
      <c r="I486" s="708">
        <f t="shared" si="6"/>
        <v>0</v>
      </c>
      <c r="J486" s="708">
        <f t="shared" si="7"/>
        <v>0</v>
      </c>
      <c r="K486" s="708">
        <f t="shared" si="8"/>
        <v>0</v>
      </c>
    </row>
    <row r="487" spans="1:12">
      <c r="A487" s="708">
        <v>11</v>
      </c>
      <c r="B487" s="708">
        <f t="shared" si="1"/>
        <v>0</v>
      </c>
      <c r="C487" s="708">
        <f t="shared" si="2"/>
        <v>0</v>
      </c>
      <c r="D487" s="708">
        <f t="shared" si="3"/>
        <v>0</v>
      </c>
      <c r="E487" s="708">
        <f t="shared" si="4"/>
        <v>0</v>
      </c>
      <c r="G487" s="708">
        <v>11</v>
      </c>
      <c r="H487" s="708">
        <f t="shared" si="5"/>
        <v>0</v>
      </c>
      <c r="I487" s="708">
        <f t="shared" si="6"/>
        <v>0</v>
      </c>
      <c r="J487" s="708">
        <f t="shared" si="7"/>
        <v>0</v>
      </c>
      <c r="K487" s="708">
        <f t="shared" si="8"/>
        <v>0</v>
      </c>
    </row>
    <row r="488" spans="1:12">
      <c r="A488" s="708">
        <v>12</v>
      </c>
      <c r="B488" s="708">
        <f t="shared" si="1"/>
        <v>0</v>
      </c>
      <c r="C488" s="708">
        <f t="shared" si="2"/>
        <v>0</v>
      </c>
      <c r="D488" s="708">
        <f t="shared" si="3"/>
        <v>0</v>
      </c>
      <c r="E488" s="708">
        <f t="shared" si="4"/>
        <v>0</v>
      </c>
      <c r="F488" s="708">
        <v>1</v>
      </c>
      <c r="G488" s="708">
        <v>12</v>
      </c>
      <c r="H488" s="708">
        <f t="shared" si="5"/>
        <v>0</v>
      </c>
      <c r="I488" s="708">
        <f t="shared" si="6"/>
        <v>0</v>
      </c>
      <c r="J488" s="708">
        <f t="shared" si="7"/>
        <v>0</v>
      </c>
      <c r="K488" s="708">
        <f t="shared" si="8"/>
        <v>0</v>
      </c>
      <c r="L488" s="708">
        <v>1</v>
      </c>
    </row>
    <row r="489" spans="1:12">
      <c r="A489" s="708">
        <v>13</v>
      </c>
      <c r="B489" s="708">
        <f t="shared" si="1"/>
        <v>0</v>
      </c>
      <c r="C489" s="708">
        <f t="shared" si="2"/>
        <v>0</v>
      </c>
      <c r="D489" s="708">
        <f t="shared" si="3"/>
        <v>0</v>
      </c>
      <c r="E489" s="708">
        <f t="shared" si="4"/>
        <v>0</v>
      </c>
      <c r="G489" s="708">
        <v>13</v>
      </c>
      <c r="H489" s="708">
        <f t="shared" si="5"/>
        <v>0</v>
      </c>
      <c r="I489" s="708">
        <f t="shared" si="6"/>
        <v>0</v>
      </c>
      <c r="J489" s="708">
        <f t="shared" si="7"/>
        <v>0</v>
      </c>
      <c r="K489" s="708">
        <f t="shared" si="8"/>
        <v>0</v>
      </c>
    </row>
    <row r="490" spans="1:12">
      <c r="A490" s="708">
        <v>14</v>
      </c>
      <c r="B490" s="708">
        <f t="shared" si="1"/>
        <v>0</v>
      </c>
      <c r="C490" s="708">
        <f t="shared" si="2"/>
        <v>0</v>
      </c>
      <c r="D490" s="708">
        <f t="shared" si="3"/>
        <v>0</v>
      </c>
      <c r="E490" s="708">
        <f t="shared" si="4"/>
        <v>0</v>
      </c>
      <c r="G490" s="708">
        <v>14</v>
      </c>
      <c r="H490" s="708">
        <f t="shared" si="5"/>
        <v>0</v>
      </c>
      <c r="I490" s="708">
        <f t="shared" si="6"/>
        <v>0</v>
      </c>
      <c r="J490" s="708">
        <f t="shared" si="7"/>
        <v>0</v>
      </c>
      <c r="K490" s="708">
        <f t="shared" si="8"/>
        <v>0</v>
      </c>
    </row>
    <row r="491" spans="1:12">
      <c r="A491" s="708">
        <v>15</v>
      </c>
      <c r="B491" s="708">
        <f t="shared" si="1"/>
        <v>0</v>
      </c>
      <c r="C491" s="708">
        <f t="shared" si="2"/>
        <v>0</v>
      </c>
      <c r="D491" s="708">
        <f t="shared" si="3"/>
        <v>0</v>
      </c>
      <c r="E491" s="708">
        <f t="shared" si="4"/>
        <v>0</v>
      </c>
      <c r="G491" s="708">
        <v>15</v>
      </c>
      <c r="H491" s="708">
        <f t="shared" si="5"/>
        <v>0</v>
      </c>
      <c r="I491" s="708">
        <f t="shared" si="6"/>
        <v>0</v>
      </c>
      <c r="J491" s="708">
        <f t="shared" si="7"/>
        <v>0</v>
      </c>
      <c r="K491" s="708">
        <f t="shared" si="8"/>
        <v>0</v>
      </c>
    </row>
    <row r="492" spans="1:12">
      <c r="A492" s="708">
        <v>16</v>
      </c>
      <c r="B492" s="708">
        <f t="shared" si="1"/>
        <v>0</v>
      </c>
      <c r="C492" s="708">
        <f t="shared" si="2"/>
        <v>0</v>
      </c>
      <c r="D492" s="708">
        <f t="shared" si="3"/>
        <v>0</v>
      </c>
      <c r="E492" s="708">
        <f t="shared" si="4"/>
        <v>0</v>
      </c>
      <c r="G492" s="708">
        <v>16</v>
      </c>
      <c r="H492" s="708">
        <f t="shared" si="5"/>
        <v>0</v>
      </c>
      <c r="I492" s="708">
        <f t="shared" si="6"/>
        <v>0</v>
      </c>
      <c r="J492" s="708">
        <f t="shared" si="7"/>
        <v>0</v>
      </c>
      <c r="K492" s="708">
        <f t="shared" si="8"/>
        <v>0</v>
      </c>
    </row>
    <row r="493" spans="1:12">
      <c r="A493" s="708">
        <v>17</v>
      </c>
      <c r="B493" s="708">
        <f t="shared" si="1"/>
        <v>0</v>
      </c>
      <c r="C493" s="708">
        <f t="shared" si="2"/>
        <v>0</v>
      </c>
      <c r="D493" s="708">
        <f t="shared" si="3"/>
        <v>0</v>
      </c>
      <c r="E493" s="708">
        <f t="shared" si="4"/>
        <v>0</v>
      </c>
      <c r="G493" s="708">
        <v>17</v>
      </c>
      <c r="H493" s="708">
        <f t="shared" si="5"/>
        <v>0</v>
      </c>
      <c r="I493" s="708">
        <f t="shared" si="6"/>
        <v>0</v>
      </c>
      <c r="J493" s="708">
        <f t="shared" si="7"/>
        <v>0</v>
      </c>
      <c r="K493" s="708">
        <f t="shared" si="8"/>
        <v>0</v>
      </c>
    </row>
    <row r="494" spans="1:12">
      <c r="A494" s="708">
        <v>18</v>
      </c>
      <c r="B494" s="708">
        <f t="shared" si="1"/>
        <v>0</v>
      </c>
      <c r="C494" s="708">
        <f t="shared" si="2"/>
        <v>0</v>
      </c>
      <c r="D494" s="708">
        <f t="shared" si="3"/>
        <v>0</v>
      </c>
      <c r="E494" s="708">
        <f t="shared" si="4"/>
        <v>0</v>
      </c>
      <c r="G494" s="708">
        <v>18</v>
      </c>
      <c r="H494" s="708">
        <f t="shared" si="5"/>
        <v>0</v>
      </c>
      <c r="I494" s="708">
        <f t="shared" si="6"/>
        <v>0</v>
      </c>
      <c r="J494" s="708">
        <f t="shared" si="7"/>
        <v>0</v>
      </c>
      <c r="K494" s="708">
        <f t="shared" si="8"/>
        <v>0</v>
      </c>
    </row>
    <row r="495" spans="1:12">
      <c r="A495" s="708">
        <v>19</v>
      </c>
      <c r="B495" s="708">
        <f t="shared" si="1"/>
        <v>0</v>
      </c>
      <c r="C495" s="708">
        <f t="shared" si="2"/>
        <v>0</v>
      </c>
      <c r="D495" s="708">
        <f t="shared" si="3"/>
        <v>0</v>
      </c>
      <c r="E495" s="708">
        <f t="shared" si="4"/>
        <v>0</v>
      </c>
      <c r="G495" s="708">
        <v>19</v>
      </c>
      <c r="H495" s="708">
        <f t="shared" si="5"/>
        <v>0</v>
      </c>
      <c r="I495" s="708">
        <f t="shared" si="6"/>
        <v>0</v>
      </c>
      <c r="J495" s="708">
        <f t="shared" si="7"/>
        <v>0</v>
      </c>
      <c r="K495" s="708">
        <f t="shared" si="8"/>
        <v>0</v>
      </c>
    </row>
    <row r="496" spans="1:12">
      <c r="A496" s="708">
        <v>20</v>
      </c>
      <c r="B496" s="708">
        <f t="shared" si="1"/>
        <v>0</v>
      </c>
      <c r="C496" s="708">
        <f t="shared" si="2"/>
        <v>0</v>
      </c>
      <c r="D496" s="708">
        <f t="shared" si="3"/>
        <v>0</v>
      </c>
      <c r="E496" s="708">
        <f t="shared" si="4"/>
        <v>0</v>
      </c>
      <c r="G496" s="708">
        <v>20</v>
      </c>
      <c r="H496" s="708">
        <f t="shared" si="5"/>
        <v>0</v>
      </c>
      <c r="I496" s="708">
        <f t="shared" si="6"/>
        <v>0</v>
      </c>
      <c r="J496" s="708">
        <f t="shared" si="7"/>
        <v>0</v>
      </c>
      <c r="K496" s="708">
        <f t="shared" si="8"/>
        <v>0</v>
      </c>
    </row>
    <row r="497" spans="1:12">
      <c r="A497" s="708">
        <v>21</v>
      </c>
      <c r="B497" s="708">
        <f t="shared" si="1"/>
        <v>0</v>
      </c>
      <c r="C497" s="708">
        <f t="shared" si="2"/>
        <v>0</v>
      </c>
      <c r="D497" s="708">
        <f t="shared" si="3"/>
        <v>0</v>
      </c>
      <c r="E497" s="708">
        <f t="shared" si="4"/>
        <v>0</v>
      </c>
      <c r="G497" s="708">
        <v>21</v>
      </c>
      <c r="H497" s="708">
        <f t="shared" si="5"/>
        <v>0</v>
      </c>
      <c r="I497" s="708">
        <f t="shared" si="6"/>
        <v>0</v>
      </c>
      <c r="J497" s="708">
        <f t="shared" si="7"/>
        <v>0</v>
      </c>
      <c r="K497" s="708">
        <f t="shared" si="8"/>
        <v>0</v>
      </c>
    </row>
    <row r="498" spans="1:12">
      <c r="A498" s="708">
        <v>22</v>
      </c>
      <c r="B498" s="708">
        <f t="shared" si="1"/>
        <v>0</v>
      </c>
      <c r="C498" s="708">
        <f t="shared" si="2"/>
        <v>0</v>
      </c>
      <c r="D498" s="708">
        <f t="shared" si="3"/>
        <v>0</v>
      </c>
      <c r="E498" s="708">
        <f t="shared" si="4"/>
        <v>0</v>
      </c>
      <c r="G498" s="708">
        <v>22</v>
      </c>
      <c r="H498" s="708">
        <f t="shared" si="5"/>
        <v>0</v>
      </c>
      <c r="I498" s="708">
        <f t="shared" si="6"/>
        <v>0</v>
      </c>
      <c r="J498" s="708">
        <f t="shared" si="7"/>
        <v>0</v>
      </c>
      <c r="K498" s="708">
        <f t="shared" si="8"/>
        <v>0</v>
      </c>
    </row>
    <row r="499" spans="1:12">
      <c r="A499" s="708">
        <v>23</v>
      </c>
      <c r="B499" s="708">
        <f t="shared" si="1"/>
        <v>0</v>
      </c>
      <c r="C499" s="708">
        <f t="shared" si="2"/>
        <v>0</v>
      </c>
      <c r="D499" s="708">
        <f t="shared" si="3"/>
        <v>0</v>
      </c>
      <c r="E499" s="708">
        <f t="shared" si="4"/>
        <v>0</v>
      </c>
      <c r="G499" s="708">
        <v>23</v>
      </c>
      <c r="H499" s="708">
        <f t="shared" si="5"/>
        <v>0</v>
      </c>
      <c r="I499" s="708">
        <f t="shared" si="6"/>
        <v>0</v>
      </c>
      <c r="J499" s="708">
        <f t="shared" si="7"/>
        <v>0</v>
      </c>
      <c r="K499" s="708">
        <f t="shared" si="8"/>
        <v>0</v>
      </c>
    </row>
    <row r="500" spans="1:12">
      <c r="A500" s="708">
        <v>24</v>
      </c>
      <c r="B500" s="708">
        <f t="shared" si="1"/>
        <v>0</v>
      </c>
      <c r="C500" s="708">
        <f t="shared" si="2"/>
        <v>0</v>
      </c>
      <c r="D500" s="708">
        <f t="shared" si="3"/>
        <v>0</v>
      </c>
      <c r="E500" s="708">
        <f t="shared" si="4"/>
        <v>0</v>
      </c>
      <c r="F500" s="708">
        <v>2</v>
      </c>
      <c r="G500" s="708">
        <v>24</v>
      </c>
      <c r="H500" s="708">
        <f t="shared" si="5"/>
        <v>0</v>
      </c>
      <c r="I500" s="708">
        <f t="shared" si="6"/>
        <v>0</v>
      </c>
      <c r="J500" s="708">
        <f t="shared" si="7"/>
        <v>0</v>
      </c>
      <c r="K500" s="708">
        <f t="shared" si="8"/>
        <v>0</v>
      </c>
      <c r="L500" s="708">
        <v>2</v>
      </c>
    </row>
    <row r="501" spans="1:12">
      <c r="A501" s="708">
        <v>25</v>
      </c>
      <c r="B501" s="708">
        <f t="shared" si="1"/>
        <v>0</v>
      </c>
      <c r="C501" s="708">
        <f t="shared" si="2"/>
        <v>0</v>
      </c>
      <c r="D501" s="708">
        <f t="shared" si="3"/>
        <v>0</v>
      </c>
      <c r="E501" s="708">
        <f t="shared" si="4"/>
        <v>0</v>
      </c>
      <c r="G501" s="708">
        <v>25</v>
      </c>
      <c r="H501" s="708">
        <f t="shared" si="5"/>
        <v>0</v>
      </c>
      <c r="I501" s="708">
        <f t="shared" si="6"/>
        <v>0</v>
      </c>
      <c r="J501" s="708">
        <f t="shared" si="7"/>
        <v>0</v>
      </c>
      <c r="K501" s="708">
        <f t="shared" si="8"/>
        <v>0</v>
      </c>
    </row>
    <row r="502" spans="1:12">
      <c r="A502" s="708">
        <v>26</v>
      </c>
      <c r="B502" s="708">
        <f t="shared" si="1"/>
        <v>0</v>
      </c>
      <c r="C502" s="708">
        <f t="shared" si="2"/>
        <v>0</v>
      </c>
      <c r="D502" s="708">
        <f t="shared" si="3"/>
        <v>0</v>
      </c>
      <c r="E502" s="708">
        <f t="shared" si="4"/>
        <v>0</v>
      </c>
      <c r="G502" s="708">
        <v>26</v>
      </c>
      <c r="H502" s="708">
        <f t="shared" si="5"/>
        <v>0</v>
      </c>
      <c r="I502" s="708">
        <f t="shared" si="6"/>
        <v>0</v>
      </c>
      <c r="J502" s="708">
        <f t="shared" si="7"/>
        <v>0</v>
      </c>
      <c r="K502" s="708">
        <f t="shared" si="8"/>
        <v>0</v>
      </c>
    </row>
    <row r="503" spans="1:12">
      <c r="A503" s="708">
        <v>27</v>
      </c>
      <c r="B503" s="708">
        <f t="shared" si="1"/>
        <v>0</v>
      </c>
      <c r="C503" s="708">
        <f t="shared" si="2"/>
        <v>0</v>
      </c>
      <c r="D503" s="708">
        <f t="shared" si="3"/>
        <v>0</v>
      </c>
      <c r="E503" s="708">
        <f t="shared" si="4"/>
        <v>0</v>
      </c>
      <c r="G503" s="708">
        <v>27</v>
      </c>
      <c r="H503" s="708">
        <f t="shared" si="5"/>
        <v>0</v>
      </c>
      <c r="I503" s="708">
        <f t="shared" si="6"/>
        <v>0</v>
      </c>
      <c r="J503" s="708">
        <f t="shared" si="7"/>
        <v>0</v>
      </c>
      <c r="K503" s="708">
        <f t="shared" si="8"/>
        <v>0</v>
      </c>
    </row>
    <row r="504" spans="1:12">
      <c r="A504" s="708">
        <v>28</v>
      </c>
      <c r="B504" s="708">
        <f t="shared" si="1"/>
        <v>0</v>
      </c>
      <c r="C504" s="708">
        <f t="shared" si="2"/>
        <v>0</v>
      </c>
      <c r="D504" s="708">
        <f t="shared" si="3"/>
        <v>0</v>
      </c>
      <c r="E504" s="708">
        <f t="shared" si="4"/>
        <v>0</v>
      </c>
      <c r="G504" s="708">
        <v>28</v>
      </c>
      <c r="H504" s="708">
        <f t="shared" si="5"/>
        <v>0</v>
      </c>
      <c r="I504" s="708">
        <f t="shared" si="6"/>
        <v>0</v>
      </c>
      <c r="J504" s="708">
        <f t="shared" si="7"/>
        <v>0</v>
      </c>
      <c r="K504" s="708">
        <f t="shared" si="8"/>
        <v>0</v>
      </c>
    </row>
    <row r="505" spans="1:12">
      <c r="A505" s="708">
        <v>29</v>
      </c>
      <c r="B505" s="708">
        <f t="shared" si="1"/>
        <v>0</v>
      </c>
      <c r="C505" s="708">
        <f t="shared" si="2"/>
        <v>0</v>
      </c>
      <c r="D505" s="708">
        <f t="shared" si="3"/>
        <v>0</v>
      </c>
      <c r="E505" s="708">
        <f t="shared" si="4"/>
        <v>0</v>
      </c>
      <c r="G505" s="708">
        <v>29</v>
      </c>
      <c r="H505" s="708">
        <f t="shared" si="5"/>
        <v>0</v>
      </c>
      <c r="I505" s="708">
        <f t="shared" si="6"/>
        <v>0</v>
      </c>
      <c r="J505" s="708">
        <f t="shared" si="7"/>
        <v>0</v>
      </c>
      <c r="K505" s="708">
        <f t="shared" si="8"/>
        <v>0</v>
      </c>
    </row>
    <row r="506" spans="1:12">
      <c r="A506" s="708">
        <v>30</v>
      </c>
      <c r="B506" s="708">
        <f t="shared" si="1"/>
        <v>0</v>
      </c>
      <c r="C506" s="708">
        <f t="shared" si="2"/>
        <v>0</v>
      </c>
      <c r="D506" s="708">
        <f t="shared" si="3"/>
        <v>0</v>
      </c>
      <c r="E506" s="708">
        <f t="shared" si="4"/>
        <v>0</v>
      </c>
      <c r="G506" s="708">
        <v>30</v>
      </c>
      <c r="H506" s="708">
        <f t="shared" si="5"/>
        <v>0</v>
      </c>
      <c r="I506" s="708">
        <f t="shared" si="6"/>
        <v>0</v>
      </c>
      <c r="J506" s="708">
        <f t="shared" si="7"/>
        <v>0</v>
      </c>
      <c r="K506" s="708">
        <f t="shared" si="8"/>
        <v>0</v>
      </c>
    </row>
    <row r="507" spans="1:12">
      <c r="A507" s="708">
        <v>31</v>
      </c>
      <c r="B507" s="708">
        <f t="shared" si="1"/>
        <v>0</v>
      </c>
      <c r="C507" s="708">
        <f t="shared" si="2"/>
        <v>0</v>
      </c>
      <c r="D507" s="708">
        <f t="shared" si="3"/>
        <v>0</v>
      </c>
      <c r="E507" s="708">
        <f t="shared" si="4"/>
        <v>0</v>
      </c>
      <c r="G507" s="708">
        <v>31</v>
      </c>
      <c r="H507" s="708">
        <f t="shared" si="5"/>
        <v>0</v>
      </c>
      <c r="I507" s="708">
        <f t="shared" si="6"/>
        <v>0</v>
      </c>
      <c r="J507" s="708">
        <f t="shared" si="7"/>
        <v>0</v>
      </c>
      <c r="K507" s="708">
        <f t="shared" si="8"/>
        <v>0</v>
      </c>
    </row>
    <row r="508" spans="1:12">
      <c r="A508" s="708">
        <v>32</v>
      </c>
      <c r="B508" s="708">
        <f t="shared" si="1"/>
        <v>0</v>
      </c>
      <c r="C508" s="708">
        <f t="shared" si="2"/>
        <v>0</v>
      </c>
      <c r="D508" s="708">
        <f t="shared" si="3"/>
        <v>0</v>
      </c>
      <c r="E508" s="708">
        <f t="shared" si="4"/>
        <v>0</v>
      </c>
      <c r="G508" s="708">
        <v>32</v>
      </c>
      <c r="H508" s="708">
        <f t="shared" si="5"/>
        <v>0</v>
      </c>
      <c r="I508" s="708">
        <f t="shared" si="6"/>
        <v>0</v>
      </c>
      <c r="J508" s="708">
        <f t="shared" si="7"/>
        <v>0</v>
      </c>
      <c r="K508" s="708">
        <f t="shared" si="8"/>
        <v>0</v>
      </c>
    </row>
    <row r="509" spans="1:12">
      <c r="A509" s="708">
        <v>33</v>
      </c>
      <c r="B509" s="708">
        <f t="shared" si="1"/>
        <v>0</v>
      </c>
      <c r="C509" s="708">
        <f t="shared" si="2"/>
        <v>0</v>
      </c>
      <c r="D509" s="708">
        <f t="shared" si="3"/>
        <v>0</v>
      </c>
      <c r="E509" s="708">
        <f t="shared" si="4"/>
        <v>0</v>
      </c>
      <c r="G509" s="708">
        <v>33</v>
      </c>
      <c r="H509" s="708">
        <f t="shared" si="5"/>
        <v>0</v>
      </c>
      <c r="I509" s="708">
        <f t="shared" si="6"/>
        <v>0</v>
      </c>
      <c r="J509" s="708">
        <f t="shared" si="7"/>
        <v>0</v>
      </c>
      <c r="K509" s="708">
        <f t="shared" si="8"/>
        <v>0</v>
      </c>
    </row>
    <row r="510" spans="1:12">
      <c r="A510" s="708">
        <v>34</v>
      </c>
      <c r="B510" s="708">
        <f t="shared" si="1"/>
        <v>0</v>
      </c>
      <c r="C510" s="708">
        <f t="shared" si="2"/>
        <v>0</v>
      </c>
      <c r="D510" s="708">
        <f t="shared" si="3"/>
        <v>0</v>
      </c>
      <c r="E510" s="708">
        <f t="shared" si="4"/>
        <v>0</v>
      </c>
      <c r="G510" s="708">
        <v>34</v>
      </c>
      <c r="H510" s="708">
        <f t="shared" si="5"/>
        <v>0</v>
      </c>
      <c r="I510" s="708">
        <f t="shared" si="6"/>
        <v>0</v>
      </c>
      <c r="J510" s="708">
        <f t="shared" si="7"/>
        <v>0</v>
      </c>
      <c r="K510" s="708">
        <f t="shared" si="8"/>
        <v>0</v>
      </c>
    </row>
    <row r="511" spans="1:12">
      <c r="A511" s="708">
        <v>35</v>
      </c>
      <c r="B511" s="708">
        <f t="shared" si="1"/>
        <v>0</v>
      </c>
      <c r="C511" s="708">
        <f t="shared" si="2"/>
        <v>0</v>
      </c>
      <c r="D511" s="708">
        <f t="shared" si="3"/>
        <v>0</v>
      </c>
      <c r="E511" s="708">
        <f t="shared" si="4"/>
        <v>0</v>
      </c>
      <c r="G511" s="708">
        <v>35</v>
      </c>
      <c r="H511" s="708">
        <f t="shared" si="5"/>
        <v>0</v>
      </c>
      <c r="I511" s="708">
        <f t="shared" si="6"/>
        <v>0</v>
      </c>
      <c r="J511" s="708">
        <f t="shared" si="7"/>
        <v>0</v>
      </c>
      <c r="K511" s="708">
        <f t="shared" si="8"/>
        <v>0</v>
      </c>
    </row>
    <row r="512" spans="1:12">
      <c r="A512" s="708">
        <v>36</v>
      </c>
      <c r="B512" s="708">
        <f t="shared" si="1"/>
        <v>0</v>
      </c>
      <c r="C512" s="708">
        <f t="shared" si="2"/>
        <v>0</v>
      </c>
      <c r="D512" s="708">
        <f t="shared" si="3"/>
        <v>0</v>
      </c>
      <c r="E512" s="708">
        <f t="shared" si="4"/>
        <v>0</v>
      </c>
      <c r="F512" s="708">
        <v>3</v>
      </c>
      <c r="G512" s="708">
        <v>36</v>
      </c>
      <c r="H512" s="708">
        <f t="shared" si="5"/>
        <v>0</v>
      </c>
      <c r="I512" s="708">
        <f t="shared" si="6"/>
        <v>0</v>
      </c>
      <c r="J512" s="708">
        <f t="shared" si="7"/>
        <v>0</v>
      </c>
      <c r="K512" s="708">
        <f t="shared" si="8"/>
        <v>0</v>
      </c>
      <c r="L512" s="708">
        <v>3</v>
      </c>
    </row>
    <row r="513" spans="1:12">
      <c r="A513" s="708">
        <v>37</v>
      </c>
      <c r="B513" s="708">
        <f t="shared" si="1"/>
        <v>0</v>
      </c>
      <c r="C513" s="708">
        <f t="shared" si="2"/>
        <v>0</v>
      </c>
      <c r="D513" s="708">
        <f t="shared" si="3"/>
        <v>0</v>
      </c>
      <c r="E513" s="708">
        <f t="shared" si="4"/>
        <v>0</v>
      </c>
      <c r="G513" s="708">
        <v>37</v>
      </c>
      <c r="H513" s="708">
        <f t="shared" si="5"/>
        <v>0</v>
      </c>
      <c r="I513" s="708">
        <f t="shared" si="6"/>
        <v>0</v>
      </c>
      <c r="J513" s="708">
        <f t="shared" si="7"/>
        <v>0</v>
      </c>
      <c r="K513" s="708">
        <f t="shared" si="8"/>
        <v>0</v>
      </c>
    </row>
    <row r="514" spans="1:12">
      <c r="A514" s="708">
        <v>38</v>
      </c>
      <c r="B514" s="708">
        <f t="shared" si="1"/>
        <v>0</v>
      </c>
      <c r="C514" s="708">
        <f t="shared" si="2"/>
        <v>0</v>
      </c>
      <c r="D514" s="708">
        <f t="shared" si="3"/>
        <v>0</v>
      </c>
      <c r="E514" s="708">
        <f t="shared" si="4"/>
        <v>0</v>
      </c>
      <c r="G514" s="708">
        <v>38</v>
      </c>
      <c r="H514" s="708">
        <f t="shared" si="5"/>
        <v>0</v>
      </c>
      <c r="I514" s="708">
        <f t="shared" si="6"/>
        <v>0</v>
      </c>
      <c r="J514" s="708">
        <f t="shared" si="7"/>
        <v>0</v>
      </c>
      <c r="K514" s="708">
        <f t="shared" si="8"/>
        <v>0</v>
      </c>
    </row>
    <row r="515" spans="1:12">
      <c r="A515" s="708">
        <v>39</v>
      </c>
      <c r="B515" s="708">
        <f t="shared" si="1"/>
        <v>0</v>
      </c>
      <c r="C515" s="708">
        <f t="shared" si="2"/>
        <v>0</v>
      </c>
      <c r="D515" s="708">
        <f t="shared" si="3"/>
        <v>0</v>
      </c>
      <c r="E515" s="708">
        <f t="shared" si="4"/>
        <v>0</v>
      </c>
      <c r="G515" s="708">
        <v>39</v>
      </c>
      <c r="H515" s="708">
        <f t="shared" si="5"/>
        <v>0</v>
      </c>
      <c r="I515" s="708">
        <f t="shared" si="6"/>
        <v>0</v>
      </c>
      <c r="J515" s="708">
        <f t="shared" si="7"/>
        <v>0</v>
      </c>
      <c r="K515" s="708">
        <f t="shared" si="8"/>
        <v>0</v>
      </c>
    </row>
    <row r="516" spans="1:12">
      <c r="A516" s="708">
        <v>40</v>
      </c>
      <c r="B516" s="708">
        <f t="shared" si="1"/>
        <v>0</v>
      </c>
      <c r="C516" s="708">
        <f t="shared" si="2"/>
        <v>0</v>
      </c>
      <c r="D516" s="708">
        <f t="shared" si="3"/>
        <v>0</v>
      </c>
      <c r="E516" s="708">
        <f t="shared" si="4"/>
        <v>0</v>
      </c>
      <c r="G516" s="708">
        <v>40</v>
      </c>
      <c r="H516" s="708">
        <f t="shared" si="5"/>
        <v>0</v>
      </c>
      <c r="I516" s="708">
        <f t="shared" si="6"/>
        <v>0</v>
      </c>
      <c r="J516" s="708">
        <f t="shared" si="7"/>
        <v>0</v>
      </c>
      <c r="K516" s="708">
        <f t="shared" si="8"/>
        <v>0</v>
      </c>
    </row>
    <row r="517" spans="1:12">
      <c r="A517" s="708">
        <v>41</v>
      </c>
      <c r="B517" s="708">
        <f t="shared" si="1"/>
        <v>0</v>
      </c>
      <c r="C517" s="708">
        <f t="shared" si="2"/>
        <v>0</v>
      </c>
      <c r="D517" s="708">
        <f t="shared" si="3"/>
        <v>0</v>
      </c>
      <c r="E517" s="708">
        <f t="shared" si="4"/>
        <v>0</v>
      </c>
      <c r="G517" s="708">
        <v>41</v>
      </c>
      <c r="H517" s="708">
        <f t="shared" si="5"/>
        <v>0</v>
      </c>
      <c r="I517" s="708">
        <f t="shared" si="6"/>
        <v>0</v>
      </c>
      <c r="J517" s="708">
        <f t="shared" si="7"/>
        <v>0</v>
      </c>
      <c r="K517" s="708">
        <f t="shared" si="8"/>
        <v>0</v>
      </c>
    </row>
    <row r="518" spans="1:12">
      <c r="A518" s="708">
        <v>42</v>
      </c>
      <c r="B518" s="708">
        <f t="shared" si="1"/>
        <v>0</v>
      </c>
      <c r="C518" s="708">
        <f t="shared" si="2"/>
        <v>0</v>
      </c>
      <c r="D518" s="708">
        <f t="shared" si="3"/>
        <v>0</v>
      </c>
      <c r="E518" s="708">
        <f t="shared" si="4"/>
        <v>0</v>
      </c>
      <c r="G518" s="708">
        <v>42</v>
      </c>
      <c r="H518" s="708">
        <f t="shared" si="5"/>
        <v>0</v>
      </c>
      <c r="I518" s="708">
        <f t="shared" si="6"/>
        <v>0</v>
      </c>
      <c r="J518" s="708">
        <f t="shared" si="7"/>
        <v>0</v>
      </c>
      <c r="K518" s="708">
        <f t="shared" si="8"/>
        <v>0</v>
      </c>
    </row>
    <row r="519" spans="1:12">
      <c r="A519" s="708">
        <v>43</v>
      </c>
      <c r="B519" s="708">
        <f t="shared" si="1"/>
        <v>0</v>
      </c>
      <c r="C519" s="708">
        <f t="shared" si="2"/>
        <v>0</v>
      </c>
      <c r="D519" s="708">
        <f t="shared" si="3"/>
        <v>0</v>
      </c>
      <c r="E519" s="708">
        <f t="shared" si="4"/>
        <v>0</v>
      </c>
      <c r="G519" s="708">
        <v>43</v>
      </c>
      <c r="H519" s="708">
        <f t="shared" si="5"/>
        <v>0</v>
      </c>
      <c r="I519" s="708">
        <f t="shared" si="6"/>
        <v>0</v>
      </c>
      <c r="J519" s="708">
        <f t="shared" si="7"/>
        <v>0</v>
      </c>
      <c r="K519" s="708">
        <f t="shared" si="8"/>
        <v>0</v>
      </c>
    </row>
    <row r="520" spans="1:12">
      <c r="A520" s="708">
        <v>44</v>
      </c>
      <c r="B520" s="708">
        <f t="shared" si="1"/>
        <v>0</v>
      </c>
      <c r="C520" s="708">
        <f t="shared" si="2"/>
        <v>0</v>
      </c>
      <c r="D520" s="708">
        <f t="shared" si="3"/>
        <v>0</v>
      </c>
      <c r="E520" s="708">
        <f t="shared" si="4"/>
        <v>0</v>
      </c>
      <c r="G520" s="708">
        <v>44</v>
      </c>
      <c r="H520" s="708">
        <f t="shared" si="5"/>
        <v>0</v>
      </c>
      <c r="I520" s="708">
        <f t="shared" si="6"/>
        <v>0</v>
      </c>
      <c r="J520" s="708">
        <f t="shared" si="7"/>
        <v>0</v>
      </c>
      <c r="K520" s="708">
        <f t="shared" si="8"/>
        <v>0</v>
      </c>
    </row>
    <row r="521" spans="1:12">
      <c r="A521" s="708">
        <v>45</v>
      </c>
      <c r="B521" s="708">
        <f t="shared" si="1"/>
        <v>0</v>
      </c>
      <c r="C521" s="708">
        <f t="shared" si="2"/>
        <v>0</v>
      </c>
      <c r="D521" s="708">
        <f t="shared" si="3"/>
        <v>0</v>
      </c>
      <c r="E521" s="708">
        <f t="shared" si="4"/>
        <v>0</v>
      </c>
      <c r="G521" s="708">
        <v>45</v>
      </c>
      <c r="H521" s="708">
        <f t="shared" si="5"/>
        <v>0</v>
      </c>
      <c r="I521" s="708">
        <f t="shared" si="6"/>
        <v>0</v>
      </c>
      <c r="J521" s="708">
        <f t="shared" si="7"/>
        <v>0</v>
      </c>
      <c r="K521" s="708">
        <f t="shared" si="8"/>
        <v>0</v>
      </c>
    </row>
    <row r="522" spans="1:12">
      <c r="A522" s="708">
        <v>46</v>
      </c>
      <c r="B522" s="708">
        <f t="shared" si="1"/>
        <v>0</v>
      </c>
      <c r="C522" s="708">
        <f t="shared" si="2"/>
        <v>0</v>
      </c>
      <c r="D522" s="708">
        <f t="shared" si="3"/>
        <v>0</v>
      </c>
      <c r="E522" s="708">
        <f t="shared" si="4"/>
        <v>0</v>
      </c>
      <c r="G522" s="708">
        <v>46</v>
      </c>
      <c r="H522" s="708">
        <f t="shared" si="5"/>
        <v>0</v>
      </c>
      <c r="I522" s="708">
        <f t="shared" si="6"/>
        <v>0</v>
      </c>
      <c r="J522" s="708">
        <f t="shared" si="7"/>
        <v>0</v>
      </c>
      <c r="K522" s="708">
        <f t="shared" si="8"/>
        <v>0</v>
      </c>
    </row>
    <row r="523" spans="1:12">
      <c r="A523" s="708">
        <v>47</v>
      </c>
      <c r="B523" s="708">
        <f t="shared" si="1"/>
        <v>0</v>
      </c>
      <c r="C523" s="708">
        <f t="shared" si="2"/>
        <v>0</v>
      </c>
      <c r="D523" s="708">
        <f t="shared" si="3"/>
        <v>0</v>
      </c>
      <c r="E523" s="708">
        <f t="shared" si="4"/>
        <v>0</v>
      </c>
      <c r="G523" s="708">
        <v>47</v>
      </c>
      <c r="H523" s="708">
        <f t="shared" si="5"/>
        <v>0</v>
      </c>
      <c r="I523" s="708">
        <f t="shared" si="6"/>
        <v>0</v>
      </c>
      <c r="J523" s="708">
        <f t="shared" si="7"/>
        <v>0</v>
      </c>
      <c r="K523" s="708">
        <f t="shared" si="8"/>
        <v>0</v>
      </c>
    </row>
    <row r="524" spans="1:12">
      <c r="A524" s="708">
        <v>48</v>
      </c>
      <c r="B524" s="708">
        <f t="shared" si="1"/>
        <v>0</v>
      </c>
      <c r="C524" s="708">
        <f t="shared" si="2"/>
        <v>0</v>
      </c>
      <c r="D524" s="708">
        <f t="shared" si="3"/>
        <v>0</v>
      </c>
      <c r="E524" s="708">
        <f t="shared" si="4"/>
        <v>0</v>
      </c>
      <c r="F524" s="708">
        <v>4</v>
      </c>
      <c r="G524" s="708">
        <v>48</v>
      </c>
      <c r="H524" s="708">
        <f t="shared" si="5"/>
        <v>0</v>
      </c>
      <c r="I524" s="708">
        <f t="shared" si="6"/>
        <v>0</v>
      </c>
      <c r="J524" s="708">
        <f t="shared" si="7"/>
        <v>0</v>
      </c>
      <c r="K524" s="708">
        <f t="shared" si="8"/>
        <v>0</v>
      </c>
      <c r="L524" s="708">
        <v>4</v>
      </c>
    </row>
    <row r="525" spans="1:12">
      <c r="A525" s="708">
        <v>49</v>
      </c>
      <c r="B525" s="708">
        <f t="shared" si="1"/>
        <v>0</v>
      </c>
      <c r="C525" s="708">
        <f t="shared" si="2"/>
        <v>0</v>
      </c>
      <c r="D525" s="708">
        <f t="shared" si="3"/>
        <v>0</v>
      </c>
      <c r="E525" s="708">
        <f t="shared" si="4"/>
        <v>0</v>
      </c>
      <c r="G525" s="708">
        <v>49</v>
      </c>
      <c r="H525" s="708">
        <f t="shared" si="5"/>
        <v>0</v>
      </c>
      <c r="I525" s="708">
        <f t="shared" si="6"/>
        <v>0</v>
      </c>
      <c r="J525" s="708">
        <f t="shared" si="7"/>
        <v>0</v>
      </c>
      <c r="K525" s="708">
        <f t="shared" si="8"/>
        <v>0</v>
      </c>
    </row>
    <row r="526" spans="1:12">
      <c r="A526" s="708">
        <v>50</v>
      </c>
      <c r="B526" s="708">
        <f t="shared" si="1"/>
        <v>0</v>
      </c>
      <c r="C526" s="708">
        <f t="shared" si="2"/>
        <v>0</v>
      </c>
      <c r="D526" s="708">
        <f t="shared" si="3"/>
        <v>0</v>
      </c>
      <c r="E526" s="708">
        <f t="shared" si="4"/>
        <v>0</v>
      </c>
      <c r="G526" s="708">
        <v>50</v>
      </c>
      <c r="H526" s="708">
        <f t="shared" si="5"/>
        <v>0</v>
      </c>
      <c r="I526" s="708">
        <f t="shared" si="6"/>
        <v>0</v>
      </c>
      <c r="J526" s="708">
        <f t="shared" si="7"/>
        <v>0</v>
      </c>
      <c r="K526" s="708">
        <f t="shared" si="8"/>
        <v>0</v>
      </c>
    </row>
    <row r="527" spans="1:12">
      <c r="A527" s="708">
        <v>51</v>
      </c>
      <c r="B527" s="708">
        <f t="shared" si="1"/>
        <v>0</v>
      </c>
      <c r="C527" s="708">
        <f t="shared" si="2"/>
        <v>0</v>
      </c>
      <c r="D527" s="708">
        <f t="shared" si="3"/>
        <v>0</v>
      </c>
      <c r="E527" s="708">
        <f t="shared" si="4"/>
        <v>0</v>
      </c>
      <c r="G527" s="708">
        <v>51</v>
      </c>
      <c r="H527" s="708">
        <f t="shared" si="5"/>
        <v>0</v>
      </c>
      <c r="I527" s="708">
        <f t="shared" si="6"/>
        <v>0</v>
      </c>
      <c r="J527" s="708">
        <f t="shared" si="7"/>
        <v>0</v>
      </c>
      <c r="K527" s="708">
        <f t="shared" si="8"/>
        <v>0</v>
      </c>
    </row>
    <row r="528" spans="1:12">
      <c r="A528" s="708">
        <v>52</v>
      </c>
      <c r="B528" s="708">
        <f t="shared" si="1"/>
        <v>0</v>
      </c>
      <c r="C528" s="708">
        <f t="shared" si="2"/>
        <v>0</v>
      </c>
      <c r="D528" s="708">
        <f t="shared" si="3"/>
        <v>0</v>
      </c>
      <c r="E528" s="708">
        <f t="shared" si="4"/>
        <v>0</v>
      </c>
      <c r="G528" s="708">
        <v>52</v>
      </c>
      <c r="H528" s="708">
        <f t="shared" si="5"/>
        <v>0</v>
      </c>
      <c r="I528" s="708">
        <f t="shared" si="6"/>
        <v>0</v>
      </c>
      <c r="J528" s="708">
        <f t="shared" si="7"/>
        <v>0</v>
      </c>
      <c r="K528" s="708">
        <f t="shared" si="8"/>
        <v>0</v>
      </c>
    </row>
    <row r="529" spans="1:12">
      <c r="A529" s="708">
        <v>53</v>
      </c>
      <c r="B529" s="708">
        <f t="shared" si="1"/>
        <v>0</v>
      </c>
      <c r="C529" s="708">
        <f t="shared" si="2"/>
        <v>0</v>
      </c>
      <c r="D529" s="708">
        <f t="shared" si="3"/>
        <v>0</v>
      </c>
      <c r="E529" s="708">
        <f t="shared" si="4"/>
        <v>0</v>
      </c>
      <c r="G529" s="708">
        <v>53</v>
      </c>
      <c r="H529" s="708">
        <f t="shared" si="5"/>
        <v>0</v>
      </c>
      <c r="I529" s="708">
        <f t="shared" si="6"/>
        <v>0</v>
      </c>
      <c r="J529" s="708">
        <f t="shared" si="7"/>
        <v>0</v>
      </c>
      <c r="K529" s="708">
        <f t="shared" si="8"/>
        <v>0</v>
      </c>
    </row>
    <row r="530" spans="1:12">
      <c r="A530" s="708">
        <v>54</v>
      </c>
      <c r="B530" s="708">
        <f t="shared" si="1"/>
        <v>0</v>
      </c>
      <c r="C530" s="708">
        <f t="shared" si="2"/>
        <v>0</v>
      </c>
      <c r="D530" s="708">
        <f t="shared" si="3"/>
        <v>0</v>
      </c>
      <c r="E530" s="708">
        <f t="shared" si="4"/>
        <v>0</v>
      </c>
      <c r="G530" s="708">
        <v>54</v>
      </c>
      <c r="H530" s="708">
        <f t="shared" si="5"/>
        <v>0</v>
      </c>
      <c r="I530" s="708">
        <f t="shared" si="6"/>
        <v>0</v>
      </c>
      <c r="J530" s="708">
        <f t="shared" si="7"/>
        <v>0</v>
      </c>
      <c r="K530" s="708">
        <f t="shared" si="8"/>
        <v>0</v>
      </c>
    </row>
    <row r="531" spans="1:12">
      <c r="A531" s="708">
        <v>55</v>
      </c>
      <c r="B531" s="708">
        <f t="shared" si="1"/>
        <v>0</v>
      </c>
      <c r="C531" s="708">
        <f t="shared" si="2"/>
        <v>0</v>
      </c>
      <c r="D531" s="708">
        <f t="shared" si="3"/>
        <v>0</v>
      </c>
      <c r="E531" s="708">
        <f t="shared" si="4"/>
        <v>0</v>
      </c>
      <c r="G531" s="708">
        <v>55</v>
      </c>
      <c r="H531" s="708">
        <f t="shared" si="5"/>
        <v>0</v>
      </c>
      <c r="I531" s="708">
        <f t="shared" si="6"/>
        <v>0</v>
      </c>
      <c r="J531" s="708">
        <f t="shared" si="7"/>
        <v>0</v>
      </c>
      <c r="K531" s="708">
        <f t="shared" si="8"/>
        <v>0</v>
      </c>
    </row>
    <row r="532" spans="1:12">
      <c r="A532" s="708">
        <v>56</v>
      </c>
      <c r="B532" s="708">
        <f t="shared" si="1"/>
        <v>0</v>
      </c>
      <c r="C532" s="708">
        <f t="shared" si="2"/>
        <v>0</v>
      </c>
      <c r="D532" s="708">
        <f t="shared" si="3"/>
        <v>0</v>
      </c>
      <c r="E532" s="708">
        <f t="shared" si="4"/>
        <v>0</v>
      </c>
      <c r="G532" s="708">
        <v>56</v>
      </c>
      <c r="H532" s="708">
        <f t="shared" si="5"/>
        <v>0</v>
      </c>
      <c r="I532" s="708">
        <f t="shared" si="6"/>
        <v>0</v>
      </c>
      <c r="J532" s="708">
        <f t="shared" si="7"/>
        <v>0</v>
      </c>
      <c r="K532" s="708">
        <f t="shared" si="8"/>
        <v>0</v>
      </c>
    </row>
    <row r="533" spans="1:12">
      <c r="A533" s="708">
        <v>57</v>
      </c>
      <c r="B533" s="708">
        <f t="shared" si="1"/>
        <v>0</v>
      </c>
      <c r="C533" s="708">
        <f t="shared" si="2"/>
        <v>0</v>
      </c>
      <c r="D533" s="708">
        <f t="shared" si="3"/>
        <v>0</v>
      </c>
      <c r="E533" s="708">
        <f t="shared" si="4"/>
        <v>0</v>
      </c>
      <c r="G533" s="708">
        <v>57</v>
      </c>
      <c r="H533" s="708">
        <f t="shared" si="5"/>
        <v>0</v>
      </c>
      <c r="I533" s="708">
        <f t="shared" si="6"/>
        <v>0</v>
      </c>
      <c r="J533" s="708">
        <f t="shared" si="7"/>
        <v>0</v>
      </c>
      <c r="K533" s="708">
        <f t="shared" si="8"/>
        <v>0</v>
      </c>
    </row>
    <row r="534" spans="1:12">
      <c r="A534" s="708">
        <v>58</v>
      </c>
      <c r="B534" s="708">
        <f t="shared" si="1"/>
        <v>0</v>
      </c>
      <c r="C534" s="708">
        <f t="shared" si="2"/>
        <v>0</v>
      </c>
      <c r="D534" s="708">
        <f t="shared" si="3"/>
        <v>0</v>
      </c>
      <c r="E534" s="708">
        <f t="shared" si="4"/>
        <v>0</v>
      </c>
      <c r="G534" s="708">
        <v>58</v>
      </c>
      <c r="H534" s="708">
        <f t="shared" si="5"/>
        <v>0</v>
      </c>
      <c r="I534" s="708">
        <f t="shared" si="6"/>
        <v>0</v>
      </c>
      <c r="J534" s="708">
        <f t="shared" si="7"/>
        <v>0</v>
      </c>
      <c r="K534" s="708">
        <f t="shared" si="8"/>
        <v>0</v>
      </c>
    </row>
    <row r="535" spans="1:12">
      <c r="A535" s="708">
        <v>59</v>
      </c>
      <c r="B535" s="708">
        <f t="shared" si="1"/>
        <v>0</v>
      </c>
      <c r="C535" s="708">
        <f t="shared" si="2"/>
        <v>0</v>
      </c>
      <c r="D535" s="708">
        <f t="shared" si="3"/>
        <v>0</v>
      </c>
      <c r="E535" s="708">
        <f t="shared" si="4"/>
        <v>0</v>
      </c>
      <c r="G535" s="708">
        <v>59</v>
      </c>
      <c r="H535" s="708">
        <f t="shared" si="5"/>
        <v>0</v>
      </c>
      <c r="I535" s="708">
        <f t="shared" si="6"/>
        <v>0</v>
      </c>
      <c r="J535" s="708">
        <f t="shared" si="7"/>
        <v>0</v>
      </c>
      <c r="K535" s="708">
        <f t="shared" si="8"/>
        <v>0</v>
      </c>
    </row>
    <row r="536" spans="1:12">
      <c r="A536" s="708">
        <v>60</v>
      </c>
      <c r="B536" s="708">
        <f t="shared" si="1"/>
        <v>0</v>
      </c>
      <c r="C536" s="708">
        <f t="shared" si="2"/>
        <v>0</v>
      </c>
      <c r="D536" s="708">
        <f t="shared" si="3"/>
        <v>0</v>
      </c>
      <c r="E536" s="708">
        <f t="shared" si="4"/>
        <v>0</v>
      </c>
      <c r="G536" s="708">
        <v>60</v>
      </c>
      <c r="H536" s="708">
        <f t="shared" si="5"/>
        <v>0</v>
      </c>
      <c r="I536" s="708">
        <f t="shared" si="6"/>
        <v>0</v>
      </c>
      <c r="J536" s="708">
        <f t="shared" si="7"/>
        <v>0</v>
      </c>
      <c r="K536" s="708">
        <f t="shared" si="8"/>
        <v>0</v>
      </c>
    </row>
    <row r="537" spans="1:12">
      <c r="A537" s="708">
        <v>61</v>
      </c>
      <c r="B537" s="708">
        <f t="shared" si="1"/>
        <v>0</v>
      </c>
      <c r="C537" s="708">
        <f t="shared" si="2"/>
        <v>0</v>
      </c>
      <c r="D537" s="708">
        <f t="shared" si="3"/>
        <v>0</v>
      </c>
      <c r="E537" s="708">
        <f t="shared" si="4"/>
        <v>0</v>
      </c>
      <c r="G537" s="708">
        <v>61</v>
      </c>
      <c r="H537" s="708">
        <f t="shared" si="5"/>
        <v>0</v>
      </c>
      <c r="I537" s="708">
        <f t="shared" si="6"/>
        <v>0</v>
      </c>
      <c r="J537" s="708">
        <f t="shared" si="7"/>
        <v>0</v>
      </c>
      <c r="K537" s="708">
        <f t="shared" si="8"/>
        <v>0</v>
      </c>
    </row>
    <row r="538" spans="1:12">
      <c r="A538" s="708">
        <v>62</v>
      </c>
      <c r="B538" s="708">
        <f t="shared" si="1"/>
        <v>0</v>
      </c>
      <c r="C538" s="708">
        <f t="shared" si="2"/>
        <v>0</v>
      </c>
      <c r="D538" s="708">
        <f t="shared" si="3"/>
        <v>0</v>
      </c>
      <c r="E538" s="708">
        <f t="shared" si="4"/>
        <v>0</v>
      </c>
      <c r="F538" s="708">
        <v>5</v>
      </c>
      <c r="G538" s="708">
        <v>62</v>
      </c>
      <c r="H538" s="708">
        <f t="shared" si="5"/>
        <v>0</v>
      </c>
      <c r="I538" s="708">
        <f t="shared" si="6"/>
        <v>0</v>
      </c>
      <c r="J538" s="708">
        <f t="shared" si="7"/>
        <v>0</v>
      </c>
      <c r="K538" s="708">
        <f t="shared" si="8"/>
        <v>0</v>
      </c>
      <c r="L538" s="708">
        <v>5</v>
      </c>
    </row>
    <row r="539" spans="1:12">
      <c r="A539" s="708">
        <v>63</v>
      </c>
      <c r="B539" s="708">
        <f t="shared" si="1"/>
        <v>0</v>
      </c>
      <c r="C539" s="708">
        <f t="shared" si="2"/>
        <v>0</v>
      </c>
      <c r="D539" s="708">
        <f t="shared" si="3"/>
        <v>0</v>
      </c>
      <c r="E539" s="708">
        <f t="shared" si="4"/>
        <v>0</v>
      </c>
      <c r="G539" s="708">
        <v>63</v>
      </c>
      <c r="H539" s="708">
        <f t="shared" si="5"/>
        <v>0</v>
      </c>
      <c r="I539" s="708">
        <f t="shared" si="6"/>
        <v>0</v>
      </c>
      <c r="J539" s="708">
        <f t="shared" si="7"/>
        <v>0</v>
      </c>
      <c r="K539" s="708">
        <f t="shared" si="8"/>
        <v>0</v>
      </c>
    </row>
    <row r="540" spans="1:12">
      <c r="A540" s="708">
        <v>64</v>
      </c>
      <c r="B540" s="708">
        <f t="shared" si="1"/>
        <v>0</v>
      </c>
      <c r="C540" s="708">
        <f t="shared" si="2"/>
        <v>0</v>
      </c>
      <c r="D540" s="708">
        <f t="shared" si="3"/>
        <v>0</v>
      </c>
      <c r="E540" s="708">
        <f t="shared" si="4"/>
        <v>0</v>
      </c>
      <c r="G540" s="708">
        <v>64</v>
      </c>
      <c r="H540" s="708">
        <f t="shared" si="5"/>
        <v>0</v>
      </c>
      <c r="I540" s="708">
        <f t="shared" si="6"/>
        <v>0</v>
      </c>
      <c r="J540" s="708">
        <f t="shared" si="7"/>
        <v>0</v>
      </c>
      <c r="K540" s="708">
        <f t="shared" si="8"/>
        <v>0</v>
      </c>
    </row>
    <row r="541" spans="1:12">
      <c r="A541" s="708">
        <v>65</v>
      </c>
      <c r="B541" s="708">
        <f t="shared" ref="B541:B604" si="9">IF(A541&gt;12*$C$9,0,IF($C$5&gt;1500000,$D$12,$C$12))</f>
        <v>0</v>
      </c>
      <c r="C541" s="708">
        <f t="shared" ref="C541:C604" si="10">IF(A541&gt;12*$C$9,0,E540*$C$7/12)</f>
        <v>0</v>
      </c>
      <c r="D541" s="708">
        <f t="shared" ref="D541:D604" si="11">IF(A541&gt;12*$C$9,0,B541-C541)</f>
        <v>0</v>
      </c>
      <c r="E541" s="708">
        <f t="shared" ref="E541:E604" si="12">IF(A541&gt;12*$C$9,0,E540-D541)</f>
        <v>0</v>
      </c>
      <c r="G541" s="708">
        <v>65</v>
      </c>
      <c r="H541" s="708">
        <f t="shared" ref="H541:H604" si="13">IF(G541&gt;12*$C$9,0,IF($C$5&gt;1500000,$E$12,0))</f>
        <v>0</v>
      </c>
      <c r="I541" s="708">
        <f t="shared" ref="I541:I604" si="14">IF(G541&gt;12*$C$9,0,K540*$C$7/12)</f>
        <v>0</v>
      </c>
      <c r="J541" s="708">
        <f t="shared" ref="J541:J604" si="15">IF(G541&gt;12*$C$9,0,H541-I541)</f>
        <v>0</v>
      </c>
      <c r="K541" s="708">
        <f t="shared" ref="K541:K604" si="16">IF(G541&gt;12*$C$9,0,K540-J541)</f>
        <v>0</v>
      </c>
    </row>
    <row r="542" spans="1:12">
      <c r="A542" s="708">
        <v>66</v>
      </c>
      <c r="B542" s="708">
        <f t="shared" si="9"/>
        <v>0</v>
      </c>
      <c r="C542" s="708">
        <f t="shared" si="10"/>
        <v>0</v>
      </c>
      <c r="D542" s="708">
        <f t="shared" si="11"/>
        <v>0</v>
      </c>
      <c r="E542" s="708">
        <f t="shared" si="12"/>
        <v>0</v>
      </c>
      <c r="G542" s="708">
        <v>66</v>
      </c>
      <c r="H542" s="708">
        <f t="shared" si="13"/>
        <v>0</v>
      </c>
      <c r="I542" s="708">
        <f t="shared" si="14"/>
        <v>0</v>
      </c>
      <c r="J542" s="708">
        <f t="shared" si="15"/>
        <v>0</v>
      </c>
      <c r="K542" s="708">
        <f t="shared" si="16"/>
        <v>0</v>
      </c>
    </row>
    <row r="543" spans="1:12">
      <c r="A543" s="708">
        <v>67</v>
      </c>
      <c r="B543" s="708">
        <f t="shared" si="9"/>
        <v>0</v>
      </c>
      <c r="C543" s="708">
        <f t="shared" si="10"/>
        <v>0</v>
      </c>
      <c r="D543" s="708">
        <f t="shared" si="11"/>
        <v>0</v>
      </c>
      <c r="E543" s="708">
        <f t="shared" si="12"/>
        <v>0</v>
      </c>
      <c r="G543" s="708">
        <v>67</v>
      </c>
      <c r="H543" s="708">
        <f t="shared" si="13"/>
        <v>0</v>
      </c>
      <c r="I543" s="708">
        <f t="shared" si="14"/>
        <v>0</v>
      </c>
      <c r="J543" s="708">
        <f t="shared" si="15"/>
        <v>0</v>
      </c>
      <c r="K543" s="708">
        <f t="shared" si="16"/>
        <v>0</v>
      </c>
    </row>
    <row r="544" spans="1:12">
      <c r="A544" s="708">
        <v>68</v>
      </c>
      <c r="B544" s="708">
        <f t="shared" si="9"/>
        <v>0</v>
      </c>
      <c r="C544" s="708">
        <f t="shared" si="10"/>
        <v>0</v>
      </c>
      <c r="D544" s="708">
        <f t="shared" si="11"/>
        <v>0</v>
      </c>
      <c r="E544" s="708">
        <f t="shared" si="12"/>
        <v>0</v>
      </c>
      <c r="G544" s="708">
        <v>68</v>
      </c>
      <c r="H544" s="708">
        <f t="shared" si="13"/>
        <v>0</v>
      </c>
      <c r="I544" s="708">
        <f t="shared" si="14"/>
        <v>0</v>
      </c>
      <c r="J544" s="708">
        <f t="shared" si="15"/>
        <v>0</v>
      </c>
      <c r="K544" s="708">
        <f t="shared" si="16"/>
        <v>0</v>
      </c>
    </row>
    <row r="545" spans="1:12">
      <c r="A545" s="708">
        <v>69</v>
      </c>
      <c r="B545" s="708">
        <f t="shared" si="9"/>
        <v>0</v>
      </c>
      <c r="C545" s="708">
        <f t="shared" si="10"/>
        <v>0</v>
      </c>
      <c r="D545" s="708">
        <f t="shared" si="11"/>
        <v>0</v>
      </c>
      <c r="E545" s="708">
        <f t="shared" si="12"/>
        <v>0</v>
      </c>
      <c r="G545" s="708">
        <v>69</v>
      </c>
      <c r="H545" s="708">
        <f t="shared" si="13"/>
        <v>0</v>
      </c>
      <c r="I545" s="708">
        <f t="shared" si="14"/>
        <v>0</v>
      </c>
      <c r="J545" s="708">
        <f t="shared" si="15"/>
        <v>0</v>
      </c>
      <c r="K545" s="708">
        <f t="shared" si="16"/>
        <v>0</v>
      </c>
    </row>
    <row r="546" spans="1:12">
      <c r="A546" s="708">
        <v>70</v>
      </c>
      <c r="B546" s="708">
        <f t="shared" si="9"/>
        <v>0</v>
      </c>
      <c r="C546" s="708">
        <f t="shared" si="10"/>
        <v>0</v>
      </c>
      <c r="D546" s="708">
        <f t="shared" si="11"/>
        <v>0</v>
      </c>
      <c r="E546" s="708">
        <f t="shared" si="12"/>
        <v>0</v>
      </c>
      <c r="G546" s="708">
        <v>70</v>
      </c>
      <c r="H546" s="708">
        <f t="shared" si="13"/>
        <v>0</v>
      </c>
      <c r="I546" s="708">
        <f t="shared" si="14"/>
        <v>0</v>
      </c>
      <c r="J546" s="708">
        <f t="shared" si="15"/>
        <v>0</v>
      </c>
      <c r="K546" s="708">
        <f t="shared" si="16"/>
        <v>0</v>
      </c>
    </row>
    <row r="547" spans="1:12">
      <c r="A547" s="708">
        <v>71</v>
      </c>
      <c r="B547" s="708">
        <f t="shared" si="9"/>
        <v>0</v>
      </c>
      <c r="C547" s="708">
        <f t="shared" si="10"/>
        <v>0</v>
      </c>
      <c r="D547" s="708">
        <f t="shared" si="11"/>
        <v>0</v>
      </c>
      <c r="E547" s="708">
        <f t="shared" si="12"/>
        <v>0</v>
      </c>
      <c r="G547" s="708">
        <v>71</v>
      </c>
      <c r="H547" s="708">
        <f t="shared" si="13"/>
        <v>0</v>
      </c>
      <c r="I547" s="708">
        <f t="shared" si="14"/>
        <v>0</v>
      </c>
      <c r="J547" s="708">
        <f t="shared" si="15"/>
        <v>0</v>
      </c>
      <c r="K547" s="708">
        <f t="shared" si="16"/>
        <v>0</v>
      </c>
    </row>
    <row r="548" spans="1:12">
      <c r="A548" s="708">
        <v>72</v>
      </c>
      <c r="B548" s="708">
        <f t="shared" si="9"/>
        <v>0</v>
      </c>
      <c r="C548" s="708">
        <f t="shared" si="10"/>
        <v>0</v>
      </c>
      <c r="D548" s="708">
        <f t="shared" si="11"/>
        <v>0</v>
      </c>
      <c r="E548" s="708">
        <f t="shared" si="12"/>
        <v>0</v>
      </c>
      <c r="G548" s="708">
        <v>72</v>
      </c>
      <c r="H548" s="708">
        <f t="shared" si="13"/>
        <v>0</v>
      </c>
      <c r="I548" s="708">
        <f t="shared" si="14"/>
        <v>0</v>
      </c>
      <c r="J548" s="708">
        <f t="shared" si="15"/>
        <v>0</v>
      </c>
      <c r="K548" s="708">
        <f t="shared" si="16"/>
        <v>0</v>
      </c>
    </row>
    <row r="549" spans="1:12">
      <c r="A549" s="708">
        <v>73</v>
      </c>
      <c r="B549" s="708">
        <f t="shared" si="9"/>
        <v>0</v>
      </c>
      <c r="C549" s="708">
        <f t="shared" si="10"/>
        <v>0</v>
      </c>
      <c r="D549" s="708">
        <f t="shared" si="11"/>
        <v>0</v>
      </c>
      <c r="E549" s="708">
        <f t="shared" si="12"/>
        <v>0</v>
      </c>
      <c r="G549" s="708">
        <v>73</v>
      </c>
      <c r="H549" s="708">
        <f t="shared" si="13"/>
        <v>0</v>
      </c>
      <c r="I549" s="708">
        <f t="shared" si="14"/>
        <v>0</v>
      </c>
      <c r="J549" s="708">
        <f t="shared" si="15"/>
        <v>0</v>
      </c>
      <c r="K549" s="708">
        <f t="shared" si="16"/>
        <v>0</v>
      </c>
    </row>
    <row r="550" spans="1:12">
      <c r="A550" s="708">
        <v>74</v>
      </c>
      <c r="B550" s="708">
        <f t="shared" si="9"/>
        <v>0</v>
      </c>
      <c r="C550" s="708">
        <f t="shared" si="10"/>
        <v>0</v>
      </c>
      <c r="D550" s="708">
        <f t="shared" si="11"/>
        <v>0</v>
      </c>
      <c r="E550" s="708">
        <f t="shared" si="12"/>
        <v>0</v>
      </c>
      <c r="F550" s="708">
        <v>6</v>
      </c>
      <c r="G550" s="708">
        <v>74</v>
      </c>
      <c r="H550" s="708">
        <f t="shared" si="13"/>
        <v>0</v>
      </c>
      <c r="I550" s="708">
        <f t="shared" si="14"/>
        <v>0</v>
      </c>
      <c r="J550" s="708">
        <f t="shared" si="15"/>
        <v>0</v>
      </c>
      <c r="K550" s="708">
        <f t="shared" si="16"/>
        <v>0</v>
      </c>
      <c r="L550" s="708">
        <v>6</v>
      </c>
    </row>
    <row r="551" spans="1:12">
      <c r="A551" s="708">
        <v>75</v>
      </c>
      <c r="B551" s="708">
        <f t="shared" si="9"/>
        <v>0</v>
      </c>
      <c r="C551" s="708">
        <f t="shared" si="10"/>
        <v>0</v>
      </c>
      <c r="D551" s="708">
        <f t="shared" si="11"/>
        <v>0</v>
      </c>
      <c r="E551" s="708">
        <f t="shared" si="12"/>
        <v>0</v>
      </c>
      <c r="G551" s="708">
        <v>75</v>
      </c>
      <c r="H551" s="708">
        <f t="shared" si="13"/>
        <v>0</v>
      </c>
      <c r="I551" s="708">
        <f t="shared" si="14"/>
        <v>0</v>
      </c>
      <c r="J551" s="708">
        <f t="shared" si="15"/>
        <v>0</v>
      </c>
      <c r="K551" s="708">
        <f t="shared" si="16"/>
        <v>0</v>
      </c>
    </row>
    <row r="552" spans="1:12">
      <c r="A552" s="708">
        <v>76</v>
      </c>
      <c r="B552" s="708">
        <f t="shared" si="9"/>
        <v>0</v>
      </c>
      <c r="C552" s="708">
        <f t="shared" si="10"/>
        <v>0</v>
      </c>
      <c r="D552" s="708">
        <f t="shared" si="11"/>
        <v>0</v>
      </c>
      <c r="E552" s="708">
        <f t="shared" si="12"/>
        <v>0</v>
      </c>
      <c r="G552" s="708">
        <v>76</v>
      </c>
      <c r="H552" s="708">
        <f t="shared" si="13"/>
        <v>0</v>
      </c>
      <c r="I552" s="708">
        <f t="shared" si="14"/>
        <v>0</v>
      </c>
      <c r="J552" s="708">
        <f t="shared" si="15"/>
        <v>0</v>
      </c>
      <c r="K552" s="708">
        <f t="shared" si="16"/>
        <v>0</v>
      </c>
    </row>
    <row r="553" spans="1:12">
      <c r="A553" s="708">
        <v>77</v>
      </c>
      <c r="B553" s="708">
        <f t="shared" si="9"/>
        <v>0</v>
      </c>
      <c r="C553" s="708">
        <f t="shared" si="10"/>
        <v>0</v>
      </c>
      <c r="D553" s="708">
        <f t="shared" si="11"/>
        <v>0</v>
      </c>
      <c r="E553" s="708">
        <f t="shared" si="12"/>
        <v>0</v>
      </c>
      <c r="G553" s="708">
        <v>77</v>
      </c>
      <c r="H553" s="708">
        <f t="shared" si="13"/>
        <v>0</v>
      </c>
      <c r="I553" s="708">
        <f t="shared" si="14"/>
        <v>0</v>
      </c>
      <c r="J553" s="708">
        <f t="shared" si="15"/>
        <v>0</v>
      </c>
      <c r="K553" s="708">
        <f t="shared" si="16"/>
        <v>0</v>
      </c>
    </row>
    <row r="554" spans="1:12">
      <c r="A554" s="708">
        <v>78</v>
      </c>
      <c r="B554" s="708">
        <f t="shared" si="9"/>
        <v>0</v>
      </c>
      <c r="C554" s="708">
        <f t="shared" si="10"/>
        <v>0</v>
      </c>
      <c r="D554" s="708">
        <f t="shared" si="11"/>
        <v>0</v>
      </c>
      <c r="E554" s="708">
        <f t="shared" si="12"/>
        <v>0</v>
      </c>
      <c r="G554" s="708">
        <v>78</v>
      </c>
      <c r="H554" s="708">
        <f t="shared" si="13"/>
        <v>0</v>
      </c>
      <c r="I554" s="708">
        <f t="shared" si="14"/>
        <v>0</v>
      </c>
      <c r="J554" s="708">
        <f t="shared" si="15"/>
        <v>0</v>
      </c>
      <c r="K554" s="708">
        <f t="shared" si="16"/>
        <v>0</v>
      </c>
    </row>
    <row r="555" spans="1:12">
      <c r="A555" s="708">
        <v>79</v>
      </c>
      <c r="B555" s="708">
        <f t="shared" si="9"/>
        <v>0</v>
      </c>
      <c r="C555" s="708">
        <f t="shared" si="10"/>
        <v>0</v>
      </c>
      <c r="D555" s="708">
        <f t="shared" si="11"/>
        <v>0</v>
      </c>
      <c r="E555" s="708">
        <f t="shared" si="12"/>
        <v>0</v>
      </c>
      <c r="G555" s="708">
        <v>79</v>
      </c>
      <c r="H555" s="708">
        <f t="shared" si="13"/>
        <v>0</v>
      </c>
      <c r="I555" s="708">
        <f t="shared" si="14"/>
        <v>0</v>
      </c>
      <c r="J555" s="708">
        <f t="shared" si="15"/>
        <v>0</v>
      </c>
      <c r="K555" s="708">
        <f t="shared" si="16"/>
        <v>0</v>
      </c>
    </row>
    <row r="556" spans="1:12">
      <c r="A556" s="708">
        <v>80</v>
      </c>
      <c r="B556" s="708">
        <f t="shared" si="9"/>
        <v>0</v>
      </c>
      <c r="C556" s="708">
        <f t="shared" si="10"/>
        <v>0</v>
      </c>
      <c r="D556" s="708">
        <f t="shared" si="11"/>
        <v>0</v>
      </c>
      <c r="E556" s="708">
        <f t="shared" si="12"/>
        <v>0</v>
      </c>
      <c r="G556" s="708">
        <v>80</v>
      </c>
      <c r="H556" s="708">
        <f t="shared" si="13"/>
        <v>0</v>
      </c>
      <c r="I556" s="708">
        <f t="shared" si="14"/>
        <v>0</v>
      </c>
      <c r="J556" s="708">
        <f t="shared" si="15"/>
        <v>0</v>
      </c>
      <c r="K556" s="708">
        <f t="shared" si="16"/>
        <v>0</v>
      </c>
    </row>
    <row r="557" spans="1:12">
      <c r="A557" s="708">
        <v>81</v>
      </c>
      <c r="B557" s="708">
        <f t="shared" si="9"/>
        <v>0</v>
      </c>
      <c r="C557" s="708">
        <f t="shared" si="10"/>
        <v>0</v>
      </c>
      <c r="D557" s="708">
        <f t="shared" si="11"/>
        <v>0</v>
      </c>
      <c r="E557" s="708">
        <f t="shared" si="12"/>
        <v>0</v>
      </c>
      <c r="G557" s="708">
        <v>81</v>
      </c>
      <c r="H557" s="708">
        <f t="shared" si="13"/>
        <v>0</v>
      </c>
      <c r="I557" s="708">
        <f t="shared" si="14"/>
        <v>0</v>
      </c>
      <c r="J557" s="708">
        <f t="shared" si="15"/>
        <v>0</v>
      </c>
      <c r="K557" s="708">
        <f t="shared" si="16"/>
        <v>0</v>
      </c>
    </row>
    <row r="558" spans="1:12">
      <c r="A558" s="708">
        <v>82</v>
      </c>
      <c r="B558" s="708">
        <f t="shared" si="9"/>
        <v>0</v>
      </c>
      <c r="C558" s="708">
        <f t="shared" si="10"/>
        <v>0</v>
      </c>
      <c r="D558" s="708">
        <f t="shared" si="11"/>
        <v>0</v>
      </c>
      <c r="E558" s="708">
        <f t="shared" si="12"/>
        <v>0</v>
      </c>
      <c r="G558" s="708">
        <v>82</v>
      </c>
      <c r="H558" s="708">
        <f t="shared" si="13"/>
        <v>0</v>
      </c>
      <c r="I558" s="708">
        <f t="shared" si="14"/>
        <v>0</v>
      </c>
      <c r="J558" s="708">
        <f t="shared" si="15"/>
        <v>0</v>
      </c>
      <c r="K558" s="708">
        <f t="shared" si="16"/>
        <v>0</v>
      </c>
    </row>
    <row r="559" spans="1:12">
      <c r="A559" s="708">
        <v>83</v>
      </c>
      <c r="B559" s="708">
        <f t="shared" si="9"/>
        <v>0</v>
      </c>
      <c r="C559" s="708">
        <f t="shared" si="10"/>
        <v>0</v>
      </c>
      <c r="D559" s="708">
        <f t="shared" si="11"/>
        <v>0</v>
      </c>
      <c r="E559" s="708">
        <f t="shared" si="12"/>
        <v>0</v>
      </c>
      <c r="G559" s="708">
        <v>83</v>
      </c>
      <c r="H559" s="708">
        <f t="shared" si="13"/>
        <v>0</v>
      </c>
      <c r="I559" s="708">
        <f t="shared" si="14"/>
        <v>0</v>
      </c>
      <c r="J559" s="708">
        <f t="shared" si="15"/>
        <v>0</v>
      </c>
      <c r="K559" s="708">
        <f t="shared" si="16"/>
        <v>0</v>
      </c>
    </row>
    <row r="560" spans="1:12">
      <c r="A560" s="708">
        <v>84</v>
      </c>
      <c r="B560" s="708">
        <f t="shared" si="9"/>
        <v>0</v>
      </c>
      <c r="C560" s="708">
        <f t="shared" si="10"/>
        <v>0</v>
      </c>
      <c r="D560" s="708">
        <f t="shared" si="11"/>
        <v>0</v>
      </c>
      <c r="E560" s="708">
        <f t="shared" si="12"/>
        <v>0</v>
      </c>
      <c r="F560" s="708">
        <v>7</v>
      </c>
      <c r="G560" s="708">
        <v>84</v>
      </c>
      <c r="H560" s="708">
        <f t="shared" si="13"/>
        <v>0</v>
      </c>
      <c r="I560" s="708">
        <f t="shared" si="14"/>
        <v>0</v>
      </c>
      <c r="J560" s="708">
        <f t="shared" si="15"/>
        <v>0</v>
      </c>
      <c r="K560" s="708">
        <f t="shared" si="16"/>
        <v>0</v>
      </c>
      <c r="L560" s="708">
        <v>7</v>
      </c>
    </row>
    <row r="561" spans="1:12">
      <c r="A561" s="708">
        <v>85</v>
      </c>
      <c r="B561" s="708">
        <f t="shared" si="9"/>
        <v>0</v>
      </c>
      <c r="C561" s="708">
        <f t="shared" si="10"/>
        <v>0</v>
      </c>
      <c r="D561" s="708">
        <f t="shared" si="11"/>
        <v>0</v>
      </c>
      <c r="E561" s="708">
        <f t="shared" si="12"/>
        <v>0</v>
      </c>
      <c r="G561" s="708">
        <v>85</v>
      </c>
      <c r="H561" s="708">
        <f t="shared" si="13"/>
        <v>0</v>
      </c>
      <c r="I561" s="708">
        <f t="shared" si="14"/>
        <v>0</v>
      </c>
      <c r="J561" s="708">
        <f t="shared" si="15"/>
        <v>0</v>
      </c>
      <c r="K561" s="708">
        <f t="shared" si="16"/>
        <v>0</v>
      </c>
    </row>
    <row r="562" spans="1:12">
      <c r="A562" s="708">
        <v>86</v>
      </c>
      <c r="B562" s="708">
        <f t="shared" si="9"/>
        <v>0</v>
      </c>
      <c r="C562" s="708">
        <f t="shared" si="10"/>
        <v>0</v>
      </c>
      <c r="D562" s="708">
        <f t="shared" si="11"/>
        <v>0</v>
      </c>
      <c r="E562" s="708">
        <f t="shared" si="12"/>
        <v>0</v>
      </c>
      <c r="G562" s="708">
        <v>86</v>
      </c>
      <c r="H562" s="708">
        <f t="shared" si="13"/>
        <v>0</v>
      </c>
      <c r="I562" s="708">
        <f t="shared" si="14"/>
        <v>0</v>
      </c>
      <c r="J562" s="708">
        <f t="shared" si="15"/>
        <v>0</v>
      </c>
      <c r="K562" s="708">
        <f t="shared" si="16"/>
        <v>0</v>
      </c>
    </row>
    <row r="563" spans="1:12">
      <c r="A563" s="708">
        <v>87</v>
      </c>
      <c r="B563" s="708">
        <f t="shared" si="9"/>
        <v>0</v>
      </c>
      <c r="C563" s="708">
        <f t="shared" si="10"/>
        <v>0</v>
      </c>
      <c r="D563" s="708">
        <f t="shared" si="11"/>
        <v>0</v>
      </c>
      <c r="E563" s="708">
        <f t="shared" si="12"/>
        <v>0</v>
      </c>
      <c r="G563" s="708">
        <v>87</v>
      </c>
      <c r="H563" s="708">
        <f t="shared" si="13"/>
        <v>0</v>
      </c>
      <c r="I563" s="708">
        <f t="shared" si="14"/>
        <v>0</v>
      </c>
      <c r="J563" s="708">
        <f t="shared" si="15"/>
        <v>0</v>
      </c>
      <c r="K563" s="708">
        <f t="shared" si="16"/>
        <v>0</v>
      </c>
    </row>
    <row r="564" spans="1:12">
      <c r="A564" s="708">
        <v>88</v>
      </c>
      <c r="B564" s="708">
        <f t="shared" si="9"/>
        <v>0</v>
      </c>
      <c r="C564" s="708">
        <f t="shared" si="10"/>
        <v>0</v>
      </c>
      <c r="D564" s="708">
        <f t="shared" si="11"/>
        <v>0</v>
      </c>
      <c r="E564" s="708">
        <f t="shared" si="12"/>
        <v>0</v>
      </c>
      <c r="G564" s="708">
        <v>88</v>
      </c>
      <c r="H564" s="708">
        <f t="shared" si="13"/>
        <v>0</v>
      </c>
      <c r="I564" s="708">
        <f t="shared" si="14"/>
        <v>0</v>
      </c>
      <c r="J564" s="708">
        <f t="shared" si="15"/>
        <v>0</v>
      </c>
      <c r="K564" s="708">
        <f t="shared" si="16"/>
        <v>0</v>
      </c>
    </row>
    <row r="565" spans="1:12">
      <c r="A565" s="708">
        <v>89</v>
      </c>
      <c r="B565" s="708">
        <f t="shared" si="9"/>
        <v>0</v>
      </c>
      <c r="C565" s="708">
        <f t="shared" si="10"/>
        <v>0</v>
      </c>
      <c r="D565" s="708">
        <f t="shared" si="11"/>
        <v>0</v>
      </c>
      <c r="E565" s="708">
        <f t="shared" si="12"/>
        <v>0</v>
      </c>
      <c r="G565" s="708">
        <v>89</v>
      </c>
      <c r="H565" s="708">
        <f t="shared" si="13"/>
        <v>0</v>
      </c>
      <c r="I565" s="708">
        <f t="shared" si="14"/>
        <v>0</v>
      </c>
      <c r="J565" s="708">
        <f t="shared" si="15"/>
        <v>0</v>
      </c>
      <c r="K565" s="708">
        <f t="shared" si="16"/>
        <v>0</v>
      </c>
    </row>
    <row r="566" spans="1:12">
      <c r="A566" s="708">
        <v>90</v>
      </c>
      <c r="B566" s="708">
        <f t="shared" si="9"/>
        <v>0</v>
      </c>
      <c r="C566" s="708">
        <f t="shared" si="10"/>
        <v>0</v>
      </c>
      <c r="D566" s="708">
        <f t="shared" si="11"/>
        <v>0</v>
      </c>
      <c r="E566" s="708">
        <f t="shared" si="12"/>
        <v>0</v>
      </c>
      <c r="G566" s="708">
        <v>90</v>
      </c>
      <c r="H566" s="708">
        <f t="shared" si="13"/>
        <v>0</v>
      </c>
      <c r="I566" s="708">
        <f t="shared" si="14"/>
        <v>0</v>
      </c>
      <c r="J566" s="708">
        <f t="shared" si="15"/>
        <v>0</v>
      </c>
      <c r="K566" s="708">
        <f t="shared" si="16"/>
        <v>0</v>
      </c>
    </row>
    <row r="567" spans="1:12">
      <c r="A567" s="708">
        <v>91</v>
      </c>
      <c r="B567" s="708">
        <f t="shared" si="9"/>
        <v>0</v>
      </c>
      <c r="C567" s="708">
        <f t="shared" si="10"/>
        <v>0</v>
      </c>
      <c r="D567" s="708">
        <f t="shared" si="11"/>
        <v>0</v>
      </c>
      <c r="E567" s="708">
        <f t="shared" si="12"/>
        <v>0</v>
      </c>
      <c r="G567" s="708">
        <v>91</v>
      </c>
      <c r="H567" s="708">
        <f t="shared" si="13"/>
        <v>0</v>
      </c>
      <c r="I567" s="708">
        <f t="shared" si="14"/>
        <v>0</v>
      </c>
      <c r="J567" s="708">
        <f t="shared" si="15"/>
        <v>0</v>
      </c>
      <c r="K567" s="708">
        <f t="shared" si="16"/>
        <v>0</v>
      </c>
    </row>
    <row r="568" spans="1:12">
      <c r="A568" s="708">
        <v>92</v>
      </c>
      <c r="B568" s="708">
        <f t="shared" si="9"/>
        <v>0</v>
      </c>
      <c r="C568" s="708">
        <f t="shared" si="10"/>
        <v>0</v>
      </c>
      <c r="D568" s="708">
        <f t="shared" si="11"/>
        <v>0</v>
      </c>
      <c r="E568" s="708">
        <f t="shared" si="12"/>
        <v>0</v>
      </c>
      <c r="G568" s="708">
        <v>92</v>
      </c>
      <c r="H568" s="708">
        <f t="shared" si="13"/>
        <v>0</v>
      </c>
      <c r="I568" s="708">
        <f t="shared" si="14"/>
        <v>0</v>
      </c>
      <c r="J568" s="708">
        <f t="shared" si="15"/>
        <v>0</v>
      </c>
      <c r="K568" s="708">
        <f t="shared" si="16"/>
        <v>0</v>
      </c>
    </row>
    <row r="569" spans="1:12">
      <c r="A569" s="708">
        <v>93</v>
      </c>
      <c r="B569" s="708">
        <f t="shared" si="9"/>
        <v>0</v>
      </c>
      <c r="C569" s="708">
        <f t="shared" si="10"/>
        <v>0</v>
      </c>
      <c r="D569" s="708">
        <f t="shared" si="11"/>
        <v>0</v>
      </c>
      <c r="E569" s="708">
        <f t="shared" si="12"/>
        <v>0</v>
      </c>
      <c r="G569" s="708">
        <v>93</v>
      </c>
      <c r="H569" s="708">
        <f t="shared" si="13"/>
        <v>0</v>
      </c>
      <c r="I569" s="708">
        <f t="shared" si="14"/>
        <v>0</v>
      </c>
      <c r="J569" s="708">
        <f t="shared" si="15"/>
        <v>0</v>
      </c>
      <c r="K569" s="708">
        <f t="shared" si="16"/>
        <v>0</v>
      </c>
    </row>
    <row r="570" spans="1:12">
      <c r="A570" s="708">
        <v>94</v>
      </c>
      <c r="B570" s="708">
        <f t="shared" si="9"/>
        <v>0</v>
      </c>
      <c r="C570" s="708">
        <f t="shared" si="10"/>
        <v>0</v>
      </c>
      <c r="D570" s="708">
        <f t="shared" si="11"/>
        <v>0</v>
      </c>
      <c r="E570" s="708">
        <f t="shared" si="12"/>
        <v>0</v>
      </c>
      <c r="G570" s="708">
        <v>94</v>
      </c>
      <c r="H570" s="708">
        <f t="shared" si="13"/>
        <v>0</v>
      </c>
      <c r="I570" s="708">
        <f t="shared" si="14"/>
        <v>0</v>
      </c>
      <c r="J570" s="708">
        <f t="shared" si="15"/>
        <v>0</v>
      </c>
      <c r="K570" s="708">
        <f t="shared" si="16"/>
        <v>0</v>
      </c>
    </row>
    <row r="571" spans="1:12">
      <c r="A571" s="708">
        <v>95</v>
      </c>
      <c r="B571" s="708">
        <f t="shared" si="9"/>
        <v>0</v>
      </c>
      <c r="C571" s="708">
        <f t="shared" si="10"/>
        <v>0</v>
      </c>
      <c r="D571" s="708">
        <f t="shared" si="11"/>
        <v>0</v>
      </c>
      <c r="E571" s="708">
        <f t="shared" si="12"/>
        <v>0</v>
      </c>
      <c r="G571" s="708">
        <v>95</v>
      </c>
      <c r="H571" s="708">
        <f t="shared" si="13"/>
        <v>0</v>
      </c>
      <c r="I571" s="708">
        <f t="shared" si="14"/>
        <v>0</v>
      </c>
      <c r="J571" s="708">
        <f t="shared" si="15"/>
        <v>0</v>
      </c>
      <c r="K571" s="708">
        <f t="shared" si="16"/>
        <v>0</v>
      </c>
    </row>
    <row r="572" spans="1:12">
      <c r="A572" s="708">
        <v>96</v>
      </c>
      <c r="B572" s="708">
        <f t="shared" si="9"/>
        <v>0</v>
      </c>
      <c r="C572" s="708">
        <f t="shared" si="10"/>
        <v>0</v>
      </c>
      <c r="D572" s="708">
        <f t="shared" si="11"/>
        <v>0</v>
      </c>
      <c r="E572" s="708">
        <f t="shared" si="12"/>
        <v>0</v>
      </c>
      <c r="F572" s="708">
        <v>8</v>
      </c>
      <c r="G572" s="708">
        <v>96</v>
      </c>
      <c r="H572" s="708">
        <f t="shared" si="13"/>
        <v>0</v>
      </c>
      <c r="I572" s="708">
        <f t="shared" si="14"/>
        <v>0</v>
      </c>
      <c r="J572" s="708">
        <f t="shared" si="15"/>
        <v>0</v>
      </c>
      <c r="K572" s="708">
        <f t="shared" si="16"/>
        <v>0</v>
      </c>
      <c r="L572" s="708">
        <v>8</v>
      </c>
    </row>
    <row r="573" spans="1:12">
      <c r="A573" s="708">
        <v>97</v>
      </c>
      <c r="B573" s="708">
        <f t="shared" si="9"/>
        <v>0</v>
      </c>
      <c r="C573" s="708">
        <f t="shared" si="10"/>
        <v>0</v>
      </c>
      <c r="D573" s="708">
        <f t="shared" si="11"/>
        <v>0</v>
      </c>
      <c r="E573" s="708">
        <f t="shared" si="12"/>
        <v>0</v>
      </c>
      <c r="G573" s="708">
        <v>97</v>
      </c>
      <c r="H573" s="708">
        <f t="shared" si="13"/>
        <v>0</v>
      </c>
      <c r="I573" s="708">
        <f t="shared" si="14"/>
        <v>0</v>
      </c>
      <c r="J573" s="708">
        <f t="shared" si="15"/>
        <v>0</v>
      </c>
      <c r="K573" s="708">
        <f t="shared" si="16"/>
        <v>0</v>
      </c>
    </row>
    <row r="574" spans="1:12">
      <c r="A574" s="708">
        <v>98</v>
      </c>
      <c r="B574" s="708">
        <f t="shared" si="9"/>
        <v>0</v>
      </c>
      <c r="C574" s="708">
        <f t="shared" si="10"/>
        <v>0</v>
      </c>
      <c r="D574" s="708">
        <f t="shared" si="11"/>
        <v>0</v>
      </c>
      <c r="E574" s="708">
        <f t="shared" si="12"/>
        <v>0</v>
      </c>
      <c r="G574" s="708">
        <v>98</v>
      </c>
      <c r="H574" s="708">
        <f t="shared" si="13"/>
        <v>0</v>
      </c>
      <c r="I574" s="708">
        <f t="shared" si="14"/>
        <v>0</v>
      </c>
      <c r="J574" s="708">
        <f t="shared" si="15"/>
        <v>0</v>
      </c>
      <c r="K574" s="708">
        <f t="shared" si="16"/>
        <v>0</v>
      </c>
    </row>
    <row r="575" spans="1:12">
      <c r="A575" s="708">
        <v>99</v>
      </c>
      <c r="B575" s="708">
        <f t="shared" si="9"/>
        <v>0</v>
      </c>
      <c r="C575" s="708">
        <f t="shared" si="10"/>
        <v>0</v>
      </c>
      <c r="D575" s="708">
        <f t="shared" si="11"/>
        <v>0</v>
      </c>
      <c r="E575" s="708">
        <f t="shared" si="12"/>
        <v>0</v>
      </c>
      <c r="G575" s="708">
        <v>99</v>
      </c>
      <c r="H575" s="708">
        <f t="shared" si="13"/>
        <v>0</v>
      </c>
      <c r="I575" s="708">
        <f t="shared" si="14"/>
        <v>0</v>
      </c>
      <c r="J575" s="708">
        <f t="shared" si="15"/>
        <v>0</v>
      </c>
      <c r="K575" s="708">
        <f t="shared" si="16"/>
        <v>0</v>
      </c>
    </row>
    <row r="576" spans="1:12">
      <c r="A576" s="708">
        <v>100</v>
      </c>
      <c r="B576" s="708">
        <f t="shared" si="9"/>
        <v>0</v>
      </c>
      <c r="C576" s="708">
        <f t="shared" si="10"/>
        <v>0</v>
      </c>
      <c r="D576" s="708">
        <f t="shared" si="11"/>
        <v>0</v>
      </c>
      <c r="E576" s="708">
        <f t="shared" si="12"/>
        <v>0</v>
      </c>
      <c r="G576" s="708">
        <v>100</v>
      </c>
      <c r="H576" s="708">
        <f t="shared" si="13"/>
        <v>0</v>
      </c>
      <c r="I576" s="708">
        <f t="shared" si="14"/>
        <v>0</v>
      </c>
      <c r="J576" s="708">
        <f t="shared" si="15"/>
        <v>0</v>
      </c>
      <c r="K576" s="708">
        <f t="shared" si="16"/>
        <v>0</v>
      </c>
    </row>
    <row r="577" spans="1:12">
      <c r="A577" s="708">
        <v>101</v>
      </c>
      <c r="B577" s="708">
        <f t="shared" si="9"/>
        <v>0</v>
      </c>
      <c r="C577" s="708">
        <f t="shared" si="10"/>
        <v>0</v>
      </c>
      <c r="D577" s="708">
        <f t="shared" si="11"/>
        <v>0</v>
      </c>
      <c r="E577" s="708">
        <f t="shared" si="12"/>
        <v>0</v>
      </c>
      <c r="G577" s="708">
        <v>101</v>
      </c>
      <c r="H577" s="708">
        <f t="shared" si="13"/>
        <v>0</v>
      </c>
      <c r="I577" s="708">
        <f t="shared" si="14"/>
        <v>0</v>
      </c>
      <c r="J577" s="708">
        <f t="shared" si="15"/>
        <v>0</v>
      </c>
      <c r="K577" s="708">
        <f t="shared" si="16"/>
        <v>0</v>
      </c>
    </row>
    <row r="578" spans="1:12">
      <c r="A578" s="708">
        <v>102</v>
      </c>
      <c r="B578" s="708">
        <f t="shared" si="9"/>
        <v>0</v>
      </c>
      <c r="C578" s="708">
        <f t="shared" si="10"/>
        <v>0</v>
      </c>
      <c r="D578" s="708">
        <f t="shared" si="11"/>
        <v>0</v>
      </c>
      <c r="E578" s="708">
        <f t="shared" si="12"/>
        <v>0</v>
      </c>
      <c r="G578" s="708">
        <v>102</v>
      </c>
      <c r="H578" s="708">
        <f t="shared" si="13"/>
        <v>0</v>
      </c>
      <c r="I578" s="708">
        <f t="shared" si="14"/>
        <v>0</v>
      </c>
      <c r="J578" s="708">
        <f t="shared" si="15"/>
        <v>0</v>
      </c>
      <c r="K578" s="708">
        <f t="shared" si="16"/>
        <v>0</v>
      </c>
    </row>
    <row r="579" spans="1:12">
      <c r="A579" s="708">
        <v>103</v>
      </c>
      <c r="B579" s="708">
        <f t="shared" si="9"/>
        <v>0</v>
      </c>
      <c r="C579" s="708">
        <f t="shared" si="10"/>
        <v>0</v>
      </c>
      <c r="D579" s="708">
        <f t="shared" si="11"/>
        <v>0</v>
      </c>
      <c r="E579" s="708">
        <f t="shared" si="12"/>
        <v>0</v>
      </c>
      <c r="G579" s="708">
        <v>103</v>
      </c>
      <c r="H579" s="708">
        <f t="shared" si="13"/>
        <v>0</v>
      </c>
      <c r="I579" s="708">
        <f t="shared" si="14"/>
        <v>0</v>
      </c>
      <c r="J579" s="708">
        <f t="shared" si="15"/>
        <v>0</v>
      </c>
      <c r="K579" s="708">
        <f t="shared" si="16"/>
        <v>0</v>
      </c>
    </row>
    <row r="580" spans="1:12">
      <c r="A580" s="708">
        <v>104</v>
      </c>
      <c r="B580" s="708">
        <f t="shared" si="9"/>
        <v>0</v>
      </c>
      <c r="C580" s="708">
        <f t="shared" si="10"/>
        <v>0</v>
      </c>
      <c r="D580" s="708">
        <f t="shared" si="11"/>
        <v>0</v>
      </c>
      <c r="E580" s="708">
        <f t="shared" si="12"/>
        <v>0</v>
      </c>
      <c r="G580" s="708">
        <v>104</v>
      </c>
      <c r="H580" s="708">
        <f t="shared" si="13"/>
        <v>0</v>
      </c>
      <c r="I580" s="708">
        <f t="shared" si="14"/>
        <v>0</v>
      </c>
      <c r="J580" s="708">
        <f t="shared" si="15"/>
        <v>0</v>
      </c>
      <c r="K580" s="708">
        <f t="shared" si="16"/>
        <v>0</v>
      </c>
    </row>
    <row r="581" spans="1:12">
      <c r="A581" s="708">
        <v>105</v>
      </c>
      <c r="B581" s="708">
        <f t="shared" si="9"/>
        <v>0</v>
      </c>
      <c r="C581" s="708">
        <f t="shared" si="10"/>
        <v>0</v>
      </c>
      <c r="D581" s="708">
        <f t="shared" si="11"/>
        <v>0</v>
      </c>
      <c r="E581" s="708">
        <f t="shared" si="12"/>
        <v>0</v>
      </c>
      <c r="G581" s="708">
        <v>105</v>
      </c>
      <c r="H581" s="708">
        <f t="shared" si="13"/>
        <v>0</v>
      </c>
      <c r="I581" s="708">
        <f t="shared" si="14"/>
        <v>0</v>
      </c>
      <c r="J581" s="708">
        <f t="shared" si="15"/>
        <v>0</v>
      </c>
      <c r="K581" s="708">
        <f t="shared" si="16"/>
        <v>0</v>
      </c>
    </row>
    <row r="582" spans="1:12">
      <c r="A582" s="708">
        <v>106</v>
      </c>
      <c r="B582" s="708">
        <f t="shared" si="9"/>
        <v>0</v>
      </c>
      <c r="C582" s="708">
        <f t="shared" si="10"/>
        <v>0</v>
      </c>
      <c r="D582" s="708">
        <f t="shared" si="11"/>
        <v>0</v>
      </c>
      <c r="E582" s="708">
        <f t="shared" si="12"/>
        <v>0</v>
      </c>
      <c r="G582" s="708">
        <v>106</v>
      </c>
      <c r="H582" s="708">
        <f t="shared" si="13"/>
        <v>0</v>
      </c>
      <c r="I582" s="708">
        <f t="shared" si="14"/>
        <v>0</v>
      </c>
      <c r="J582" s="708">
        <f t="shared" si="15"/>
        <v>0</v>
      </c>
      <c r="K582" s="708">
        <f t="shared" si="16"/>
        <v>0</v>
      </c>
    </row>
    <row r="583" spans="1:12">
      <c r="A583" s="708">
        <v>107</v>
      </c>
      <c r="B583" s="708">
        <f t="shared" si="9"/>
        <v>0</v>
      </c>
      <c r="C583" s="708">
        <f t="shared" si="10"/>
        <v>0</v>
      </c>
      <c r="D583" s="708">
        <f t="shared" si="11"/>
        <v>0</v>
      </c>
      <c r="E583" s="708">
        <f t="shared" si="12"/>
        <v>0</v>
      </c>
      <c r="G583" s="708">
        <v>107</v>
      </c>
      <c r="H583" s="708">
        <f t="shared" si="13"/>
        <v>0</v>
      </c>
      <c r="I583" s="708">
        <f t="shared" si="14"/>
        <v>0</v>
      </c>
      <c r="J583" s="708">
        <f t="shared" si="15"/>
        <v>0</v>
      </c>
      <c r="K583" s="708">
        <f t="shared" si="16"/>
        <v>0</v>
      </c>
    </row>
    <row r="584" spans="1:12">
      <c r="A584" s="708">
        <v>108</v>
      </c>
      <c r="B584" s="708">
        <f t="shared" si="9"/>
        <v>0</v>
      </c>
      <c r="C584" s="708">
        <f t="shared" si="10"/>
        <v>0</v>
      </c>
      <c r="D584" s="708">
        <f t="shared" si="11"/>
        <v>0</v>
      </c>
      <c r="E584" s="708">
        <f t="shared" si="12"/>
        <v>0</v>
      </c>
      <c r="F584" s="708">
        <v>9</v>
      </c>
      <c r="G584" s="708">
        <v>108</v>
      </c>
      <c r="H584" s="708">
        <f t="shared" si="13"/>
        <v>0</v>
      </c>
      <c r="I584" s="708">
        <f t="shared" si="14"/>
        <v>0</v>
      </c>
      <c r="J584" s="708">
        <f t="shared" si="15"/>
        <v>0</v>
      </c>
      <c r="K584" s="708">
        <f t="shared" si="16"/>
        <v>0</v>
      </c>
      <c r="L584" s="708">
        <v>9</v>
      </c>
    </row>
    <row r="585" spans="1:12">
      <c r="A585" s="708">
        <v>109</v>
      </c>
      <c r="B585" s="708">
        <f t="shared" si="9"/>
        <v>0</v>
      </c>
      <c r="C585" s="708">
        <f t="shared" si="10"/>
        <v>0</v>
      </c>
      <c r="D585" s="708">
        <f t="shared" si="11"/>
        <v>0</v>
      </c>
      <c r="E585" s="708">
        <f t="shared" si="12"/>
        <v>0</v>
      </c>
      <c r="G585" s="708">
        <v>109</v>
      </c>
      <c r="H585" s="708">
        <f t="shared" si="13"/>
        <v>0</v>
      </c>
      <c r="I585" s="708">
        <f t="shared" si="14"/>
        <v>0</v>
      </c>
      <c r="J585" s="708">
        <f t="shared" si="15"/>
        <v>0</v>
      </c>
      <c r="K585" s="708">
        <f t="shared" si="16"/>
        <v>0</v>
      </c>
    </row>
    <row r="586" spans="1:12">
      <c r="A586" s="708">
        <v>110</v>
      </c>
      <c r="B586" s="708">
        <f t="shared" si="9"/>
        <v>0</v>
      </c>
      <c r="C586" s="708">
        <f t="shared" si="10"/>
        <v>0</v>
      </c>
      <c r="D586" s="708">
        <f t="shared" si="11"/>
        <v>0</v>
      </c>
      <c r="E586" s="708">
        <f t="shared" si="12"/>
        <v>0</v>
      </c>
      <c r="G586" s="708">
        <v>110</v>
      </c>
      <c r="H586" s="708">
        <f t="shared" si="13"/>
        <v>0</v>
      </c>
      <c r="I586" s="708">
        <f t="shared" si="14"/>
        <v>0</v>
      </c>
      <c r="J586" s="708">
        <f t="shared" si="15"/>
        <v>0</v>
      </c>
      <c r="K586" s="708">
        <f t="shared" si="16"/>
        <v>0</v>
      </c>
    </row>
    <row r="587" spans="1:12">
      <c r="A587" s="708">
        <v>111</v>
      </c>
      <c r="B587" s="708">
        <f t="shared" si="9"/>
        <v>0</v>
      </c>
      <c r="C587" s="708">
        <f t="shared" si="10"/>
        <v>0</v>
      </c>
      <c r="D587" s="708">
        <f t="shared" si="11"/>
        <v>0</v>
      </c>
      <c r="E587" s="708">
        <f t="shared" si="12"/>
        <v>0</v>
      </c>
      <c r="G587" s="708">
        <v>111</v>
      </c>
      <c r="H587" s="708">
        <f t="shared" si="13"/>
        <v>0</v>
      </c>
      <c r="I587" s="708">
        <f t="shared" si="14"/>
        <v>0</v>
      </c>
      <c r="J587" s="708">
        <f t="shared" si="15"/>
        <v>0</v>
      </c>
      <c r="K587" s="708">
        <f t="shared" si="16"/>
        <v>0</v>
      </c>
    </row>
    <row r="588" spans="1:12">
      <c r="A588" s="708">
        <v>112</v>
      </c>
      <c r="B588" s="708">
        <f t="shared" si="9"/>
        <v>0</v>
      </c>
      <c r="C588" s="708">
        <f t="shared" si="10"/>
        <v>0</v>
      </c>
      <c r="D588" s="708">
        <f t="shared" si="11"/>
        <v>0</v>
      </c>
      <c r="E588" s="708">
        <f t="shared" si="12"/>
        <v>0</v>
      </c>
      <c r="G588" s="708">
        <v>112</v>
      </c>
      <c r="H588" s="708">
        <f t="shared" si="13"/>
        <v>0</v>
      </c>
      <c r="I588" s="708">
        <f t="shared" si="14"/>
        <v>0</v>
      </c>
      <c r="J588" s="708">
        <f t="shared" si="15"/>
        <v>0</v>
      </c>
      <c r="K588" s="708">
        <f t="shared" si="16"/>
        <v>0</v>
      </c>
    </row>
    <row r="589" spans="1:12">
      <c r="A589" s="708">
        <v>113</v>
      </c>
      <c r="B589" s="708">
        <f t="shared" si="9"/>
        <v>0</v>
      </c>
      <c r="C589" s="708">
        <f t="shared" si="10"/>
        <v>0</v>
      </c>
      <c r="D589" s="708">
        <f t="shared" si="11"/>
        <v>0</v>
      </c>
      <c r="E589" s="708">
        <f t="shared" si="12"/>
        <v>0</v>
      </c>
      <c r="G589" s="708">
        <v>113</v>
      </c>
      <c r="H589" s="708">
        <f t="shared" si="13"/>
        <v>0</v>
      </c>
      <c r="I589" s="708">
        <f t="shared" si="14"/>
        <v>0</v>
      </c>
      <c r="J589" s="708">
        <f t="shared" si="15"/>
        <v>0</v>
      </c>
      <c r="K589" s="708">
        <f t="shared" si="16"/>
        <v>0</v>
      </c>
    </row>
    <row r="590" spans="1:12">
      <c r="A590" s="708">
        <v>114</v>
      </c>
      <c r="B590" s="708">
        <f t="shared" si="9"/>
        <v>0</v>
      </c>
      <c r="C590" s="708">
        <f t="shared" si="10"/>
        <v>0</v>
      </c>
      <c r="D590" s="708">
        <f t="shared" si="11"/>
        <v>0</v>
      </c>
      <c r="E590" s="708">
        <f t="shared" si="12"/>
        <v>0</v>
      </c>
      <c r="G590" s="708">
        <v>114</v>
      </c>
      <c r="H590" s="708">
        <f t="shared" si="13"/>
        <v>0</v>
      </c>
      <c r="I590" s="708">
        <f t="shared" si="14"/>
        <v>0</v>
      </c>
      <c r="J590" s="708">
        <f t="shared" si="15"/>
        <v>0</v>
      </c>
      <c r="K590" s="708">
        <f t="shared" si="16"/>
        <v>0</v>
      </c>
    </row>
    <row r="591" spans="1:12">
      <c r="A591" s="708">
        <v>115</v>
      </c>
      <c r="B591" s="708">
        <f t="shared" si="9"/>
        <v>0</v>
      </c>
      <c r="C591" s="708">
        <f t="shared" si="10"/>
        <v>0</v>
      </c>
      <c r="D591" s="708">
        <f t="shared" si="11"/>
        <v>0</v>
      </c>
      <c r="E591" s="708">
        <f t="shared" si="12"/>
        <v>0</v>
      </c>
      <c r="G591" s="708">
        <v>115</v>
      </c>
      <c r="H591" s="708">
        <f t="shared" si="13"/>
        <v>0</v>
      </c>
      <c r="I591" s="708">
        <f t="shared" si="14"/>
        <v>0</v>
      </c>
      <c r="J591" s="708">
        <f t="shared" si="15"/>
        <v>0</v>
      </c>
      <c r="K591" s="708">
        <f t="shared" si="16"/>
        <v>0</v>
      </c>
    </row>
    <row r="592" spans="1:12">
      <c r="A592" s="708">
        <v>116</v>
      </c>
      <c r="B592" s="708">
        <f t="shared" si="9"/>
        <v>0</v>
      </c>
      <c r="C592" s="708">
        <f t="shared" si="10"/>
        <v>0</v>
      </c>
      <c r="D592" s="708">
        <f t="shared" si="11"/>
        <v>0</v>
      </c>
      <c r="E592" s="708">
        <f t="shared" si="12"/>
        <v>0</v>
      </c>
      <c r="G592" s="708">
        <v>116</v>
      </c>
      <c r="H592" s="708">
        <f t="shared" si="13"/>
        <v>0</v>
      </c>
      <c r="I592" s="708">
        <f t="shared" si="14"/>
        <v>0</v>
      </c>
      <c r="J592" s="708">
        <f t="shared" si="15"/>
        <v>0</v>
      </c>
      <c r="K592" s="708">
        <f t="shared" si="16"/>
        <v>0</v>
      </c>
    </row>
    <row r="593" spans="1:12">
      <c r="A593" s="708">
        <v>117</v>
      </c>
      <c r="B593" s="708">
        <f t="shared" si="9"/>
        <v>0</v>
      </c>
      <c r="C593" s="708">
        <f t="shared" si="10"/>
        <v>0</v>
      </c>
      <c r="D593" s="708">
        <f t="shared" si="11"/>
        <v>0</v>
      </c>
      <c r="E593" s="708">
        <f t="shared" si="12"/>
        <v>0</v>
      </c>
      <c r="G593" s="708">
        <v>117</v>
      </c>
      <c r="H593" s="708">
        <f t="shared" si="13"/>
        <v>0</v>
      </c>
      <c r="I593" s="708">
        <f t="shared" si="14"/>
        <v>0</v>
      </c>
      <c r="J593" s="708">
        <f t="shared" si="15"/>
        <v>0</v>
      </c>
      <c r="K593" s="708">
        <f t="shared" si="16"/>
        <v>0</v>
      </c>
    </row>
    <row r="594" spans="1:12">
      <c r="A594" s="708">
        <v>118</v>
      </c>
      <c r="B594" s="708">
        <f t="shared" si="9"/>
        <v>0</v>
      </c>
      <c r="C594" s="708">
        <f t="shared" si="10"/>
        <v>0</v>
      </c>
      <c r="D594" s="708">
        <f t="shared" si="11"/>
        <v>0</v>
      </c>
      <c r="E594" s="708">
        <f t="shared" si="12"/>
        <v>0</v>
      </c>
      <c r="G594" s="708">
        <v>118</v>
      </c>
      <c r="H594" s="708">
        <f t="shared" si="13"/>
        <v>0</v>
      </c>
      <c r="I594" s="708">
        <f t="shared" si="14"/>
        <v>0</v>
      </c>
      <c r="J594" s="708">
        <f t="shared" si="15"/>
        <v>0</v>
      </c>
      <c r="K594" s="708">
        <f t="shared" si="16"/>
        <v>0</v>
      </c>
    </row>
    <row r="595" spans="1:12">
      <c r="A595" s="708">
        <v>119</v>
      </c>
      <c r="B595" s="708">
        <f t="shared" si="9"/>
        <v>0</v>
      </c>
      <c r="C595" s="708">
        <f t="shared" si="10"/>
        <v>0</v>
      </c>
      <c r="D595" s="708">
        <f t="shared" si="11"/>
        <v>0</v>
      </c>
      <c r="E595" s="708">
        <f t="shared" si="12"/>
        <v>0</v>
      </c>
      <c r="G595" s="708">
        <v>119</v>
      </c>
      <c r="H595" s="708">
        <f t="shared" si="13"/>
        <v>0</v>
      </c>
      <c r="I595" s="708">
        <f t="shared" si="14"/>
        <v>0</v>
      </c>
      <c r="J595" s="708">
        <f t="shared" si="15"/>
        <v>0</v>
      </c>
      <c r="K595" s="708">
        <f t="shared" si="16"/>
        <v>0</v>
      </c>
    </row>
    <row r="596" spans="1:12">
      <c r="A596" s="708">
        <v>120</v>
      </c>
      <c r="B596" s="708">
        <f t="shared" si="9"/>
        <v>0</v>
      </c>
      <c r="C596" s="708">
        <f t="shared" si="10"/>
        <v>0</v>
      </c>
      <c r="D596" s="708">
        <f t="shared" si="11"/>
        <v>0</v>
      </c>
      <c r="E596" s="708">
        <f t="shared" si="12"/>
        <v>0</v>
      </c>
      <c r="F596" s="708">
        <v>10</v>
      </c>
      <c r="G596" s="708">
        <v>120</v>
      </c>
      <c r="H596" s="708">
        <f t="shared" si="13"/>
        <v>0</v>
      </c>
      <c r="I596" s="708">
        <f t="shared" si="14"/>
        <v>0</v>
      </c>
      <c r="J596" s="708">
        <f t="shared" si="15"/>
        <v>0</v>
      </c>
      <c r="K596" s="708">
        <f t="shared" si="16"/>
        <v>0</v>
      </c>
      <c r="L596" s="708">
        <v>10</v>
      </c>
    </row>
    <row r="597" spans="1:12">
      <c r="A597" s="708">
        <v>121</v>
      </c>
      <c r="B597" s="708">
        <f t="shared" si="9"/>
        <v>0</v>
      </c>
      <c r="C597" s="708">
        <f t="shared" si="10"/>
        <v>0</v>
      </c>
      <c r="D597" s="708">
        <f t="shared" si="11"/>
        <v>0</v>
      </c>
      <c r="E597" s="708">
        <f t="shared" si="12"/>
        <v>0</v>
      </c>
      <c r="G597" s="708">
        <v>121</v>
      </c>
      <c r="H597" s="708">
        <f t="shared" si="13"/>
        <v>0</v>
      </c>
      <c r="I597" s="708">
        <f t="shared" si="14"/>
        <v>0</v>
      </c>
      <c r="J597" s="708">
        <f t="shared" si="15"/>
        <v>0</v>
      </c>
      <c r="K597" s="708">
        <f t="shared" si="16"/>
        <v>0</v>
      </c>
    </row>
    <row r="598" spans="1:12">
      <c r="A598" s="708">
        <v>122</v>
      </c>
      <c r="B598" s="708">
        <f t="shared" si="9"/>
        <v>0</v>
      </c>
      <c r="C598" s="708">
        <f t="shared" si="10"/>
        <v>0</v>
      </c>
      <c r="D598" s="708">
        <f t="shared" si="11"/>
        <v>0</v>
      </c>
      <c r="E598" s="708">
        <f t="shared" si="12"/>
        <v>0</v>
      </c>
      <c r="G598" s="708">
        <v>122</v>
      </c>
      <c r="H598" s="708">
        <f t="shared" si="13"/>
        <v>0</v>
      </c>
      <c r="I598" s="708">
        <f t="shared" si="14"/>
        <v>0</v>
      </c>
      <c r="J598" s="708">
        <f t="shared" si="15"/>
        <v>0</v>
      </c>
      <c r="K598" s="708">
        <f t="shared" si="16"/>
        <v>0</v>
      </c>
    </row>
    <row r="599" spans="1:12">
      <c r="A599" s="708">
        <v>123</v>
      </c>
      <c r="B599" s="708">
        <f t="shared" si="9"/>
        <v>0</v>
      </c>
      <c r="C599" s="708">
        <f t="shared" si="10"/>
        <v>0</v>
      </c>
      <c r="D599" s="708">
        <f t="shared" si="11"/>
        <v>0</v>
      </c>
      <c r="E599" s="708">
        <f t="shared" si="12"/>
        <v>0</v>
      </c>
      <c r="G599" s="708">
        <v>123</v>
      </c>
      <c r="H599" s="708">
        <f t="shared" si="13"/>
        <v>0</v>
      </c>
      <c r="I599" s="708">
        <f t="shared" si="14"/>
        <v>0</v>
      </c>
      <c r="J599" s="708">
        <f t="shared" si="15"/>
        <v>0</v>
      </c>
      <c r="K599" s="708">
        <f t="shared" si="16"/>
        <v>0</v>
      </c>
    </row>
    <row r="600" spans="1:12">
      <c r="A600" s="708">
        <v>124</v>
      </c>
      <c r="B600" s="708">
        <f t="shared" si="9"/>
        <v>0</v>
      </c>
      <c r="C600" s="708">
        <f t="shared" si="10"/>
        <v>0</v>
      </c>
      <c r="D600" s="708">
        <f t="shared" si="11"/>
        <v>0</v>
      </c>
      <c r="E600" s="708">
        <f t="shared" si="12"/>
        <v>0</v>
      </c>
      <c r="G600" s="708">
        <v>124</v>
      </c>
      <c r="H600" s="708">
        <f t="shared" si="13"/>
        <v>0</v>
      </c>
      <c r="I600" s="708">
        <f t="shared" si="14"/>
        <v>0</v>
      </c>
      <c r="J600" s="708">
        <f t="shared" si="15"/>
        <v>0</v>
      </c>
      <c r="K600" s="708">
        <f t="shared" si="16"/>
        <v>0</v>
      </c>
    </row>
    <row r="601" spans="1:12">
      <c r="A601" s="708">
        <v>125</v>
      </c>
      <c r="B601" s="708">
        <f t="shared" si="9"/>
        <v>0</v>
      </c>
      <c r="C601" s="708">
        <f t="shared" si="10"/>
        <v>0</v>
      </c>
      <c r="D601" s="708">
        <f t="shared" si="11"/>
        <v>0</v>
      </c>
      <c r="E601" s="708">
        <f t="shared" si="12"/>
        <v>0</v>
      </c>
      <c r="G601" s="708">
        <v>125</v>
      </c>
      <c r="H601" s="708">
        <f t="shared" si="13"/>
        <v>0</v>
      </c>
      <c r="I601" s="708">
        <f t="shared" si="14"/>
        <v>0</v>
      </c>
      <c r="J601" s="708">
        <f t="shared" si="15"/>
        <v>0</v>
      </c>
      <c r="K601" s="708">
        <f t="shared" si="16"/>
        <v>0</v>
      </c>
    </row>
    <row r="602" spans="1:12">
      <c r="A602" s="708">
        <v>126</v>
      </c>
      <c r="B602" s="708">
        <f t="shared" si="9"/>
        <v>0</v>
      </c>
      <c r="C602" s="708">
        <f t="shared" si="10"/>
        <v>0</v>
      </c>
      <c r="D602" s="708">
        <f t="shared" si="11"/>
        <v>0</v>
      </c>
      <c r="E602" s="708">
        <f t="shared" si="12"/>
        <v>0</v>
      </c>
      <c r="G602" s="708">
        <v>126</v>
      </c>
      <c r="H602" s="708">
        <f t="shared" si="13"/>
        <v>0</v>
      </c>
      <c r="I602" s="708">
        <f t="shared" si="14"/>
        <v>0</v>
      </c>
      <c r="J602" s="708">
        <f t="shared" si="15"/>
        <v>0</v>
      </c>
      <c r="K602" s="708">
        <f t="shared" si="16"/>
        <v>0</v>
      </c>
    </row>
    <row r="603" spans="1:12">
      <c r="A603" s="708">
        <v>127</v>
      </c>
      <c r="B603" s="708">
        <f t="shared" si="9"/>
        <v>0</v>
      </c>
      <c r="C603" s="708">
        <f t="shared" si="10"/>
        <v>0</v>
      </c>
      <c r="D603" s="708">
        <f t="shared" si="11"/>
        <v>0</v>
      </c>
      <c r="E603" s="708">
        <f t="shared" si="12"/>
        <v>0</v>
      </c>
      <c r="G603" s="708">
        <v>127</v>
      </c>
      <c r="H603" s="708">
        <f t="shared" si="13"/>
        <v>0</v>
      </c>
      <c r="I603" s="708">
        <f t="shared" si="14"/>
        <v>0</v>
      </c>
      <c r="J603" s="708">
        <f t="shared" si="15"/>
        <v>0</v>
      </c>
      <c r="K603" s="708">
        <f t="shared" si="16"/>
        <v>0</v>
      </c>
    </row>
    <row r="604" spans="1:12">
      <c r="A604" s="708">
        <v>128</v>
      </c>
      <c r="B604" s="708">
        <f t="shared" si="9"/>
        <v>0</v>
      </c>
      <c r="C604" s="708">
        <f t="shared" si="10"/>
        <v>0</v>
      </c>
      <c r="D604" s="708">
        <f t="shared" si="11"/>
        <v>0</v>
      </c>
      <c r="E604" s="708">
        <f t="shared" si="12"/>
        <v>0</v>
      </c>
      <c r="G604" s="708">
        <v>128</v>
      </c>
      <c r="H604" s="708">
        <f t="shared" si="13"/>
        <v>0</v>
      </c>
      <c r="I604" s="708">
        <f t="shared" si="14"/>
        <v>0</v>
      </c>
      <c r="J604" s="708">
        <f t="shared" si="15"/>
        <v>0</v>
      </c>
      <c r="K604" s="708">
        <f t="shared" si="16"/>
        <v>0</v>
      </c>
    </row>
    <row r="605" spans="1:12">
      <c r="A605" s="708">
        <v>129</v>
      </c>
      <c r="B605" s="708">
        <f t="shared" ref="B605:B668" si="17">IF(A605&gt;12*$C$9,0,IF($C$5&gt;1500000,$D$12,$C$12))</f>
        <v>0</v>
      </c>
      <c r="C605" s="708">
        <f t="shared" ref="C605:C668" si="18">IF(A605&gt;12*$C$9,0,E604*$C$7/12)</f>
        <v>0</v>
      </c>
      <c r="D605" s="708">
        <f t="shared" ref="D605:D668" si="19">IF(A605&gt;12*$C$9,0,B605-C605)</f>
        <v>0</v>
      </c>
      <c r="E605" s="708">
        <f t="shared" ref="E605:E668" si="20">IF(A605&gt;12*$C$9,0,E604-D605)</f>
        <v>0</v>
      </c>
      <c r="G605" s="708">
        <v>129</v>
      </c>
      <c r="H605" s="708">
        <f t="shared" ref="H605:H668" si="21">IF(G605&gt;12*$C$9,0,IF($C$5&gt;1500000,$E$12,0))</f>
        <v>0</v>
      </c>
      <c r="I605" s="708">
        <f t="shared" ref="I605:I668" si="22">IF(G605&gt;12*$C$9,0,K604*$C$7/12)</f>
        <v>0</v>
      </c>
      <c r="J605" s="708">
        <f t="shared" ref="J605:J668" si="23">IF(G605&gt;12*$C$9,0,H605-I605)</f>
        <v>0</v>
      </c>
      <c r="K605" s="708">
        <f t="shared" ref="K605:K668" si="24">IF(G605&gt;12*$C$9,0,K604-J605)</f>
        <v>0</v>
      </c>
    </row>
    <row r="606" spans="1:12">
      <c r="A606" s="708">
        <v>130</v>
      </c>
      <c r="B606" s="708">
        <f t="shared" si="17"/>
        <v>0</v>
      </c>
      <c r="C606" s="708">
        <f t="shared" si="18"/>
        <v>0</v>
      </c>
      <c r="D606" s="708">
        <f t="shared" si="19"/>
        <v>0</v>
      </c>
      <c r="E606" s="708">
        <f t="shared" si="20"/>
        <v>0</v>
      </c>
      <c r="G606" s="708">
        <v>130</v>
      </c>
      <c r="H606" s="708">
        <f t="shared" si="21"/>
        <v>0</v>
      </c>
      <c r="I606" s="708">
        <f t="shared" si="22"/>
        <v>0</v>
      </c>
      <c r="J606" s="708">
        <f t="shared" si="23"/>
        <v>0</v>
      </c>
      <c r="K606" s="708">
        <f t="shared" si="24"/>
        <v>0</v>
      </c>
    </row>
    <row r="607" spans="1:12">
      <c r="A607" s="708">
        <v>131</v>
      </c>
      <c r="B607" s="708">
        <f t="shared" si="17"/>
        <v>0</v>
      </c>
      <c r="C607" s="708">
        <f t="shared" si="18"/>
        <v>0</v>
      </c>
      <c r="D607" s="708">
        <f t="shared" si="19"/>
        <v>0</v>
      </c>
      <c r="E607" s="708">
        <f t="shared" si="20"/>
        <v>0</v>
      </c>
      <c r="G607" s="708">
        <v>131</v>
      </c>
      <c r="H607" s="708">
        <f t="shared" si="21"/>
        <v>0</v>
      </c>
      <c r="I607" s="708">
        <f t="shared" si="22"/>
        <v>0</v>
      </c>
      <c r="J607" s="708">
        <f t="shared" si="23"/>
        <v>0</v>
      </c>
      <c r="K607" s="708">
        <f t="shared" si="24"/>
        <v>0</v>
      </c>
    </row>
    <row r="608" spans="1:12">
      <c r="A608" s="708">
        <v>132</v>
      </c>
      <c r="B608" s="708">
        <f t="shared" si="17"/>
        <v>0</v>
      </c>
      <c r="C608" s="708">
        <f t="shared" si="18"/>
        <v>0</v>
      </c>
      <c r="D608" s="708">
        <f t="shared" si="19"/>
        <v>0</v>
      </c>
      <c r="E608" s="708">
        <f t="shared" si="20"/>
        <v>0</v>
      </c>
      <c r="F608" s="708">
        <v>11</v>
      </c>
      <c r="G608" s="708">
        <v>132</v>
      </c>
      <c r="H608" s="708">
        <f t="shared" si="21"/>
        <v>0</v>
      </c>
      <c r="I608" s="708">
        <f t="shared" si="22"/>
        <v>0</v>
      </c>
      <c r="J608" s="708">
        <f t="shared" si="23"/>
        <v>0</v>
      </c>
      <c r="K608" s="708">
        <f t="shared" si="24"/>
        <v>0</v>
      </c>
      <c r="L608" s="708">
        <v>11</v>
      </c>
    </row>
    <row r="609" spans="1:12">
      <c r="A609" s="708">
        <v>133</v>
      </c>
      <c r="B609" s="708">
        <f t="shared" si="17"/>
        <v>0</v>
      </c>
      <c r="C609" s="708">
        <f t="shared" si="18"/>
        <v>0</v>
      </c>
      <c r="D609" s="708">
        <f t="shared" si="19"/>
        <v>0</v>
      </c>
      <c r="E609" s="708">
        <f t="shared" si="20"/>
        <v>0</v>
      </c>
      <c r="G609" s="708">
        <v>133</v>
      </c>
      <c r="H609" s="708">
        <f t="shared" si="21"/>
        <v>0</v>
      </c>
      <c r="I609" s="708">
        <f t="shared" si="22"/>
        <v>0</v>
      </c>
      <c r="J609" s="708">
        <f t="shared" si="23"/>
        <v>0</v>
      </c>
      <c r="K609" s="708">
        <f t="shared" si="24"/>
        <v>0</v>
      </c>
    </row>
    <row r="610" spans="1:12">
      <c r="A610" s="708">
        <v>134</v>
      </c>
      <c r="B610" s="708">
        <f t="shared" si="17"/>
        <v>0</v>
      </c>
      <c r="C610" s="708">
        <f t="shared" si="18"/>
        <v>0</v>
      </c>
      <c r="D610" s="708">
        <f t="shared" si="19"/>
        <v>0</v>
      </c>
      <c r="E610" s="708">
        <f t="shared" si="20"/>
        <v>0</v>
      </c>
      <c r="G610" s="708">
        <v>134</v>
      </c>
      <c r="H610" s="708">
        <f t="shared" si="21"/>
        <v>0</v>
      </c>
      <c r="I610" s="708">
        <f t="shared" si="22"/>
        <v>0</v>
      </c>
      <c r="J610" s="708">
        <f t="shared" si="23"/>
        <v>0</v>
      </c>
      <c r="K610" s="708">
        <f t="shared" si="24"/>
        <v>0</v>
      </c>
    </row>
    <row r="611" spans="1:12">
      <c r="A611" s="708">
        <v>135</v>
      </c>
      <c r="B611" s="708">
        <f t="shared" si="17"/>
        <v>0</v>
      </c>
      <c r="C611" s="708">
        <f t="shared" si="18"/>
        <v>0</v>
      </c>
      <c r="D611" s="708">
        <f t="shared" si="19"/>
        <v>0</v>
      </c>
      <c r="E611" s="708">
        <f t="shared" si="20"/>
        <v>0</v>
      </c>
      <c r="G611" s="708">
        <v>135</v>
      </c>
      <c r="H611" s="708">
        <f t="shared" si="21"/>
        <v>0</v>
      </c>
      <c r="I611" s="708">
        <f t="shared" si="22"/>
        <v>0</v>
      </c>
      <c r="J611" s="708">
        <f t="shared" si="23"/>
        <v>0</v>
      </c>
      <c r="K611" s="708">
        <f t="shared" si="24"/>
        <v>0</v>
      </c>
    </row>
    <row r="612" spans="1:12">
      <c r="A612" s="708">
        <v>136</v>
      </c>
      <c r="B612" s="708">
        <f t="shared" si="17"/>
        <v>0</v>
      </c>
      <c r="C612" s="708">
        <f t="shared" si="18"/>
        <v>0</v>
      </c>
      <c r="D612" s="708">
        <f t="shared" si="19"/>
        <v>0</v>
      </c>
      <c r="E612" s="708">
        <f t="shared" si="20"/>
        <v>0</v>
      </c>
      <c r="G612" s="708">
        <v>136</v>
      </c>
      <c r="H612" s="708">
        <f t="shared" si="21"/>
        <v>0</v>
      </c>
      <c r="I612" s="708">
        <f t="shared" si="22"/>
        <v>0</v>
      </c>
      <c r="J612" s="708">
        <f t="shared" si="23"/>
        <v>0</v>
      </c>
      <c r="K612" s="708">
        <f t="shared" si="24"/>
        <v>0</v>
      </c>
    </row>
    <row r="613" spans="1:12">
      <c r="A613" s="708">
        <v>137</v>
      </c>
      <c r="B613" s="708">
        <f t="shared" si="17"/>
        <v>0</v>
      </c>
      <c r="C613" s="708">
        <f t="shared" si="18"/>
        <v>0</v>
      </c>
      <c r="D613" s="708">
        <f t="shared" si="19"/>
        <v>0</v>
      </c>
      <c r="E613" s="708">
        <f t="shared" si="20"/>
        <v>0</v>
      </c>
      <c r="G613" s="708">
        <v>137</v>
      </c>
      <c r="H613" s="708">
        <f t="shared" si="21"/>
        <v>0</v>
      </c>
      <c r="I613" s="708">
        <f t="shared" si="22"/>
        <v>0</v>
      </c>
      <c r="J613" s="708">
        <f t="shared" si="23"/>
        <v>0</v>
      </c>
      <c r="K613" s="708">
        <f t="shared" si="24"/>
        <v>0</v>
      </c>
    </row>
    <row r="614" spans="1:12">
      <c r="A614" s="708">
        <v>138</v>
      </c>
      <c r="B614" s="708">
        <f t="shared" si="17"/>
        <v>0</v>
      </c>
      <c r="C614" s="708">
        <f t="shared" si="18"/>
        <v>0</v>
      </c>
      <c r="D614" s="708">
        <f t="shared" si="19"/>
        <v>0</v>
      </c>
      <c r="E614" s="708">
        <f t="shared" si="20"/>
        <v>0</v>
      </c>
      <c r="G614" s="708">
        <v>138</v>
      </c>
      <c r="H614" s="708">
        <f t="shared" si="21"/>
        <v>0</v>
      </c>
      <c r="I614" s="708">
        <f t="shared" si="22"/>
        <v>0</v>
      </c>
      <c r="J614" s="708">
        <f t="shared" si="23"/>
        <v>0</v>
      </c>
      <c r="K614" s="708">
        <f t="shared" si="24"/>
        <v>0</v>
      </c>
    </row>
    <row r="615" spans="1:12">
      <c r="A615" s="708">
        <v>139</v>
      </c>
      <c r="B615" s="708">
        <f t="shared" si="17"/>
        <v>0</v>
      </c>
      <c r="C615" s="708">
        <f t="shared" si="18"/>
        <v>0</v>
      </c>
      <c r="D615" s="708">
        <f t="shared" si="19"/>
        <v>0</v>
      </c>
      <c r="E615" s="708">
        <f t="shared" si="20"/>
        <v>0</v>
      </c>
      <c r="G615" s="708">
        <v>139</v>
      </c>
      <c r="H615" s="708">
        <f t="shared" si="21"/>
        <v>0</v>
      </c>
      <c r="I615" s="708">
        <f t="shared" si="22"/>
        <v>0</v>
      </c>
      <c r="J615" s="708">
        <f t="shared" si="23"/>
        <v>0</v>
      </c>
      <c r="K615" s="708">
        <f t="shared" si="24"/>
        <v>0</v>
      </c>
    </row>
    <row r="616" spans="1:12">
      <c r="A616" s="708">
        <v>140</v>
      </c>
      <c r="B616" s="708">
        <f t="shared" si="17"/>
        <v>0</v>
      </c>
      <c r="C616" s="708">
        <f t="shared" si="18"/>
        <v>0</v>
      </c>
      <c r="D616" s="708">
        <f t="shared" si="19"/>
        <v>0</v>
      </c>
      <c r="E616" s="708">
        <f t="shared" si="20"/>
        <v>0</v>
      </c>
      <c r="G616" s="708">
        <v>140</v>
      </c>
      <c r="H616" s="708">
        <f t="shared" si="21"/>
        <v>0</v>
      </c>
      <c r="I616" s="708">
        <f t="shared" si="22"/>
        <v>0</v>
      </c>
      <c r="J616" s="708">
        <f t="shared" si="23"/>
        <v>0</v>
      </c>
      <c r="K616" s="708">
        <f t="shared" si="24"/>
        <v>0</v>
      </c>
    </row>
    <row r="617" spans="1:12">
      <c r="A617" s="708">
        <v>141</v>
      </c>
      <c r="B617" s="708">
        <f t="shared" si="17"/>
        <v>0</v>
      </c>
      <c r="C617" s="708">
        <f t="shared" si="18"/>
        <v>0</v>
      </c>
      <c r="D617" s="708">
        <f t="shared" si="19"/>
        <v>0</v>
      </c>
      <c r="E617" s="708">
        <f t="shared" si="20"/>
        <v>0</v>
      </c>
      <c r="G617" s="708">
        <v>141</v>
      </c>
      <c r="H617" s="708">
        <f t="shared" si="21"/>
        <v>0</v>
      </c>
      <c r="I617" s="708">
        <f t="shared" si="22"/>
        <v>0</v>
      </c>
      <c r="J617" s="708">
        <f t="shared" si="23"/>
        <v>0</v>
      </c>
      <c r="K617" s="708">
        <f t="shared" si="24"/>
        <v>0</v>
      </c>
    </row>
    <row r="618" spans="1:12">
      <c r="A618" s="708">
        <v>142</v>
      </c>
      <c r="B618" s="708">
        <f t="shared" si="17"/>
        <v>0</v>
      </c>
      <c r="C618" s="708">
        <f t="shared" si="18"/>
        <v>0</v>
      </c>
      <c r="D618" s="708">
        <f t="shared" si="19"/>
        <v>0</v>
      </c>
      <c r="E618" s="708">
        <f t="shared" si="20"/>
        <v>0</v>
      </c>
      <c r="G618" s="708">
        <v>142</v>
      </c>
      <c r="H618" s="708">
        <f t="shared" si="21"/>
        <v>0</v>
      </c>
      <c r="I618" s="708">
        <f t="shared" si="22"/>
        <v>0</v>
      </c>
      <c r="J618" s="708">
        <f t="shared" si="23"/>
        <v>0</v>
      </c>
      <c r="K618" s="708">
        <f t="shared" si="24"/>
        <v>0</v>
      </c>
    </row>
    <row r="619" spans="1:12">
      <c r="A619" s="708">
        <v>143</v>
      </c>
      <c r="B619" s="708">
        <f t="shared" si="17"/>
        <v>0</v>
      </c>
      <c r="C619" s="708">
        <f t="shared" si="18"/>
        <v>0</v>
      </c>
      <c r="D619" s="708">
        <f t="shared" si="19"/>
        <v>0</v>
      </c>
      <c r="E619" s="708">
        <f t="shared" si="20"/>
        <v>0</v>
      </c>
      <c r="G619" s="708">
        <v>143</v>
      </c>
      <c r="H619" s="708">
        <f t="shared" si="21"/>
        <v>0</v>
      </c>
      <c r="I619" s="708">
        <f t="shared" si="22"/>
        <v>0</v>
      </c>
      <c r="J619" s="708">
        <f t="shared" si="23"/>
        <v>0</v>
      </c>
      <c r="K619" s="708">
        <f t="shared" si="24"/>
        <v>0</v>
      </c>
    </row>
    <row r="620" spans="1:12">
      <c r="A620" s="708">
        <v>144</v>
      </c>
      <c r="B620" s="708">
        <f t="shared" si="17"/>
        <v>0</v>
      </c>
      <c r="C620" s="708">
        <f t="shared" si="18"/>
        <v>0</v>
      </c>
      <c r="D620" s="708">
        <f t="shared" si="19"/>
        <v>0</v>
      </c>
      <c r="E620" s="708">
        <f t="shared" si="20"/>
        <v>0</v>
      </c>
      <c r="F620" s="708">
        <v>12</v>
      </c>
      <c r="G620" s="708">
        <v>144</v>
      </c>
      <c r="H620" s="708">
        <f t="shared" si="21"/>
        <v>0</v>
      </c>
      <c r="I620" s="708">
        <f t="shared" si="22"/>
        <v>0</v>
      </c>
      <c r="J620" s="708">
        <f t="shared" si="23"/>
        <v>0</v>
      </c>
      <c r="K620" s="708">
        <f t="shared" si="24"/>
        <v>0</v>
      </c>
      <c r="L620" s="708">
        <v>12</v>
      </c>
    </row>
    <row r="621" spans="1:12">
      <c r="A621" s="708">
        <v>145</v>
      </c>
      <c r="B621" s="708">
        <f t="shared" si="17"/>
        <v>0</v>
      </c>
      <c r="C621" s="708">
        <f t="shared" si="18"/>
        <v>0</v>
      </c>
      <c r="D621" s="708">
        <f t="shared" si="19"/>
        <v>0</v>
      </c>
      <c r="E621" s="708">
        <f t="shared" si="20"/>
        <v>0</v>
      </c>
      <c r="G621" s="708">
        <v>145</v>
      </c>
      <c r="H621" s="708">
        <f t="shared" si="21"/>
        <v>0</v>
      </c>
      <c r="I621" s="708">
        <f t="shared" si="22"/>
        <v>0</v>
      </c>
      <c r="J621" s="708">
        <f t="shared" si="23"/>
        <v>0</v>
      </c>
      <c r="K621" s="708">
        <f t="shared" si="24"/>
        <v>0</v>
      </c>
    </row>
    <row r="622" spans="1:12">
      <c r="A622" s="708">
        <v>146</v>
      </c>
      <c r="B622" s="708">
        <f t="shared" si="17"/>
        <v>0</v>
      </c>
      <c r="C622" s="708">
        <f t="shared" si="18"/>
        <v>0</v>
      </c>
      <c r="D622" s="708">
        <f t="shared" si="19"/>
        <v>0</v>
      </c>
      <c r="E622" s="708">
        <f t="shared" si="20"/>
        <v>0</v>
      </c>
      <c r="G622" s="708">
        <v>146</v>
      </c>
      <c r="H622" s="708">
        <f t="shared" si="21"/>
        <v>0</v>
      </c>
      <c r="I622" s="708">
        <f t="shared" si="22"/>
        <v>0</v>
      </c>
      <c r="J622" s="708">
        <f t="shared" si="23"/>
        <v>0</v>
      </c>
      <c r="K622" s="708">
        <f t="shared" si="24"/>
        <v>0</v>
      </c>
    </row>
    <row r="623" spans="1:12">
      <c r="A623" s="708">
        <v>147</v>
      </c>
      <c r="B623" s="708">
        <f t="shared" si="17"/>
        <v>0</v>
      </c>
      <c r="C623" s="708">
        <f t="shared" si="18"/>
        <v>0</v>
      </c>
      <c r="D623" s="708">
        <f t="shared" si="19"/>
        <v>0</v>
      </c>
      <c r="E623" s="708">
        <f t="shared" si="20"/>
        <v>0</v>
      </c>
      <c r="G623" s="708">
        <v>147</v>
      </c>
      <c r="H623" s="708">
        <f t="shared" si="21"/>
        <v>0</v>
      </c>
      <c r="I623" s="708">
        <f t="shared" si="22"/>
        <v>0</v>
      </c>
      <c r="J623" s="708">
        <f t="shared" si="23"/>
        <v>0</v>
      </c>
      <c r="K623" s="708">
        <f t="shared" si="24"/>
        <v>0</v>
      </c>
    </row>
    <row r="624" spans="1:12">
      <c r="A624" s="708">
        <v>148</v>
      </c>
      <c r="B624" s="708">
        <f t="shared" si="17"/>
        <v>0</v>
      </c>
      <c r="C624" s="708">
        <f t="shared" si="18"/>
        <v>0</v>
      </c>
      <c r="D624" s="708">
        <f t="shared" si="19"/>
        <v>0</v>
      </c>
      <c r="E624" s="708">
        <f t="shared" si="20"/>
        <v>0</v>
      </c>
      <c r="G624" s="708">
        <v>148</v>
      </c>
      <c r="H624" s="708">
        <f t="shared" si="21"/>
        <v>0</v>
      </c>
      <c r="I624" s="708">
        <f t="shared" si="22"/>
        <v>0</v>
      </c>
      <c r="J624" s="708">
        <f t="shared" si="23"/>
        <v>0</v>
      </c>
      <c r="K624" s="708">
        <f t="shared" si="24"/>
        <v>0</v>
      </c>
    </row>
    <row r="625" spans="1:12">
      <c r="A625" s="708">
        <v>149</v>
      </c>
      <c r="B625" s="708">
        <f t="shared" si="17"/>
        <v>0</v>
      </c>
      <c r="C625" s="708">
        <f t="shared" si="18"/>
        <v>0</v>
      </c>
      <c r="D625" s="708">
        <f t="shared" si="19"/>
        <v>0</v>
      </c>
      <c r="E625" s="708">
        <f t="shared" si="20"/>
        <v>0</v>
      </c>
      <c r="G625" s="708">
        <v>149</v>
      </c>
      <c r="H625" s="708">
        <f t="shared" si="21"/>
        <v>0</v>
      </c>
      <c r="I625" s="708">
        <f t="shared" si="22"/>
        <v>0</v>
      </c>
      <c r="J625" s="708">
        <f t="shared" si="23"/>
        <v>0</v>
      </c>
      <c r="K625" s="708">
        <f t="shared" si="24"/>
        <v>0</v>
      </c>
    </row>
    <row r="626" spans="1:12">
      <c r="A626" s="708">
        <v>150</v>
      </c>
      <c r="B626" s="708">
        <f t="shared" si="17"/>
        <v>0</v>
      </c>
      <c r="C626" s="708">
        <f t="shared" si="18"/>
        <v>0</v>
      </c>
      <c r="D626" s="708">
        <f t="shared" si="19"/>
        <v>0</v>
      </c>
      <c r="E626" s="708">
        <f t="shared" si="20"/>
        <v>0</v>
      </c>
      <c r="G626" s="708">
        <v>150</v>
      </c>
      <c r="H626" s="708">
        <f t="shared" si="21"/>
        <v>0</v>
      </c>
      <c r="I626" s="708">
        <f t="shared" si="22"/>
        <v>0</v>
      </c>
      <c r="J626" s="708">
        <f t="shared" si="23"/>
        <v>0</v>
      </c>
      <c r="K626" s="708">
        <f t="shared" si="24"/>
        <v>0</v>
      </c>
    </row>
    <row r="627" spans="1:12">
      <c r="A627" s="708">
        <v>151</v>
      </c>
      <c r="B627" s="708">
        <f t="shared" si="17"/>
        <v>0</v>
      </c>
      <c r="C627" s="708">
        <f t="shared" si="18"/>
        <v>0</v>
      </c>
      <c r="D627" s="708">
        <f t="shared" si="19"/>
        <v>0</v>
      </c>
      <c r="E627" s="708">
        <f t="shared" si="20"/>
        <v>0</v>
      </c>
      <c r="G627" s="708">
        <v>151</v>
      </c>
      <c r="H627" s="708">
        <f t="shared" si="21"/>
        <v>0</v>
      </c>
      <c r="I627" s="708">
        <f t="shared" si="22"/>
        <v>0</v>
      </c>
      <c r="J627" s="708">
        <f t="shared" si="23"/>
        <v>0</v>
      </c>
      <c r="K627" s="708">
        <f t="shared" si="24"/>
        <v>0</v>
      </c>
    </row>
    <row r="628" spans="1:12">
      <c r="A628" s="708">
        <v>152</v>
      </c>
      <c r="B628" s="708">
        <f t="shared" si="17"/>
        <v>0</v>
      </c>
      <c r="C628" s="708">
        <f t="shared" si="18"/>
        <v>0</v>
      </c>
      <c r="D628" s="708">
        <f t="shared" si="19"/>
        <v>0</v>
      </c>
      <c r="E628" s="708">
        <f t="shared" si="20"/>
        <v>0</v>
      </c>
      <c r="G628" s="708">
        <v>152</v>
      </c>
      <c r="H628" s="708">
        <f t="shared" si="21"/>
        <v>0</v>
      </c>
      <c r="I628" s="708">
        <f t="shared" si="22"/>
        <v>0</v>
      </c>
      <c r="J628" s="708">
        <f t="shared" si="23"/>
        <v>0</v>
      </c>
      <c r="K628" s="708">
        <f t="shared" si="24"/>
        <v>0</v>
      </c>
    </row>
    <row r="629" spans="1:12">
      <c r="A629" s="708">
        <v>153</v>
      </c>
      <c r="B629" s="708">
        <f t="shared" si="17"/>
        <v>0</v>
      </c>
      <c r="C629" s="708">
        <f t="shared" si="18"/>
        <v>0</v>
      </c>
      <c r="D629" s="708">
        <f t="shared" si="19"/>
        <v>0</v>
      </c>
      <c r="E629" s="708">
        <f t="shared" si="20"/>
        <v>0</v>
      </c>
      <c r="G629" s="708">
        <v>153</v>
      </c>
      <c r="H629" s="708">
        <f t="shared" si="21"/>
        <v>0</v>
      </c>
      <c r="I629" s="708">
        <f t="shared" si="22"/>
        <v>0</v>
      </c>
      <c r="J629" s="708">
        <f t="shared" si="23"/>
        <v>0</v>
      </c>
      <c r="K629" s="708">
        <f t="shared" si="24"/>
        <v>0</v>
      </c>
    </row>
    <row r="630" spans="1:12">
      <c r="A630" s="708">
        <v>154</v>
      </c>
      <c r="B630" s="708">
        <f t="shared" si="17"/>
        <v>0</v>
      </c>
      <c r="C630" s="708">
        <f t="shared" si="18"/>
        <v>0</v>
      </c>
      <c r="D630" s="708">
        <f t="shared" si="19"/>
        <v>0</v>
      </c>
      <c r="E630" s="708">
        <f t="shared" si="20"/>
        <v>0</v>
      </c>
      <c r="G630" s="708">
        <v>154</v>
      </c>
      <c r="H630" s="708">
        <f t="shared" si="21"/>
        <v>0</v>
      </c>
      <c r="I630" s="708">
        <f t="shared" si="22"/>
        <v>0</v>
      </c>
      <c r="J630" s="708">
        <f t="shared" si="23"/>
        <v>0</v>
      </c>
      <c r="K630" s="708">
        <f t="shared" si="24"/>
        <v>0</v>
      </c>
    </row>
    <row r="631" spans="1:12">
      <c r="A631" s="708">
        <v>155</v>
      </c>
      <c r="B631" s="708">
        <f t="shared" si="17"/>
        <v>0</v>
      </c>
      <c r="C631" s="708">
        <f t="shared" si="18"/>
        <v>0</v>
      </c>
      <c r="D631" s="708">
        <f t="shared" si="19"/>
        <v>0</v>
      </c>
      <c r="E631" s="708">
        <f t="shared" si="20"/>
        <v>0</v>
      </c>
      <c r="G631" s="708">
        <v>155</v>
      </c>
      <c r="H631" s="708">
        <f t="shared" si="21"/>
        <v>0</v>
      </c>
      <c r="I631" s="708">
        <f t="shared" si="22"/>
        <v>0</v>
      </c>
      <c r="J631" s="708">
        <f t="shared" si="23"/>
        <v>0</v>
      </c>
      <c r="K631" s="708">
        <f t="shared" si="24"/>
        <v>0</v>
      </c>
    </row>
    <row r="632" spans="1:12">
      <c r="A632" s="708">
        <v>156</v>
      </c>
      <c r="B632" s="708">
        <f t="shared" si="17"/>
        <v>0</v>
      </c>
      <c r="C632" s="708">
        <f t="shared" si="18"/>
        <v>0</v>
      </c>
      <c r="D632" s="708">
        <f t="shared" si="19"/>
        <v>0</v>
      </c>
      <c r="E632" s="708">
        <f t="shared" si="20"/>
        <v>0</v>
      </c>
      <c r="F632" s="708">
        <v>13</v>
      </c>
      <c r="G632" s="708">
        <v>156</v>
      </c>
      <c r="H632" s="708">
        <f t="shared" si="21"/>
        <v>0</v>
      </c>
      <c r="I632" s="708">
        <f t="shared" si="22"/>
        <v>0</v>
      </c>
      <c r="J632" s="708">
        <f t="shared" si="23"/>
        <v>0</v>
      </c>
      <c r="K632" s="708">
        <f t="shared" si="24"/>
        <v>0</v>
      </c>
      <c r="L632" s="708">
        <v>13</v>
      </c>
    </row>
    <row r="633" spans="1:12">
      <c r="A633" s="708">
        <v>157</v>
      </c>
      <c r="B633" s="708">
        <f t="shared" si="17"/>
        <v>0</v>
      </c>
      <c r="C633" s="708">
        <f t="shared" si="18"/>
        <v>0</v>
      </c>
      <c r="D633" s="708">
        <f t="shared" si="19"/>
        <v>0</v>
      </c>
      <c r="E633" s="708">
        <f t="shared" si="20"/>
        <v>0</v>
      </c>
      <c r="G633" s="708">
        <v>157</v>
      </c>
      <c r="H633" s="708">
        <f t="shared" si="21"/>
        <v>0</v>
      </c>
      <c r="I633" s="708">
        <f t="shared" si="22"/>
        <v>0</v>
      </c>
      <c r="J633" s="708">
        <f t="shared" si="23"/>
        <v>0</v>
      </c>
      <c r="K633" s="708">
        <f t="shared" si="24"/>
        <v>0</v>
      </c>
    </row>
    <row r="634" spans="1:12">
      <c r="A634" s="708">
        <v>158</v>
      </c>
      <c r="B634" s="708">
        <f t="shared" si="17"/>
        <v>0</v>
      </c>
      <c r="C634" s="708">
        <f t="shared" si="18"/>
        <v>0</v>
      </c>
      <c r="D634" s="708">
        <f t="shared" si="19"/>
        <v>0</v>
      </c>
      <c r="E634" s="708">
        <f t="shared" si="20"/>
        <v>0</v>
      </c>
      <c r="G634" s="708">
        <v>158</v>
      </c>
      <c r="H634" s="708">
        <f t="shared" si="21"/>
        <v>0</v>
      </c>
      <c r="I634" s="708">
        <f t="shared" si="22"/>
        <v>0</v>
      </c>
      <c r="J634" s="708">
        <f t="shared" si="23"/>
        <v>0</v>
      </c>
      <c r="K634" s="708">
        <f t="shared" si="24"/>
        <v>0</v>
      </c>
    </row>
    <row r="635" spans="1:12">
      <c r="A635" s="708">
        <v>159</v>
      </c>
      <c r="B635" s="708">
        <f t="shared" si="17"/>
        <v>0</v>
      </c>
      <c r="C635" s="708">
        <f t="shared" si="18"/>
        <v>0</v>
      </c>
      <c r="D635" s="708">
        <f t="shared" si="19"/>
        <v>0</v>
      </c>
      <c r="E635" s="708">
        <f t="shared" si="20"/>
        <v>0</v>
      </c>
      <c r="G635" s="708">
        <v>159</v>
      </c>
      <c r="H635" s="708">
        <f t="shared" si="21"/>
        <v>0</v>
      </c>
      <c r="I635" s="708">
        <f t="shared" si="22"/>
        <v>0</v>
      </c>
      <c r="J635" s="708">
        <f t="shared" si="23"/>
        <v>0</v>
      </c>
      <c r="K635" s="708">
        <f t="shared" si="24"/>
        <v>0</v>
      </c>
    </row>
    <row r="636" spans="1:12">
      <c r="A636" s="708">
        <v>160</v>
      </c>
      <c r="B636" s="708">
        <f t="shared" si="17"/>
        <v>0</v>
      </c>
      <c r="C636" s="708">
        <f t="shared" si="18"/>
        <v>0</v>
      </c>
      <c r="D636" s="708">
        <f t="shared" si="19"/>
        <v>0</v>
      </c>
      <c r="E636" s="708">
        <f t="shared" si="20"/>
        <v>0</v>
      </c>
      <c r="G636" s="708">
        <v>160</v>
      </c>
      <c r="H636" s="708">
        <f t="shared" si="21"/>
        <v>0</v>
      </c>
      <c r="I636" s="708">
        <f t="shared" si="22"/>
        <v>0</v>
      </c>
      <c r="J636" s="708">
        <f t="shared" si="23"/>
        <v>0</v>
      </c>
      <c r="K636" s="708">
        <f t="shared" si="24"/>
        <v>0</v>
      </c>
    </row>
    <row r="637" spans="1:12">
      <c r="A637" s="708">
        <v>161</v>
      </c>
      <c r="B637" s="708">
        <f t="shared" si="17"/>
        <v>0</v>
      </c>
      <c r="C637" s="708">
        <f t="shared" si="18"/>
        <v>0</v>
      </c>
      <c r="D637" s="708">
        <f t="shared" si="19"/>
        <v>0</v>
      </c>
      <c r="E637" s="708">
        <f t="shared" si="20"/>
        <v>0</v>
      </c>
      <c r="G637" s="708">
        <v>161</v>
      </c>
      <c r="H637" s="708">
        <f t="shared" si="21"/>
        <v>0</v>
      </c>
      <c r="I637" s="708">
        <f t="shared" si="22"/>
        <v>0</v>
      </c>
      <c r="J637" s="708">
        <f t="shared" si="23"/>
        <v>0</v>
      </c>
      <c r="K637" s="708">
        <f t="shared" si="24"/>
        <v>0</v>
      </c>
    </row>
    <row r="638" spans="1:12">
      <c r="A638" s="708">
        <v>162</v>
      </c>
      <c r="B638" s="708">
        <f t="shared" si="17"/>
        <v>0</v>
      </c>
      <c r="C638" s="708">
        <f t="shared" si="18"/>
        <v>0</v>
      </c>
      <c r="D638" s="708">
        <f t="shared" si="19"/>
        <v>0</v>
      </c>
      <c r="E638" s="708">
        <f t="shared" si="20"/>
        <v>0</v>
      </c>
      <c r="G638" s="708">
        <v>162</v>
      </c>
      <c r="H638" s="708">
        <f t="shared" si="21"/>
        <v>0</v>
      </c>
      <c r="I638" s="708">
        <f t="shared" si="22"/>
        <v>0</v>
      </c>
      <c r="J638" s="708">
        <f t="shared" si="23"/>
        <v>0</v>
      </c>
      <c r="K638" s="708">
        <f t="shared" si="24"/>
        <v>0</v>
      </c>
    </row>
    <row r="639" spans="1:12">
      <c r="A639" s="708">
        <v>163</v>
      </c>
      <c r="B639" s="708">
        <f t="shared" si="17"/>
        <v>0</v>
      </c>
      <c r="C639" s="708">
        <f t="shared" si="18"/>
        <v>0</v>
      </c>
      <c r="D639" s="708">
        <f t="shared" si="19"/>
        <v>0</v>
      </c>
      <c r="E639" s="708">
        <f t="shared" si="20"/>
        <v>0</v>
      </c>
      <c r="G639" s="708">
        <v>163</v>
      </c>
      <c r="H639" s="708">
        <f t="shared" si="21"/>
        <v>0</v>
      </c>
      <c r="I639" s="708">
        <f t="shared" si="22"/>
        <v>0</v>
      </c>
      <c r="J639" s="708">
        <f t="shared" si="23"/>
        <v>0</v>
      </c>
      <c r="K639" s="708">
        <f t="shared" si="24"/>
        <v>0</v>
      </c>
    </row>
    <row r="640" spans="1:12">
      <c r="A640" s="708">
        <v>164</v>
      </c>
      <c r="B640" s="708">
        <f t="shared" si="17"/>
        <v>0</v>
      </c>
      <c r="C640" s="708">
        <f t="shared" si="18"/>
        <v>0</v>
      </c>
      <c r="D640" s="708">
        <f t="shared" si="19"/>
        <v>0</v>
      </c>
      <c r="E640" s="708">
        <f t="shared" si="20"/>
        <v>0</v>
      </c>
      <c r="G640" s="708">
        <v>164</v>
      </c>
      <c r="H640" s="708">
        <f t="shared" si="21"/>
        <v>0</v>
      </c>
      <c r="I640" s="708">
        <f t="shared" si="22"/>
        <v>0</v>
      </c>
      <c r="J640" s="708">
        <f t="shared" si="23"/>
        <v>0</v>
      </c>
      <c r="K640" s="708">
        <f t="shared" si="24"/>
        <v>0</v>
      </c>
    </row>
    <row r="641" spans="1:12">
      <c r="A641" s="708">
        <v>165</v>
      </c>
      <c r="B641" s="708">
        <f t="shared" si="17"/>
        <v>0</v>
      </c>
      <c r="C641" s="708">
        <f t="shared" si="18"/>
        <v>0</v>
      </c>
      <c r="D641" s="708">
        <f t="shared" si="19"/>
        <v>0</v>
      </c>
      <c r="E641" s="708">
        <f t="shared" si="20"/>
        <v>0</v>
      </c>
      <c r="G641" s="708">
        <v>165</v>
      </c>
      <c r="H641" s="708">
        <f t="shared" si="21"/>
        <v>0</v>
      </c>
      <c r="I641" s="708">
        <f t="shared" si="22"/>
        <v>0</v>
      </c>
      <c r="J641" s="708">
        <f t="shared" si="23"/>
        <v>0</v>
      </c>
      <c r="K641" s="708">
        <f t="shared" si="24"/>
        <v>0</v>
      </c>
    </row>
    <row r="642" spans="1:12">
      <c r="A642" s="708">
        <v>166</v>
      </c>
      <c r="B642" s="708">
        <f t="shared" si="17"/>
        <v>0</v>
      </c>
      <c r="C642" s="708">
        <f t="shared" si="18"/>
        <v>0</v>
      </c>
      <c r="D642" s="708">
        <f t="shared" si="19"/>
        <v>0</v>
      </c>
      <c r="E642" s="708">
        <f t="shared" si="20"/>
        <v>0</v>
      </c>
      <c r="G642" s="708">
        <v>166</v>
      </c>
      <c r="H642" s="708">
        <f t="shared" si="21"/>
        <v>0</v>
      </c>
      <c r="I642" s="708">
        <f t="shared" si="22"/>
        <v>0</v>
      </c>
      <c r="J642" s="708">
        <f t="shared" si="23"/>
        <v>0</v>
      </c>
      <c r="K642" s="708">
        <f t="shared" si="24"/>
        <v>0</v>
      </c>
    </row>
    <row r="643" spans="1:12">
      <c r="A643" s="708">
        <v>167</v>
      </c>
      <c r="B643" s="708">
        <f t="shared" si="17"/>
        <v>0</v>
      </c>
      <c r="C643" s="708">
        <f t="shared" si="18"/>
        <v>0</v>
      </c>
      <c r="D643" s="708">
        <f t="shared" si="19"/>
        <v>0</v>
      </c>
      <c r="E643" s="708">
        <f t="shared" si="20"/>
        <v>0</v>
      </c>
      <c r="G643" s="708">
        <v>167</v>
      </c>
      <c r="H643" s="708">
        <f t="shared" si="21"/>
        <v>0</v>
      </c>
      <c r="I643" s="708">
        <f t="shared" si="22"/>
        <v>0</v>
      </c>
      <c r="J643" s="708">
        <f t="shared" si="23"/>
        <v>0</v>
      </c>
      <c r="K643" s="708">
        <f t="shared" si="24"/>
        <v>0</v>
      </c>
    </row>
    <row r="644" spans="1:12">
      <c r="A644" s="708">
        <v>168</v>
      </c>
      <c r="B644" s="708">
        <f t="shared" si="17"/>
        <v>0</v>
      </c>
      <c r="C644" s="708">
        <f t="shared" si="18"/>
        <v>0</v>
      </c>
      <c r="D644" s="708">
        <f t="shared" si="19"/>
        <v>0</v>
      </c>
      <c r="E644" s="708">
        <f t="shared" si="20"/>
        <v>0</v>
      </c>
      <c r="F644" s="708">
        <v>14</v>
      </c>
      <c r="G644" s="708">
        <v>168</v>
      </c>
      <c r="H644" s="708">
        <f t="shared" si="21"/>
        <v>0</v>
      </c>
      <c r="I644" s="708">
        <f t="shared" si="22"/>
        <v>0</v>
      </c>
      <c r="J644" s="708">
        <f t="shared" si="23"/>
        <v>0</v>
      </c>
      <c r="K644" s="708">
        <f t="shared" si="24"/>
        <v>0</v>
      </c>
      <c r="L644" s="708">
        <v>14</v>
      </c>
    </row>
    <row r="645" spans="1:12">
      <c r="A645" s="708">
        <v>169</v>
      </c>
      <c r="B645" s="708">
        <f t="shared" si="17"/>
        <v>0</v>
      </c>
      <c r="C645" s="708">
        <f t="shared" si="18"/>
        <v>0</v>
      </c>
      <c r="D645" s="708">
        <f t="shared" si="19"/>
        <v>0</v>
      </c>
      <c r="E645" s="708">
        <f t="shared" si="20"/>
        <v>0</v>
      </c>
      <c r="G645" s="708">
        <v>169</v>
      </c>
      <c r="H645" s="708">
        <f t="shared" si="21"/>
        <v>0</v>
      </c>
      <c r="I645" s="708">
        <f t="shared" si="22"/>
        <v>0</v>
      </c>
      <c r="J645" s="708">
        <f t="shared" si="23"/>
        <v>0</v>
      </c>
      <c r="K645" s="708">
        <f t="shared" si="24"/>
        <v>0</v>
      </c>
    </row>
    <row r="646" spans="1:12">
      <c r="A646" s="708">
        <v>170</v>
      </c>
      <c r="B646" s="708">
        <f t="shared" si="17"/>
        <v>0</v>
      </c>
      <c r="C646" s="708">
        <f t="shared" si="18"/>
        <v>0</v>
      </c>
      <c r="D646" s="708">
        <f t="shared" si="19"/>
        <v>0</v>
      </c>
      <c r="E646" s="708">
        <f t="shared" si="20"/>
        <v>0</v>
      </c>
      <c r="G646" s="708">
        <v>170</v>
      </c>
      <c r="H646" s="708">
        <f t="shared" si="21"/>
        <v>0</v>
      </c>
      <c r="I646" s="708">
        <f t="shared" si="22"/>
        <v>0</v>
      </c>
      <c r="J646" s="708">
        <f t="shared" si="23"/>
        <v>0</v>
      </c>
      <c r="K646" s="708">
        <f t="shared" si="24"/>
        <v>0</v>
      </c>
    </row>
    <row r="647" spans="1:12">
      <c r="A647" s="708">
        <v>171</v>
      </c>
      <c r="B647" s="708">
        <f t="shared" si="17"/>
        <v>0</v>
      </c>
      <c r="C647" s="708">
        <f t="shared" si="18"/>
        <v>0</v>
      </c>
      <c r="D647" s="708">
        <f t="shared" si="19"/>
        <v>0</v>
      </c>
      <c r="E647" s="708">
        <f t="shared" si="20"/>
        <v>0</v>
      </c>
      <c r="G647" s="708">
        <v>171</v>
      </c>
      <c r="H647" s="708">
        <f t="shared" si="21"/>
        <v>0</v>
      </c>
      <c r="I647" s="708">
        <f t="shared" si="22"/>
        <v>0</v>
      </c>
      <c r="J647" s="708">
        <f t="shared" si="23"/>
        <v>0</v>
      </c>
      <c r="K647" s="708">
        <f t="shared" si="24"/>
        <v>0</v>
      </c>
    </row>
    <row r="648" spans="1:12">
      <c r="A648" s="708">
        <v>172</v>
      </c>
      <c r="B648" s="708">
        <f t="shared" si="17"/>
        <v>0</v>
      </c>
      <c r="C648" s="708">
        <f t="shared" si="18"/>
        <v>0</v>
      </c>
      <c r="D648" s="708">
        <f t="shared" si="19"/>
        <v>0</v>
      </c>
      <c r="E648" s="708">
        <f t="shared" si="20"/>
        <v>0</v>
      </c>
      <c r="G648" s="708">
        <v>172</v>
      </c>
      <c r="H648" s="708">
        <f t="shared" si="21"/>
        <v>0</v>
      </c>
      <c r="I648" s="708">
        <f t="shared" si="22"/>
        <v>0</v>
      </c>
      <c r="J648" s="708">
        <f t="shared" si="23"/>
        <v>0</v>
      </c>
      <c r="K648" s="708">
        <f t="shared" si="24"/>
        <v>0</v>
      </c>
    </row>
    <row r="649" spans="1:12">
      <c r="A649" s="708">
        <v>173</v>
      </c>
      <c r="B649" s="708">
        <f t="shared" si="17"/>
        <v>0</v>
      </c>
      <c r="C649" s="708">
        <f t="shared" si="18"/>
        <v>0</v>
      </c>
      <c r="D649" s="708">
        <f t="shared" si="19"/>
        <v>0</v>
      </c>
      <c r="E649" s="708">
        <f t="shared" si="20"/>
        <v>0</v>
      </c>
      <c r="G649" s="708">
        <v>173</v>
      </c>
      <c r="H649" s="708">
        <f t="shared" si="21"/>
        <v>0</v>
      </c>
      <c r="I649" s="708">
        <f t="shared" si="22"/>
        <v>0</v>
      </c>
      <c r="J649" s="708">
        <f t="shared" si="23"/>
        <v>0</v>
      </c>
      <c r="K649" s="708">
        <f t="shared" si="24"/>
        <v>0</v>
      </c>
    </row>
    <row r="650" spans="1:12">
      <c r="A650" s="708">
        <v>174</v>
      </c>
      <c r="B650" s="708">
        <f t="shared" si="17"/>
        <v>0</v>
      </c>
      <c r="C650" s="708">
        <f t="shared" si="18"/>
        <v>0</v>
      </c>
      <c r="D650" s="708">
        <f t="shared" si="19"/>
        <v>0</v>
      </c>
      <c r="E650" s="708">
        <f t="shared" si="20"/>
        <v>0</v>
      </c>
      <c r="G650" s="708">
        <v>174</v>
      </c>
      <c r="H650" s="708">
        <f t="shared" si="21"/>
        <v>0</v>
      </c>
      <c r="I650" s="708">
        <f t="shared" si="22"/>
        <v>0</v>
      </c>
      <c r="J650" s="708">
        <f t="shared" si="23"/>
        <v>0</v>
      </c>
      <c r="K650" s="708">
        <f t="shared" si="24"/>
        <v>0</v>
      </c>
    </row>
    <row r="651" spans="1:12">
      <c r="A651" s="708">
        <v>175</v>
      </c>
      <c r="B651" s="708">
        <f t="shared" si="17"/>
        <v>0</v>
      </c>
      <c r="C651" s="708">
        <f t="shared" si="18"/>
        <v>0</v>
      </c>
      <c r="D651" s="708">
        <f t="shared" si="19"/>
        <v>0</v>
      </c>
      <c r="E651" s="708">
        <f t="shared" si="20"/>
        <v>0</v>
      </c>
      <c r="G651" s="708">
        <v>175</v>
      </c>
      <c r="H651" s="708">
        <f t="shared" si="21"/>
        <v>0</v>
      </c>
      <c r="I651" s="708">
        <f t="shared" si="22"/>
        <v>0</v>
      </c>
      <c r="J651" s="708">
        <f t="shared" si="23"/>
        <v>0</v>
      </c>
      <c r="K651" s="708">
        <f t="shared" si="24"/>
        <v>0</v>
      </c>
    </row>
    <row r="652" spans="1:12">
      <c r="A652" s="708">
        <v>176</v>
      </c>
      <c r="B652" s="708">
        <f t="shared" si="17"/>
        <v>0</v>
      </c>
      <c r="C652" s="708">
        <f t="shared" si="18"/>
        <v>0</v>
      </c>
      <c r="D652" s="708">
        <f t="shared" si="19"/>
        <v>0</v>
      </c>
      <c r="E652" s="708">
        <f t="shared" si="20"/>
        <v>0</v>
      </c>
      <c r="G652" s="708">
        <v>176</v>
      </c>
      <c r="H652" s="708">
        <f t="shared" si="21"/>
        <v>0</v>
      </c>
      <c r="I652" s="708">
        <f t="shared" si="22"/>
        <v>0</v>
      </c>
      <c r="J652" s="708">
        <f t="shared" si="23"/>
        <v>0</v>
      </c>
      <c r="K652" s="708">
        <f t="shared" si="24"/>
        <v>0</v>
      </c>
    </row>
    <row r="653" spans="1:12">
      <c r="A653" s="708">
        <v>177</v>
      </c>
      <c r="B653" s="708">
        <f t="shared" si="17"/>
        <v>0</v>
      </c>
      <c r="C653" s="708">
        <f t="shared" si="18"/>
        <v>0</v>
      </c>
      <c r="D653" s="708">
        <f t="shared" si="19"/>
        <v>0</v>
      </c>
      <c r="E653" s="708">
        <f t="shared" si="20"/>
        <v>0</v>
      </c>
      <c r="G653" s="708">
        <v>177</v>
      </c>
      <c r="H653" s="708">
        <f t="shared" si="21"/>
        <v>0</v>
      </c>
      <c r="I653" s="708">
        <f t="shared" si="22"/>
        <v>0</v>
      </c>
      <c r="J653" s="708">
        <f t="shared" si="23"/>
        <v>0</v>
      </c>
      <c r="K653" s="708">
        <f t="shared" si="24"/>
        <v>0</v>
      </c>
    </row>
    <row r="654" spans="1:12">
      <c r="A654" s="708">
        <v>178</v>
      </c>
      <c r="B654" s="708">
        <f t="shared" si="17"/>
        <v>0</v>
      </c>
      <c r="C654" s="708">
        <f t="shared" si="18"/>
        <v>0</v>
      </c>
      <c r="D654" s="708">
        <f t="shared" si="19"/>
        <v>0</v>
      </c>
      <c r="E654" s="708">
        <f t="shared" si="20"/>
        <v>0</v>
      </c>
      <c r="G654" s="708">
        <v>178</v>
      </c>
      <c r="H654" s="708">
        <f t="shared" si="21"/>
        <v>0</v>
      </c>
      <c r="I654" s="708">
        <f t="shared" si="22"/>
        <v>0</v>
      </c>
      <c r="J654" s="708">
        <f t="shared" si="23"/>
        <v>0</v>
      </c>
      <c r="K654" s="708">
        <f t="shared" si="24"/>
        <v>0</v>
      </c>
    </row>
    <row r="655" spans="1:12">
      <c r="A655" s="708">
        <v>179</v>
      </c>
      <c r="B655" s="708">
        <f t="shared" si="17"/>
        <v>0</v>
      </c>
      <c r="C655" s="708">
        <f t="shared" si="18"/>
        <v>0</v>
      </c>
      <c r="D655" s="708">
        <f t="shared" si="19"/>
        <v>0</v>
      </c>
      <c r="E655" s="708">
        <f t="shared" si="20"/>
        <v>0</v>
      </c>
      <c r="G655" s="708">
        <v>179</v>
      </c>
      <c r="H655" s="708">
        <f t="shared" si="21"/>
        <v>0</v>
      </c>
      <c r="I655" s="708">
        <f t="shared" si="22"/>
        <v>0</v>
      </c>
      <c r="J655" s="708">
        <f t="shared" si="23"/>
        <v>0</v>
      </c>
      <c r="K655" s="708">
        <f t="shared" si="24"/>
        <v>0</v>
      </c>
    </row>
    <row r="656" spans="1:12">
      <c r="A656" s="708">
        <v>180</v>
      </c>
      <c r="B656" s="708">
        <f t="shared" si="17"/>
        <v>0</v>
      </c>
      <c r="C656" s="708">
        <f t="shared" si="18"/>
        <v>0</v>
      </c>
      <c r="D656" s="708">
        <f t="shared" si="19"/>
        <v>0</v>
      </c>
      <c r="E656" s="708">
        <f t="shared" si="20"/>
        <v>0</v>
      </c>
      <c r="F656" s="708">
        <v>15</v>
      </c>
      <c r="G656" s="708">
        <v>180</v>
      </c>
      <c r="H656" s="708">
        <f t="shared" si="21"/>
        <v>0</v>
      </c>
      <c r="I656" s="708">
        <f t="shared" si="22"/>
        <v>0</v>
      </c>
      <c r="J656" s="708">
        <f t="shared" si="23"/>
        <v>0</v>
      </c>
      <c r="K656" s="708">
        <f t="shared" si="24"/>
        <v>0</v>
      </c>
      <c r="L656" s="708">
        <v>15</v>
      </c>
    </row>
    <row r="657" spans="1:12">
      <c r="A657" s="708">
        <v>181</v>
      </c>
      <c r="B657" s="708">
        <f t="shared" si="17"/>
        <v>0</v>
      </c>
      <c r="C657" s="708">
        <f t="shared" si="18"/>
        <v>0</v>
      </c>
      <c r="D657" s="708">
        <f t="shared" si="19"/>
        <v>0</v>
      </c>
      <c r="E657" s="708">
        <f t="shared" si="20"/>
        <v>0</v>
      </c>
      <c r="G657" s="708">
        <v>181</v>
      </c>
      <c r="H657" s="708">
        <f t="shared" si="21"/>
        <v>0</v>
      </c>
      <c r="I657" s="708">
        <f t="shared" si="22"/>
        <v>0</v>
      </c>
      <c r="J657" s="708">
        <f t="shared" si="23"/>
        <v>0</v>
      </c>
      <c r="K657" s="708">
        <f t="shared" si="24"/>
        <v>0</v>
      </c>
    </row>
    <row r="658" spans="1:12">
      <c r="A658" s="708">
        <v>182</v>
      </c>
      <c r="B658" s="708">
        <f t="shared" si="17"/>
        <v>0</v>
      </c>
      <c r="C658" s="708">
        <f t="shared" si="18"/>
        <v>0</v>
      </c>
      <c r="D658" s="708">
        <f t="shared" si="19"/>
        <v>0</v>
      </c>
      <c r="E658" s="708">
        <f t="shared" si="20"/>
        <v>0</v>
      </c>
      <c r="G658" s="708">
        <v>182</v>
      </c>
      <c r="H658" s="708">
        <f t="shared" si="21"/>
        <v>0</v>
      </c>
      <c r="I658" s="708">
        <f t="shared" si="22"/>
        <v>0</v>
      </c>
      <c r="J658" s="708">
        <f t="shared" si="23"/>
        <v>0</v>
      </c>
      <c r="K658" s="708">
        <f t="shared" si="24"/>
        <v>0</v>
      </c>
    </row>
    <row r="659" spans="1:12">
      <c r="A659" s="708">
        <v>183</v>
      </c>
      <c r="B659" s="708">
        <f t="shared" si="17"/>
        <v>0</v>
      </c>
      <c r="C659" s="708">
        <f t="shared" si="18"/>
        <v>0</v>
      </c>
      <c r="D659" s="708">
        <f t="shared" si="19"/>
        <v>0</v>
      </c>
      <c r="E659" s="708">
        <f t="shared" si="20"/>
        <v>0</v>
      </c>
      <c r="G659" s="708">
        <v>183</v>
      </c>
      <c r="H659" s="708">
        <f t="shared" si="21"/>
        <v>0</v>
      </c>
      <c r="I659" s="708">
        <f t="shared" si="22"/>
        <v>0</v>
      </c>
      <c r="J659" s="708">
        <f t="shared" si="23"/>
        <v>0</v>
      </c>
      <c r="K659" s="708">
        <f t="shared" si="24"/>
        <v>0</v>
      </c>
    </row>
    <row r="660" spans="1:12">
      <c r="A660" s="708">
        <v>184</v>
      </c>
      <c r="B660" s="708">
        <f t="shared" si="17"/>
        <v>0</v>
      </c>
      <c r="C660" s="708">
        <f t="shared" si="18"/>
        <v>0</v>
      </c>
      <c r="D660" s="708">
        <f t="shared" si="19"/>
        <v>0</v>
      </c>
      <c r="E660" s="708">
        <f t="shared" si="20"/>
        <v>0</v>
      </c>
      <c r="G660" s="708">
        <v>184</v>
      </c>
      <c r="H660" s="708">
        <f t="shared" si="21"/>
        <v>0</v>
      </c>
      <c r="I660" s="708">
        <f t="shared" si="22"/>
        <v>0</v>
      </c>
      <c r="J660" s="708">
        <f t="shared" si="23"/>
        <v>0</v>
      </c>
      <c r="K660" s="708">
        <f t="shared" si="24"/>
        <v>0</v>
      </c>
    </row>
    <row r="661" spans="1:12">
      <c r="A661" s="708">
        <v>185</v>
      </c>
      <c r="B661" s="708">
        <f t="shared" si="17"/>
        <v>0</v>
      </c>
      <c r="C661" s="708">
        <f t="shared" si="18"/>
        <v>0</v>
      </c>
      <c r="D661" s="708">
        <f t="shared" si="19"/>
        <v>0</v>
      </c>
      <c r="E661" s="708">
        <f t="shared" si="20"/>
        <v>0</v>
      </c>
      <c r="G661" s="708">
        <v>185</v>
      </c>
      <c r="H661" s="708">
        <f t="shared" si="21"/>
        <v>0</v>
      </c>
      <c r="I661" s="708">
        <f t="shared" si="22"/>
        <v>0</v>
      </c>
      <c r="J661" s="708">
        <f t="shared" si="23"/>
        <v>0</v>
      </c>
      <c r="K661" s="708">
        <f t="shared" si="24"/>
        <v>0</v>
      </c>
    </row>
    <row r="662" spans="1:12">
      <c r="A662" s="708">
        <v>186</v>
      </c>
      <c r="B662" s="708">
        <f t="shared" si="17"/>
        <v>0</v>
      </c>
      <c r="C662" s="708">
        <f t="shared" si="18"/>
        <v>0</v>
      </c>
      <c r="D662" s="708">
        <f t="shared" si="19"/>
        <v>0</v>
      </c>
      <c r="E662" s="708">
        <f t="shared" si="20"/>
        <v>0</v>
      </c>
      <c r="G662" s="708">
        <v>186</v>
      </c>
      <c r="H662" s="708">
        <f t="shared" si="21"/>
        <v>0</v>
      </c>
      <c r="I662" s="708">
        <f t="shared" si="22"/>
        <v>0</v>
      </c>
      <c r="J662" s="708">
        <f t="shared" si="23"/>
        <v>0</v>
      </c>
      <c r="K662" s="708">
        <f t="shared" si="24"/>
        <v>0</v>
      </c>
    </row>
    <row r="663" spans="1:12">
      <c r="A663" s="708">
        <v>187</v>
      </c>
      <c r="B663" s="708">
        <f t="shared" si="17"/>
        <v>0</v>
      </c>
      <c r="C663" s="708">
        <f t="shared" si="18"/>
        <v>0</v>
      </c>
      <c r="D663" s="708">
        <f t="shared" si="19"/>
        <v>0</v>
      </c>
      <c r="E663" s="708">
        <f t="shared" si="20"/>
        <v>0</v>
      </c>
      <c r="G663" s="708">
        <v>187</v>
      </c>
      <c r="H663" s="708">
        <f t="shared" si="21"/>
        <v>0</v>
      </c>
      <c r="I663" s="708">
        <f t="shared" si="22"/>
        <v>0</v>
      </c>
      <c r="J663" s="708">
        <f t="shared" si="23"/>
        <v>0</v>
      </c>
      <c r="K663" s="708">
        <f t="shared" si="24"/>
        <v>0</v>
      </c>
    </row>
    <row r="664" spans="1:12">
      <c r="A664" s="708">
        <v>188</v>
      </c>
      <c r="B664" s="708">
        <f t="shared" si="17"/>
        <v>0</v>
      </c>
      <c r="C664" s="708">
        <f t="shared" si="18"/>
        <v>0</v>
      </c>
      <c r="D664" s="708">
        <f t="shared" si="19"/>
        <v>0</v>
      </c>
      <c r="E664" s="708">
        <f t="shared" si="20"/>
        <v>0</v>
      </c>
      <c r="G664" s="708">
        <v>188</v>
      </c>
      <c r="H664" s="708">
        <f t="shared" si="21"/>
        <v>0</v>
      </c>
      <c r="I664" s="708">
        <f t="shared" si="22"/>
        <v>0</v>
      </c>
      <c r="J664" s="708">
        <f t="shared" si="23"/>
        <v>0</v>
      </c>
      <c r="K664" s="708">
        <f t="shared" si="24"/>
        <v>0</v>
      </c>
    </row>
    <row r="665" spans="1:12">
      <c r="A665" s="708">
        <v>189</v>
      </c>
      <c r="B665" s="708">
        <f t="shared" si="17"/>
        <v>0</v>
      </c>
      <c r="C665" s="708">
        <f t="shared" si="18"/>
        <v>0</v>
      </c>
      <c r="D665" s="708">
        <f t="shared" si="19"/>
        <v>0</v>
      </c>
      <c r="E665" s="708">
        <f t="shared" si="20"/>
        <v>0</v>
      </c>
      <c r="G665" s="708">
        <v>189</v>
      </c>
      <c r="H665" s="708">
        <f t="shared" si="21"/>
        <v>0</v>
      </c>
      <c r="I665" s="708">
        <f t="shared" si="22"/>
        <v>0</v>
      </c>
      <c r="J665" s="708">
        <f t="shared" si="23"/>
        <v>0</v>
      </c>
      <c r="K665" s="708">
        <f t="shared" si="24"/>
        <v>0</v>
      </c>
    </row>
    <row r="666" spans="1:12">
      <c r="A666" s="708">
        <v>190</v>
      </c>
      <c r="B666" s="708">
        <f t="shared" si="17"/>
        <v>0</v>
      </c>
      <c r="C666" s="708">
        <f t="shared" si="18"/>
        <v>0</v>
      </c>
      <c r="D666" s="708">
        <f t="shared" si="19"/>
        <v>0</v>
      </c>
      <c r="E666" s="708">
        <f t="shared" si="20"/>
        <v>0</v>
      </c>
      <c r="G666" s="708">
        <v>190</v>
      </c>
      <c r="H666" s="708">
        <f t="shared" si="21"/>
        <v>0</v>
      </c>
      <c r="I666" s="708">
        <f t="shared" si="22"/>
        <v>0</v>
      </c>
      <c r="J666" s="708">
        <f t="shared" si="23"/>
        <v>0</v>
      </c>
      <c r="K666" s="708">
        <f t="shared" si="24"/>
        <v>0</v>
      </c>
    </row>
    <row r="667" spans="1:12">
      <c r="A667" s="708">
        <v>191</v>
      </c>
      <c r="B667" s="708">
        <f t="shared" si="17"/>
        <v>0</v>
      </c>
      <c r="C667" s="708">
        <f t="shared" si="18"/>
        <v>0</v>
      </c>
      <c r="D667" s="708">
        <f t="shared" si="19"/>
        <v>0</v>
      </c>
      <c r="E667" s="708">
        <f t="shared" si="20"/>
        <v>0</v>
      </c>
      <c r="G667" s="708">
        <v>191</v>
      </c>
      <c r="H667" s="708">
        <f t="shared" si="21"/>
        <v>0</v>
      </c>
      <c r="I667" s="708">
        <f t="shared" si="22"/>
        <v>0</v>
      </c>
      <c r="J667" s="708">
        <f t="shared" si="23"/>
        <v>0</v>
      </c>
      <c r="K667" s="708">
        <f t="shared" si="24"/>
        <v>0</v>
      </c>
    </row>
    <row r="668" spans="1:12">
      <c r="A668" s="708">
        <v>192</v>
      </c>
      <c r="B668" s="708">
        <f t="shared" si="17"/>
        <v>0</v>
      </c>
      <c r="C668" s="708">
        <f t="shared" si="18"/>
        <v>0</v>
      </c>
      <c r="D668" s="708">
        <f t="shared" si="19"/>
        <v>0</v>
      </c>
      <c r="E668" s="708">
        <f t="shared" si="20"/>
        <v>0</v>
      </c>
      <c r="F668" s="708">
        <v>16</v>
      </c>
      <c r="G668" s="708">
        <v>192</v>
      </c>
      <c r="H668" s="708">
        <f t="shared" si="21"/>
        <v>0</v>
      </c>
      <c r="I668" s="708">
        <f t="shared" si="22"/>
        <v>0</v>
      </c>
      <c r="J668" s="708">
        <f t="shared" si="23"/>
        <v>0</v>
      </c>
      <c r="K668" s="708">
        <f t="shared" si="24"/>
        <v>0</v>
      </c>
      <c r="L668" s="708">
        <v>16</v>
      </c>
    </row>
    <row r="669" spans="1:12">
      <c r="A669" s="708">
        <v>193</v>
      </c>
      <c r="B669" s="708">
        <f t="shared" ref="B669:B732" si="25">IF(A669&gt;12*$C$9,0,IF($C$5&gt;1500000,$D$12,$C$12))</f>
        <v>0</v>
      </c>
      <c r="C669" s="708">
        <f t="shared" ref="C669:C732" si="26">IF(A669&gt;12*$C$9,0,E668*$C$7/12)</f>
        <v>0</v>
      </c>
      <c r="D669" s="708">
        <f t="shared" ref="D669:D732" si="27">IF(A669&gt;12*$C$9,0,B669-C669)</f>
        <v>0</v>
      </c>
      <c r="E669" s="708">
        <f t="shared" ref="E669:E732" si="28">IF(A669&gt;12*$C$9,0,E668-D669)</f>
        <v>0</v>
      </c>
      <c r="G669" s="708">
        <v>193</v>
      </c>
      <c r="H669" s="708">
        <f t="shared" ref="H669:H732" si="29">IF(G669&gt;12*$C$9,0,IF($C$5&gt;1500000,$E$12,0))</f>
        <v>0</v>
      </c>
      <c r="I669" s="708">
        <f t="shared" ref="I669:I732" si="30">IF(G669&gt;12*$C$9,0,K668*$C$7/12)</f>
        <v>0</v>
      </c>
      <c r="J669" s="708">
        <f t="shared" ref="J669:J732" si="31">IF(G669&gt;12*$C$9,0,H669-I669)</f>
        <v>0</v>
      </c>
      <c r="K669" s="708">
        <f t="shared" ref="K669:K732" si="32">IF(G669&gt;12*$C$9,0,K668-J669)</f>
        <v>0</v>
      </c>
    </row>
    <row r="670" spans="1:12">
      <c r="A670" s="708">
        <v>194</v>
      </c>
      <c r="B670" s="708">
        <f t="shared" si="25"/>
        <v>0</v>
      </c>
      <c r="C670" s="708">
        <f t="shared" si="26"/>
        <v>0</v>
      </c>
      <c r="D670" s="708">
        <f t="shared" si="27"/>
        <v>0</v>
      </c>
      <c r="E670" s="708">
        <f t="shared" si="28"/>
        <v>0</v>
      </c>
      <c r="G670" s="708">
        <v>194</v>
      </c>
      <c r="H670" s="708">
        <f t="shared" si="29"/>
        <v>0</v>
      </c>
      <c r="I670" s="708">
        <f t="shared" si="30"/>
        <v>0</v>
      </c>
      <c r="J670" s="708">
        <f t="shared" si="31"/>
        <v>0</v>
      </c>
      <c r="K670" s="708">
        <f t="shared" si="32"/>
        <v>0</v>
      </c>
    </row>
    <row r="671" spans="1:12">
      <c r="A671" s="708">
        <v>195</v>
      </c>
      <c r="B671" s="708">
        <f t="shared" si="25"/>
        <v>0</v>
      </c>
      <c r="C671" s="708">
        <f t="shared" si="26"/>
        <v>0</v>
      </c>
      <c r="D671" s="708">
        <f t="shared" si="27"/>
        <v>0</v>
      </c>
      <c r="E671" s="708">
        <f t="shared" si="28"/>
        <v>0</v>
      </c>
      <c r="G671" s="708">
        <v>195</v>
      </c>
      <c r="H671" s="708">
        <f t="shared" si="29"/>
        <v>0</v>
      </c>
      <c r="I671" s="708">
        <f t="shared" si="30"/>
        <v>0</v>
      </c>
      <c r="J671" s="708">
        <f t="shared" si="31"/>
        <v>0</v>
      </c>
      <c r="K671" s="708">
        <f t="shared" si="32"/>
        <v>0</v>
      </c>
    </row>
    <row r="672" spans="1:12">
      <c r="A672" s="708">
        <v>196</v>
      </c>
      <c r="B672" s="708">
        <f t="shared" si="25"/>
        <v>0</v>
      </c>
      <c r="C672" s="708">
        <f t="shared" si="26"/>
        <v>0</v>
      </c>
      <c r="D672" s="708">
        <f t="shared" si="27"/>
        <v>0</v>
      </c>
      <c r="E672" s="708">
        <f t="shared" si="28"/>
        <v>0</v>
      </c>
      <c r="G672" s="708">
        <v>196</v>
      </c>
      <c r="H672" s="708">
        <f t="shared" si="29"/>
        <v>0</v>
      </c>
      <c r="I672" s="708">
        <f t="shared" si="30"/>
        <v>0</v>
      </c>
      <c r="J672" s="708">
        <f t="shared" si="31"/>
        <v>0</v>
      </c>
      <c r="K672" s="708">
        <f t="shared" si="32"/>
        <v>0</v>
      </c>
    </row>
    <row r="673" spans="1:12">
      <c r="A673" s="708">
        <v>197</v>
      </c>
      <c r="B673" s="708">
        <f t="shared" si="25"/>
        <v>0</v>
      </c>
      <c r="C673" s="708">
        <f t="shared" si="26"/>
        <v>0</v>
      </c>
      <c r="D673" s="708">
        <f t="shared" si="27"/>
        <v>0</v>
      </c>
      <c r="E673" s="708">
        <f t="shared" si="28"/>
        <v>0</v>
      </c>
      <c r="G673" s="708">
        <v>197</v>
      </c>
      <c r="H673" s="708">
        <f t="shared" si="29"/>
        <v>0</v>
      </c>
      <c r="I673" s="708">
        <f t="shared" si="30"/>
        <v>0</v>
      </c>
      <c r="J673" s="708">
        <f t="shared" si="31"/>
        <v>0</v>
      </c>
      <c r="K673" s="708">
        <f t="shared" si="32"/>
        <v>0</v>
      </c>
    </row>
    <row r="674" spans="1:12">
      <c r="A674" s="708">
        <v>198</v>
      </c>
      <c r="B674" s="708">
        <f t="shared" si="25"/>
        <v>0</v>
      </c>
      <c r="C674" s="708">
        <f t="shared" si="26"/>
        <v>0</v>
      </c>
      <c r="D674" s="708">
        <f t="shared" si="27"/>
        <v>0</v>
      </c>
      <c r="E674" s="708">
        <f t="shared" si="28"/>
        <v>0</v>
      </c>
      <c r="G674" s="708">
        <v>198</v>
      </c>
      <c r="H674" s="708">
        <f t="shared" si="29"/>
        <v>0</v>
      </c>
      <c r="I674" s="708">
        <f t="shared" si="30"/>
        <v>0</v>
      </c>
      <c r="J674" s="708">
        <f t="shared" si="31"/>
        <v>0</v>
      </c>
      <c r="K674" s="708">
        <f t="shared" si="32"/>
        <v>0</v>
      </c>
    </row>
    <row r="675" spans="1:12">
      <c r="A675" s="708">
        <v>199</v>
      </c>
      <c r="B675" s="708">
        <f t="shared" si="25"/>
        <v>0</v>
      </c>
      <c r="C675" s="708">
        <f t="shared" si="26"/>
        <v>0</v>
      </c>
      <c r="D675" s="708">
        <f t="shared" si="27"/>
        <v>0</v>
      </c>
      <c r="E675" s="708">
        <f t="shared" si="28"/>
        <v>0</v>
      </c>
      <c r="G675" s="708">
        <v>199</v>
      </c>
      <c r="H675" s="708">
        <f t="shared" si="29"/>
        <v>0</v>
      </c>
      <c r="I675" s="708">
        <f t="shared" si="30"/>
        <v>0</v>
      </c>
      <c r="J675" s="708">
        <f t="shared" si="31"/>
        <v>0</v>
      </c>
      <c r="K675" s="708">
        <f t="shared" si="32"/>
        <v>0</v>
      </c>
    </row>
    <row r="676" spans="1:12">
      <c r="A676" s="708">
        <v>200</v>
      </c>
      <c r="B676" s="708">
        <f t="shared" si="25"/>
        <v>0</v>
      </c>
      <c r="C676" s="708">
        <f t="shared" si="26"/>
        <v>0</v>
      </c>
      <c r="D676" s="708">
        <f t="shared" si="27"/>
        <v>0</v>
      </c>
      <c r="E676" s="708">
        <f t="shared" si="28"/>
        <v>0</v>
      </c>
      <c r="G676" s="708">
        <v>200</v>
      </c>
      <c r="H676" s="708">
        <f t="shared" si="29"/>
        <v>0</v>
      </c>
      <c r="I676" s="708">
        <f t="shared" si="30"/>
        <v>0</v>
      </c>
      <c r="J676" s="708">
        <f t="shared" si="31"/>
        <v>0</v>
      </c>
      <c r="K676" s="708">
        <f t="shared" si="32"/>
        <v>0</v>
      </c>
    </row>
    <row r="677" spans="1:12">
      <c r="A677" s="708">
        <v>201</v>
      </c>
      <c r="B677" s="708">
        <f t="shared" si="25"/>
        <v>0</v>
      </c>
      <c r="C677" s="708">
        <f t="shared" si="26"/>
        <v>0</v>
      </c>
      <c r="D677" s="708">
        <f t="shared" si="27"/>
        <v>0</v>
      </c>
      <c r="E677" s="708">
        <f t="shared" si="28"/>
        <v>0</v>
      </c>
      <c r="G677" s="708">
        <v>201</v>
      </c>
      <c r="H677" s="708">
        <f t="shared" si="29"/>
        <v>0</v>
      </c>
      <c r="I677" s="708">
        <f t="shared" si="30"/>
        <v>0</v>
      </c>
      <c r="J677" s="708">
        <f t="shared" si="31"/>
        <v>0</v>
      </c>
      <c r="K677" s="708">
        <f t="shared" si="32"/>
        <v>0</v>
      </c>
    </row>
    <row r="678" spans="1:12">
      <c r="A678" s="708">
        <v>202</v>
      </c>
      <c r="B678" s="708">
        <f t="shared" si="25"/>
        <v>0</v>
      </c>
      <c r="C678" s="708">
        <f t="shared" si="26"/>
        <v>0</v>
      </c>
      <c r="D678" s="708">
        <f t="shared" si="27"/>
        <v>0</v>
      </c>
      <c r="E678" s="708">
        <f t="shared" si="28"/>
        <v>0</v>
      </c>
      <c r="G678" s="708">
        <v>202</v>
      </c>
      <c r="H678" s="708">
        <f t="shared" si="29"/>
        <v>0</v>
      </c>
      <c r="I678" s="708">
        <f t="shared" si="30"/>
        <v>0</v>
      </c>
      <c r="J678" s="708">
        <f t="shared" si="31"/>
        <v>0</v>
      </c>
      <c r="K678" s="708">
        <f t="shared" si="32"/>
        <v>0</v>
      </c>
    </row>
    <row r="679" spans="1:12">
      <c r="A679" s="708">
        <v>203</v>
      </c>
      <c r="B679" s="708">
        <f t="shared" si="25"/>
        <v>0</v>
      </c>
      <c r="C679" s="708">
        <f t="shared" si="26"/>
        <v>0</v>
      </c>
      <c r="D679" s="708">
        <f t="shared" si="27"/>
        <v>0</v>
      </c>
      <c r="E679" s="708">
        <f t="shared" si="28"/>
        <v>0</v>
      </c>
      <c r="G679" s="708">
        <v>203</v>
      </c>
      <c r="H679" s="708">
        <f t="shared" si="29"/>
        <v>0</v>
      </c>
      <c r="I679" s="708">
        <f t="shared" si="30"/>
        <v>0</v>
      </c>
      <c r="J679" s="708">
        <f t="shared" si="31"/>
        <v>0</v>
      </c>
      <c r="K679" s="708">
        <f t="shared" si="32"/>
        <v>0</v>
      </c>
    </row>
    <row r="680" spans="1:12">
      <c r="A680" s="708">
        <v>204</v>
      </c>
      <c r="B680" s="708">
        <f t="shared" si="25"/>
        <v>0</v>
      </c>
      <c r="C680" s="708">
        <f t="shared" si="26"/>
        <v>0</v>
      </c>
      <c r="D680" s="708">
        <f t="shared" si="27"/>
        <v>0</v>
      </c>
      <c r="E680" s="708">
        <f t="shared" si="28"/>
        <v>0</v>
      </c>
      <c r="F680" s="708">
        <v>17</v>
      </c>
      <c r="G680" s="708">
        <v>204</v>
      </c>
      <c r="H680" s="708">
        <f t="shared" si="29"/>
        <v>0</v>
      </c>
      <c r="I680" s="708">
        <f t="shared" si="30"/>
        <v>0</v>
      </c>
      <c r="J680" s="708">
        <f t="shared" si="31"/>
        <v>0</v>
      </c>
      <c r="K680" s="708">
        <f t="shared" si="32"/>
        <v>0</v>
      </c>
      <c r="L680" s="708">
        <v>17</v>
      </c>
    </row>
    <row r="681" spans="1:12">
      <c r="A681" s="708">
        <v>205</v>
      </c>
      <c r="B681" s="708">
        <f t="shared" si="25"/>
        <v>0</v>
      </c>
      <c r="C681" s="708">
        <f t="shared" si="26"/>
        <v>0</v>
      </c>
      <c r="D681" s="708">
        <f t="shared" si="27"/>
        <v>0</v>
      </c>
      <c r="E681" s="708">
        <f t="shared" si="28"/>
        <v>0</v>
      </c>
      <c r="G681" s="708">
        <v>205</v>
      </c>
      <c r="H681" s="708">
        <f t="shared" si="29"/>
        <v>0</v>
      </c>
      <c r="I681" s="708">
        <f t="shared" si="30"/>
        <v>0</v>
      </c>
      <c r="J681" s="708">
        <f t="shared" si="31"/>
        <v>0</v>
      </c>
      <c r="K681" s="708">
        <f t="shared" si="32"/>
        <v>0</v>
      </c>
    </row>
    <row r="682" spans="1:12">
      <c r="A682" s="708">
        <v>206</v>
      </c>
      <c r="B682" s="708">
        <f t="shared" si="25"/>
        <v>0</v>
      </c>
      <c r="C682" s="708">
        <f t="shared" si="26"/>
        <v>0</v>
      </c>
      <c r="D682" s="708">
        <f t="shared" si="27"/>
        <v>0</v>
      </c>
      <c r="E682" s="708">
        <f t="shared" si="28"/>
        <v>0</v>
      </c>
      <c r="G682" s="708">
        <v>206</v>
      </c>
      <c r="H682" s="708">
        <f t="shared" si="29"/>
        <v>0</v>
      </c>
      <c r="I682" s="708">
        <f t="shared" si="30"/>
        <v>0</v>
      </c>
      <c r="J682" s="708">
        <f t="shared" si="31"/>
        <v>0</v>
      </c>
      <c r="K682" s="708">
        <f t="shared" si="32"/>
        <v>0</v>
      </c>
    </row>
    <row r="683" spans="1:12">
      <c r="A683" s="708">
        <v>207</v>
      </c>
      <c r="B683" s="708">
        <f t="shared" si="25"/>
        <v>0</v>
      </c>
      <c r="C683" s="708">
        <f t="shared" si="26"/>
        <v>0</v>
      </c>
      <c r="D683" s="708">
        <f t="shared" si="27"/>
        <v>0</v>
      </c>
      <c r="E683" s="708">
        <f t="shared" si="28"/>
        <v>0</v>
      </c>
      <c r="G683" s="708">
        <v>207</v>
      </c>
      <c r="H683" s="708">
        <f t="shared" si="29"/>
        <v>0</v>
      </c>
      <c r="I683" s="708">
        <f t="shared" si="30"/>
        <v>0</v>
      </c>
      <c r="J683" s="708">
        <f t="shared" si="31"/>
        <v>0</v>
      </c>
      <c r="K683" s="708">
        <f t="shared" si="32"/>
        <v>0</v>
      </c>
    </row>
    <row r="684" spans="1:12">
      <c r="A684" s="708">
        <v>208</v>
      </c>
      <c r="B684" s="708">
        <f t="shared" si="25"/>
        <v>0</v>
      </c>
      <c r="C684" s="708">
        <f t="shared" si="26"/>
        <v>0</v>
      </c>
      <c r="D684" s="708">
        <f t="shared" si="27"/>
        <v>0</v>
      </c>
      <c r="E684" s="708">
        <f t="shared" si="28"/>
        <v>0</v>
      </c>
      <c r="G684" s="708">
        <v>208</v>
      </c>
      <c r="H684" s="708">
        <f t="shared" si="29"/>
        <v>0</v>
      </c>
      <c r="I684" s="708">
        <f t="shared" si="30"/>
        <v>0</v>
      </c>
      <c r="J684" s="708">
        <f t="shared" si="31"/>
        <v>0</v>
      </c>
      <c r="K684" s="708">
        <f t="shared" si="32"/>
        <v>0</v>
      </c>
    </row>
    <row r="685" spans="1:12">
      <c r="A685" s="708">
        <v>209</v>
      </c>
      <c r="B685" s="708">
        <f t="shared" si="25"/>
        <v>0</v>
      </c>
      <c r="C685" s="708">
        <f t="shared" si="26"/>
        <v>0</v>
      </c>
      <c r="D685" s="708">
        <f t="shared" si="27"/>
        <v>0</v>
      </c>
      <c r="E685" s="708">
        <f t="shared" si="28"/>
        <v>0</v>
      </c>
      <c r="G685" s="708">
        <v>209</v>
      </c>
      <c r="H685" s="708">
        <f t="shared" si="29"/>
        <v>0</v>
      </c>
      <c r="I685" s="708">
        <f t="shared" si="30"/>
        <v>0</v>
      </c>
      <c r="J685" s="708">
        <f t="shared" si="31"/>
        <v>0</v>
      </c>
      <c r="K685" s="708">
        <f t="shared" si="32"/>
        <v>0</v>
      </c>
    </row>
    <row r="686" spans="1:12">
      <c r="A686" s="708">
        <v>210</v>
      </c>
      <c r="B686" s="708">
        <f t="shared" si="25"/>
        <v>0</v>
      </c>
      <c r="C686" s="708">
        <f t="shared" si="26"/>
        <v>0</v>
      </c>
      <c r="D686" s="708">
        <f t="shared" si="27"/>
        <v>0</v>
      </c>
      <c r="E686" s="708">
        <f t="shared" si="28"/>
        <v>0</v>
      </c>
      <c r="G686" s="708">
        <v>210</v>
      </c>
      <c r="H686" s="708">
        <f t="shared" si="29"/>
        <v>0</v>
      </c>
      <c r="I686" s="708">
        <f t="shared" si="30"/>
        <v>0</v>
      </c>
      <c r="J686" s="708">
        <f t="shared" si="31"/>
        <v>0</v>
      </c>
      <c r="K686" s="708">
        <f t="shared" si="32"/>
        <v>0</v>
      </c>
    </row>
    <row r="687" spans="1:12">
      <c r="A687" s="708">
        <v>211</v>
      </c>
      <c r="B687" s="708">
        <f t="shared" si="25"/>
        <v>0</v>
      </c>
      <c r="C687" s="708">
        <f t="shared" si="26"/>
        <v>0</v>
      </c>
      <c r="D687" s="708">
        <f t="shared" si="27"/>
        <v>0</v>
      </c>
      <c r="E687" s="708">
        <f t="shared" si="28"/>
        <v>0</v>
      </c>
      <c r="G687" s="708">
        <v>211</v>
      </c>
      <c r="H687" s="708">
        <f t="shared" si="29"/>
        <v>0</v>
      </c>
      <c r="I687" s="708">
        <f t="shared" si="30"/>
        <v>0</v>
      </c>
      <c r="J687" s="708">
        <f t="shared" si="31"/>
        <v>0</v>
      </c>
      <c r="K687" s="708">
        <f t="shared" si="32"/>
        <v>0</v>
      </c>
    </row>
    <row r="688" spans="1:12">
      <c r="A688" s="708">
        <v>212</v>
      </c>
      <c r="B688" s="708">
        <f t="shared" si="25"/>
        <v>0</v>
      </c>
      <c r="C688" s="708">
        <f t="shared" si="26"/>
        <v>0</v>
      </c>
      <c r="D688" s="708">
        <f t="shared" si="27"/>
        <v>0</v>
      </c>
      <c r="E688" s="708">
        <f t="shared" si="28"/>
        <v>0</v>
      </c>
      <c r="G688" s="708">
        <v>212</v>
      </c>
      <c r="H688" s="708">
        <f t="shared" si="29"/>
        <v>0</v>
      </c>
      <c r="I688" s="708">
        <f t="shared" si="30"/>
        <v>0</v>
      </c>
      <c r="J688" s="708">
        <f t="shared" si="31"/>
        <v>0</v>
      </c>
      <c r="K688" s="708">
        <f t="shared" si="32"/>
        <v>0</v>
      </c>
    </row>
    <row r="689" spans="1:12">
      <c r="A689" s="708">
        <v>213</v>
      </c>
      <c r="B689" s="708">
        <f t="shared" si="25"/>
        <v>0</v>
      </c>
      <c r="C689" s="708">
        <f t="shared" si="26"/>
        <v>0</v>
      </c>
      <c r="D689" s="708">
        <f t="shared" si="27"/>
        <v>0</v>
      </c>
      <c r="E689" s="708">
        <f t="shared" si="28"/>
        <v>0</v>
      </c>
      <c r="G689" s="708">
        <v>213</v>
      </c>
      <c r="H689" s="708">
        <f t="shared" si="29"/>
        <v>0</v>
      </c>
      <c r="I689" s="708">
        <f t="shared" si="30"/>
        <v>0</v>
      </c>
      <c r="J689" s="708">
        <f t="shared" si="31"/>
        <v>0</v>
      </c>
      <c r="K689" s="708">
        <f t="shared" si="32"/>
        <v>0</v>
      </c>
    </row>
    <row r="690" spans="1:12">
      <c r="A690" s="708">
        <v>214</v>
      </c>
      <c r="B690" s="708">
        <f t="shared" si="25"/>
        <v>0</v>
      </c>
      <c r="C690" s="708">
        <f t="shared" si="26"/>
        <v>0</v>
      </c>
      <c r="D690" s="708">
        <f t="shared" si="27"/>
        <v>0</v>
      </c>
      <c r="E690" s="708">
        <f t="shared" si="28"/>
        <v>0</v>
      </c>
      <c r="G690" s="708">
        <v>214</v>
      </c>
      <c r="H690" s="708">
        <f t="shared" si="29"/>
        <v>0</v>
      </c>
      <c r="I690" s="708">
        <f t="shared" si="30"/>
        <v>0</v>
      </c>
      <c r="J690" s="708">
        <f t="shared" si="31"/>
        <v>0</v>
      </c>
      <c r="K690" s="708">
        <f t="shared" si="32"/>
        <v>0</v>
      </c>
    </row>
    <row r="691" spans="1:12">
      <c r="A691" s="708">
        <v>215</v>
      </c>
      <c r="B691" s="708">
        <f t="shared" si="25"/>
        <v>0</v>
      </c>
      <c r="C691" s="708">
        <f t="shared" si="26"/>
        <v>0</v>
      </c>
      <c r="D691" s="708">
        <f t="shared" si="27"/>
        <v>0</v>
      </c>
      <c r="E691" s="708">
        <f t="shared" si="28"/>
        <v>0</v>
      </c>
      <c r="G691" s="708">
        <v>215</v>
      </c>
      <c r="H691" s="708">
        <f t="shared" si="29"/>
        <v>0</v>
      </c>
      <c r="I691" s="708">
        <f t="shared" si="30"/>
        <v>0</v>
      </c>
      <c r="J691" s="708">
        <f t="shared" si="31"/>
        <v>0</v>
      </c>
      <c r="K691" s="708">
        <f t="shared" si="32"/>
        <v>0</v>
      </c>
    </row>
    <row r="692" spans="1:12">
      <c r="A692" s="708">
        <v>216</v>
      </c>
      <c r="B692" s="708">
        <f t="shared" si="25"/>
        <v>0</v>
      </c>
      <c r="C692" s="708">
        <f t="shared" si="26"/>
        <v>0</v>
      </c>
      <c r="D692" s="708">
        <f t="shared" si="27"/>
        <v>0</v>
      </c>
      <c r="E692" s="708">
        <f t="shared" si="28"/>
        <v>0</v>
      </c>
      <c r="F692" s="708">
        <v>18</v>
      </c>
      <c r="G692" s="708">
        <v>216</v>
      </c>
      <c r="H692" s="708">
        <f t="shared" si="29"/>
        <v>0</v>
      </c>
      <c r="I692" s="708">
        <f t="shared" si="30"/>
        <v>0</v>
      </c>
      <c r="J692" s="708">
        <f t="shared" si="31"/>
        <v>0</v>
      </c>
      <c r="K692" s="708">
        <f t="shared" si="32"/>
        <v>0</v>
      </c>
      <c r="L692" s="708">
        <v>18</v>
      </c>
    </row>
    <row r="693" spans="1:12">
      <c r="A693" s="708">
        <v>217</v>
      </c>
      <c r="B693" s="708">
        <f t="shared" si="25"/>
        <v>0</v>
      </c>
      <c r="C693" s="708">
        <f t="shared" si="26"/>
        <v>0</v>
      </c>
      <c r="D693" s="708">
        <f t="shared" si="27"/>
        <v>0</v>
      </c>
      <c r="E693" s="708">
        <f t="shared" si="28"/>
        <v>0</v>
      </c>
      <c r="G693" s="708">
        <v>217</v>
      </c>
      <c r="H693" s="708">
        <f t="shared" si="29"/>
        <v>0</v>
      </c>
      <c r="I693" s="708">
        <f t="shared" si="30"/>
        <v>0</v>
      </c>
      <c r="J693" s="708">
        <f t="shared" si="31"/>
        <v>0</v>
      </c>
      <c r="K693" s="708">
        <f t="shared" si="32"/>
        <v>0</v>
      </c>
    </row>
    <row r="694" spans="1:12">
      <c r="A694" s="708">
        <v>218</v>
      </c>
      <c r="B694" s="708">
        <f t="shared" si="25"/>
        <v>0</v>
      </c>
      <c r="C694" s="708">
        <f t="shared" si="26"/>
        <v>0</v>
      </c>
      <c r="D694" s="708">
        <f t="shared" si="27"/>
        <v>0</v>
      </c>
      <c r="E694" s="708">
        <f t="shared" si="28"/>
        <v>0</v>
      </c>
      <c r="G694" s="708">
        <v>218</v>
      </c>
      <c r="H694" s="708">
        <f t="shared" si="29"/>
        <v>0</v>
      </c>
      <c r="I694" s="708">
        <f t="shared" si="30"/>
        <v>0</v>
      </c>
      <c r="J694" s="708">
        <f t="shared" si="31"/>
        <v>0</v>
      </c>
      <c r="K694" s="708">
        <f t="shared" si="32"/>
        <v>0</v>
      </c>
    </row>
    <row r="695" spans="1:12">
      <c r="A695" s="708">
        <v>219</v>
      </c>
      <c r="B695" s="708">
        <f t="shared" si="25"/>
        <v>0</v>
      </c>
      <c r="C695" s="708">
        <f t="shared" si="26"/>
        <v>0</v>
      </c>
      <c r="D695" s="708">
        <f t="shared" si="27"/>
        <v>0</v>
      </c>
      <c r="E695" s="708">
        <f t="shared" si="28"/>
        <v>0</v>
      </c>
      <c r="G695" s="708">
        <v>219</v>
      </c>
      <c r="H695" s="708">
        <f t="shared" si="29"/>
        <v>0</v>
      </c>
      <c r="I695" s="708">
        <f t="shared" si="30"/>
        <v>0</v>
      </c>
      <c r="J695" s="708">
        <f t="shared" si="31"/>
        <v>0</v>
      </c>
      <c r="K695" s="708">
        <f t="shared" si="32"/>
        <v>0</v>
      </c>
    </row>
    <row r="696" spans="1:12">
      <c r="A696" s="708">
        <v>220</v>
      </c>
      <c r="B696" s="708">
        <f t="shared" si="25"/>
        <v>0</v>
      </c>
      <c r="C696" s="708">
        <f t="shared" si="26"/>
        <v>0</v>
      </c>
      <c r="D696" s="708">
        <f t="shared" si="27"/>
        <v>0</v>
      </c>
      <c r="E696" s="708">
        <f t="shared" si="28"/>
        <v>0</v>
      </c>
      <c r="G696" s="708">
        <v>220</v>
      </c>
      <c r="H696" s="708">
        <f t="shared" si="29"/>
        <v>0</v>
      </c>
      <c r="I696" s="708">
        <f t="shared" si="30"/>
        <v>0</v>
      </c>
      <c r="J696" s="708">
        <f t="shared" si="31"/>
        <v>0</v>
      </c>
      <c r="K696" s="708">
        <f t="shared" si="32"/>
        <v>0</v>
      </c>
    </row>
    <row r="697" spans="1:12">
      <c r="A697" s="708">
        <v>221</v>
      </c>
      <c r="B697" s="708">
        <f t="shared" si="25"/>
        <v>0</v>
      </c>
      <c r="C697" s="708">
        <f t="shared" si="26"/>
        <v>0</v>
      </c>
      <c r="D697" s="708">
        <f t="shared" si="27"/>
        <v>0</v>
      </c>
      <c r="E697" s="708">
        <f t="shared" si="28"/>
        <v>0</v>
      </c>
      <c r="G697" s="708">
        <v>221</v>
      </c>
      <c r="H697" s="708">
        <f t="shared" si="29"/>
        <v>0</v>
      </c>
      <c r="I697" s="708">
        <f t="shared" si="30"/>
        <v>0</v>
      </c>
      <c r="J697" s="708">
        <f t="shared" si="31"/>
        <v>0</v>
      </c>
      <c r="K697" s="708">
        <f t="shared" si="32"/>
        <v>0</v>
      </c>
    </row>
    <row r="698" spans="1:12">
      <c r="A698" s="708">
        <v>222</v>
      </c>
      <c r="B698" s="708">
        <f t="shared" si="25"/>
        <v>0</v>
      </c>
      <c r="C698" s="708">
        <f t="shared" si="26"/>
        <v>0</v>
      </c>
      <c r="D698" s="708">
        <f t="shared" si="27"/>
        <v>0</v>
      </c>
      <c r="E698" s="708">
        <f t="shared" si="28"/>
        <v>0</v>
      </c>
      <c r="G698" s="708">
        <v>222</v>
      </c>
      <c r="H698" s="708">
        <f t="shared" si="29"/>
        <v>0</v>
      </c>
      <c r="I698" s="708">
        <f t="shared" si="30"/>
        <v>0</v>
      </c>
      <c r="J698" s="708">
        <f t="shared" si="31"/>
        <v>0</v>
      </c>
      <c r="K698" s="708">
        <f t="shared" si="32"/>
        <v>0</v>
      </c>
    </row>
    <row r="699" spans="1:12">
      <c r="A699" s="708">
        <v>223</v>
      </c>
      <c r="B699" s="708">
        <f t="shared" si="25"/>
        <v>0</v>
      </c>
      <c r="C699" s="708">
        <f t="shared" si="26"/>
        <v>0</v>
      </c>
      <c r="D699" s="708">
        <f t="shared" si="27"/>
        <v>0</v>
      </c>
      <c r="E699" s="708">
        <f t="shared" si="28"/>
        <v>0</v>
      </c>
      <c r="G699" s="708">
        <v>223</v>
      </c>
      <c r="H699" s="708">
        <f t="shared" si="29"/>
        <v>0</v>
      </c>
      <c r="I699" s="708">
        <f t="shared" si="30"/>
        <v>0</v>
      </c>
      <c r="J699" s="708">
        <f t="shared" si="31"/>
        <v>0</v>
      </c>
      <c r="K699" s="708">
        <f t="shared" si="32"/>
        <v>0</v>
      </c>
    </row>
    <row r="700" spans="1:12">
      <c r="A700" s="708">
        <v>224</v>
      </c>
      <c r="B700" s="708">
        <f t="shared" si="25"/>
        <v>0</v>
      </c>
      <c r="C700" s="708">
        <f t="shared" si="26"/>
        <v>0</v>
      </c>
      <c r="D700" s="708">
        <f t="shared" si="27"/>
        <v>0</v>
      </c>
      <c r="E700" s="708">
        <f t="shared" si="28"/>
        <v>0</v>
      </c>
      <c r="G700" s="708">
        <v>224</v>
      </c>
      <c r="H700" s="708">
        <f t="shared" si="29"/>
        <v>0</v>
      </c>
      <c r="I700" s="708">
        <f t="shared" si="30"/>
        <v>0</v>
      </c>
      <c r="J700" s="708">
        <f t="shared" si="31"/>
        <v>0</v>
      </c>
      <c r="K700" s="708">
        <f t="shared" si="32"/>
        <v>0</v>
      </c>
    </row>
    <row r="701" spans="1:12">
      <c r="A701" s="708">
        <v>225</v>
      </c>
      <c r="B701" s="708">
        <f t="shared" si="25"/>
        <v>0</v>
      </c>
      <c r="C701" s="708">
        <f t="shared" si="26"/>
        <v>0</v>
      </c>
      <c r="D701" s="708">
        <f t="shared" si="27"/>
        <v>0</v>
      </c>
      <c r="E701" s="708">
        <f t="shared" si="28"/>
        <v>0</v>
      </c>
      <c r="G701" s="708">
        <v>225</v>
      </c>
      <c r="H701" s="708">
        <f t="shared" si="29"/>
        <v>0</v>
      </c>
      <c r="I701" s="708">
        <f t="shared" si="30"/>
        <v>0</v>
      </c>
      <c r="J701" s="708">
        <f t="shared" si="31"/>
        <v>0</v>
      </c>
      <c r="K701" s="708">
        <f t="shared" si="32"/>
        <v>0</v>
      </c>
    </row>
    <row r="702" spans="1:12">
      <c r="A702" s="708">
        <v>226</v>
      </c>
      <c r="B702" s="708">
        <f t="shared" si="25"/>
        <v>0</v>
      </c>
      <c r="C702" s="708">
        <f t="shared" si="26"/>
        <v>0</v>
      </c>
      <c r="D702" s="708">
        <f t="shared" si="27"/>
        <v>0</v>
      </c>
      <c r="E702" s="708">
        <f t="shared" si="28"/>
        <v>0</v>
      </c>
      <c r="G702" s="708">
        <v>226</v>
      </c>
      <c r="H702" s="708">
        <f t="shared" si="29"/>
        <v>0</v>
      </c>
      <c r="I702" s="708">
        <f t="shared" si="30"/>
        <v>0</v>
      </c>
      <c r="J702" s="708">
        <f t="shared" si="31"/>
        <v>0</v>
      </c>
      <c r="K702" s="708">
        <f t="shared" si="32"/>
        <v>0</v>
      </c>
    </row>
    <row r="703" spans="1:12">
      <c r="A703" s="708">
        <v>227</v>
      </c>
      <c r="B703" s="708">
        <f t="shared" si="25"/>
        <v>0</v>
      </c>
      <c r="C703" s="708">
        <f t="shared" si="26"/>
        <v>0</v>
      </c>
      <c r="D703" s="708">
        <f t="shared" si="27"/>
        <v>0</v>
      </c>
      <c r="E703" s="708">
        <f t="shared" si="28"/>
        <v>0</v>
      </c>
      <c r="G703" s="708">
        <v>227</v>
      </c>
      <c r="H703" s="708">
        <f t="shared" si="29"/>
        <v>0</v>
      </c>
      <c r="I703" s="708">
        <f t="shared" si="30"/>
        <v>0</v>
      </c>
      <c r="J703" s="708">
        <f t="shared" si="31"/>
        <v>0</v>
      </c>
      <c r="K703" s="708">
        <f t="shared" si="32"/>
        <v>0</v>
      </c>
    </row>
    <row r="704" spans="1:12">
      <c r="A704" s="708">
        <v>228</v>
      </c>
      <c r="B704" s="708">
        <f t="shared" si="25"/>
        <v>0</v>
      </c>
      <c r="C704" s="708">
        <f t="shared" si="26"/>
        <v>0</v>
      </c>
      <c r="D704" s="708">
        <f t="shared" si="27"/>
        <v>0</v>
      </c>
      <c r="E704" s="708">
        <f t="shared" si="28"/>
        <v>0</v>
      </c>
      <c r="F704" s="708">
        <v>19</v>
      </c>
      <c r="G704" s="708">
        <v>228</v>
      </c>
      <c r="H704" s="708">
        <f t="shared" si="29"/>
        <v>0</v>
      </c>
      <c r="I704" s="708">
        <f t="shared" si="30"/>
        <v>0</v>
      </c>
      <c r="J704" s="708">
        <f t="shared" si="31"/>
        <v>0</v>
      </c>
      <c r="K704" s="708">
        <f t="shared" si="32"/>
        <v>0</v>
      </c>
      <c r="L704" s="708">
        <v>19</v>
      </c>
    </row>
    <row r="705" spans="1:12">
      <c r="A705" s="708">
        <v>229</v>
      </c>
      <c r="B705" s="708">
        <f t="shared" si="25"/>
        <v>0</v>
      </c>
      <c r="C705" s="708">
        <f t="shared" si="26"/>
        <v>0</v>
      </c>
      <c r="D705" s="708">
        <f t="shared" si="27"/>
        <v>0</v>
      </c>
      <c r="E705" s="708">
        <f t="shared" si="28"/>
        <v>0</v>
      </c>
      <c r="G705" s="708">
        <v>229</v>
      </c>
      <c r="H705" s="708">
        <f t="shared" si="29"/>
        <v>0</v>
      </c>
      <c r="I705" s="708">
        <f t="shared" si="30"/>
        <v>0</v>
      </c>
      <c r="J705" s="708">
        <f t="shared" si="31"/>
        <v>0</v>
      </c>
      <c r="K705" s="708">
        <f t="shared" si="32"/>
        <v>0</v>
      </c>
    </row>
    <row r="706" spans="1:12">
      <c r="A706" s="708">
        <v>230</v>
      </c>
      <c r="B706" s="708">
        <f t="shared" si="25"/>
        <v>0</v>
      </c>
      <c r="C706" s="708">
        <f t="shared" si="26"/>
        <v>0</v>
      </c>
      <c r="D706" s="708">
        <f t="shared" si="27"/>
        <v>0</v>
      </c>
      <c r="E706" s="708">
        <f t="shared" si="28"/>
        <v>0</v>
      </c>
      <c r="G706" s="708">
        <v>230</v>
      </c>
      <c r="H706" s="708">
        <f t="shared" si="29"/>
        <v>0</v>
      </c>
      <c r="I706" s="708">
        <f t="shared" si="30"/>
        <v>0</v>
      </c>
      <c r="J706" s="708">
        <f t="shared" si="31"/>
        <v>0</v>
      </c>
      <c r="K706" s="708">
        <f t="shared" si="32"/>
        <v>0</v>
      </c>
    </row>
    <row r="707" spans="1:12">
      <c r="A707" s="708">
        <v>231</v>
      </c>
      <c r="B707" s="708">
        <f t="shared" si="25"/>
        <v>0</v>
      </c>
      <c r="C707" s="708">
        <f t="shared" si="26"/>
        <v>0</v>
      </c>
      <c r="D707" s="708">
        <f t="shared" si="27"/>
        <v>0</v>
      </c>
      <c r="E707" s="708">
        <f t="shared" si="28"/>
        <v>0</v>
      </c>
      <c r="G707" s="708">
        <v>231</v>
      </c>
      <c r="H707" s="708">
        <f t="shared" si="29"/>
        <v>0</v>
      </c>
      <c r="I707" s="708">
        <f t="shared" si="30"/>
        <v>0</v>
      </c>
      <c r="J707" s="708">
        <f t="shared" si="31"/>
        <v>0</v>
      </c>
      <c r="K707" s="708">
        <f t="shared" si="32"/>
        <v>0</v>
      </c>
    </row>
    <row r="708" spans="1:12">
      <c r="A708" s="708">
        <v>232</v>
      </c>
      <c r="B708" s="708">
        <f t="shared" si="25"/>
        <v>0</v>
      </c>
      <c r="C708" s="708">
        <f t="shared" si="26"/>
        <v>0</v>
      </c>
      <c r="D708" s="708">
        <f t="shared" si="27"/>
        <v>0</v>
      </c>
      <c r="E708" s="708">
        <f t="shared" si="28"/>
        <v>0</v>
      </c>
      <c r="G708" s="708">
        <v>232</v>
      </c>
      <c r="H708" s="708">
        <f t="shared" si="29"/>
        <v>0</v>
      </c>
      <c r="I708" s="708">
        <f t="shared" si="30"/>
        <v>0</v>
      </c>
      <c r="J708" s="708">
        <f t="shared" si="31"/>
        <v>0</v>
      </c>
      <c r="K708" s="708">
        <f t="shared" si="32"/>
        <v>0</v>
      </c>
    </row>
    <row r="709" spans="1:12">
      <c r="A709" s="708">
        <v>233</v>
      </c>
      <c r="B709" s="708">
        <f t="shared" si="25"/>
        <v>0</v>
      </c>
      <c r="C709" s="708">
        <f t="shared" si="26"/>
        <v>0</v>
      </c>
      <c r="D709" s="708">
        <f t="shared" si="27"/>
        <v>0</v>
      </c>
      <c r="E709" s="708">
        <f t="shared" si="28"/>
        <v>0</v>
      </c>
      <c r="G709" s="708">
        <v>233</v>
      </c>
      <c r="H709" s="708">
        <f t="shared" si="29"/>
        <v>0</v>
      </c>
      <c r="I709" s="708">
        <f t="shared" si="30"/>
        <v>0</v>
      </c>
      <c r="J709" s="708">
        <f t="shared" si="31"/>
        <v>0</v>
      </c>
      <c r="K709" s="708">
        <f t="shared" si="32"/>
        <v>0</v>
      </c>
    </row>
    <row r="710" spans="1:12">
      <c r="A710" s="708">
        <v>234</v>
      </c>
      <c r="B710" s="708">
        <f t="shared" si="25"/>
        <v>0</v>
      </c>
      <c r="C710" s="708">
        <f t="shared" si="26"/>
        <v>0</v>
      </c>
      <c r="D710" s="708">
        <f t="shared" si="27"/>
        <v>0</v>
      </c>
      <c r="E710" s="708">
        <f t="shared" si="28"/>
        <v>0</v>
      </c>
      <c r="G710" s="708">
        <v>234</v>
      </c>
      <c r="H710" s="708">
        <f t="shared" si="29"/>
        <v>0</v>
      </c>
      <c r="I710" s="708">
        <f t="shared" si="30"/>
        <v>0</v>
      </c>
      <c r="J710" s="708">
        <f t="shared" si="31"/>
        <v>0</v>
      </c>
      <c r="K710" s="708">
        <f t="shared" si="32"/>
        <v>0</v>
      </c>
    </row>
    <row r="711" spans="1:12">
      <c r="A711" s="708">
        <v>235</v>
      </c>
      <c r="B711" s="708">
        <f t="shared" si="25"/>
        <v>0</v>
      </c>
      <c r="C711" s="708">
        <f t="shared" si="26"/>
        <v>0</v>
      </c>
      <c r="D711" s="708">
        <f t="shared" si="27"/>
        <v>0</v>
      </c>
      <c r="E711" s="708">
        <f t="shared" si="28"/>
        <v>0</v>
      </c>
      <c r="G711" s="708">
        <v>235</v>
      </c>
      <c r="H711" s="708">
        <f t="shared" si="29"/>
        <v>0</v>
      </c>
      <c r="I711" s="708">
        <f t="shared" si="30"/>
        <v>0</v>
      </c>
      <c r="J711" s="708">
        <f t="shared" si="31"/>
        <v>0</v>
      </c>
      <c r="K711" s="708">
        <f t="shared" si="32"/>
        <v>0</v>
      </c>
    </row>
    <row r="712" spans="1:12">
      <c r="A712" s="708">
        <v>236</v>
      </c>
      <c r="B712" s="708">
        <f t="shared" si="25"/>
        <v>0</v>
      </c>
      <c r="C712" s="708">
        <f t="shared" si="26"/>
        <v>0</v>
      </c>
      <c r="D712" s="708">
        <f t="shared" si="27"/>
        <v>0</v>
      </c>
      <c r="E712" s="708">
        <f t="shared" si="28"/>
        <v>0</v>
      </c>
      <c r="G712" s="708">
        <v>236</v>
      </c>
      <c r="H712" s="708">
        <f t="shared" si="29"/>
        <v>0</v>
      </c>
      <c r="I712" s="708">
        <f t="shared" si="30"/>
        <v>0</v>
      </c>
      <c r="J712" s="708">
        <f t="shared" si="31"/>
        <v>0</v>
      </c>
      <c r="K712" s="708">
        <f t="shared" si="32"/>
        <v>0</v>
      </c>
    </row>
    <row r="713" spans="1:12">
      <c r="A713" s="708">
        <v>237</v>
      </c>
      <c r="B713" s="708">
        <f t="shared" si="25"/>
        <v>0</v>
      </c>
      <c r="C713" s="708">
        <f t="shared" si="26"/>
        <v>0</v>
      </c>
      <c r="D713" s="708">
        <f t="shared" si="27"/>
        <v>0</v>
      </c>
      <c r="E713" s="708">
        <f t="shared" si="28"/>
        <v>0</v>
      </c>
      <c r="G713" s="708">
        <v>237</v>
      </c>
      <c r="H713" s="708">
        <f t="shared" si="29"/>
        <v>0</v>
      </c>
      <c r="I713" s="708">
        <f t="shared" si="30"/>
        <v>0</v>
      </c>
      <c r="J713" s="708">
        <f t="shared" si="31"/>
        <v>0</v>
      </c>
      <c r="K713" s="708">
        <f t="shared" si="32"/>
        <v>0</v>
      </c>
    </row>
    <row r="714" spans="1:12">
      <c r="A714" s="708">
        <v>238</v>
      </c>
      <c r="B714" s="708">
        <f t="shared" si="25"/>
        <v>0</v>
      </c>
      <c r="C714" s="708">
        <f t="shared" si="26"/>
        <v>0</v>
      </c>
      <c r="D714" s="708">
        <f t="shared" si="27"/>
        <v>0</v>
      </c>
      <c r="E714" s="708">
        <f t="shared" si="28"/>
        <v>0</v>
      </c>
      <c r="G714" s="708">
        <v>238</v>
      </c>
      <c r="H714" s="708">
        <f t="shared" si="29"/>
        <v>0</v>
      </c>
      <c r="I714" s="708">
        <f t="shared" si="30"/>
        <v>0</v>
      </c>
      <c r="J714" s="708">
        <f t="shared" si="31"/>
        <v>0</v>
      </c>
      <c r="K714" s="708">
        <f t="shared" si="32"/>
        <v>0</v>
      </c>
    </row>
    <row r="715" spans="1:12">
      <c r="A715" s="708">
        <v>239</v>
      </c>
      <c r="B715" s="708">
        <f t="shared" si="25"/>
        <v>0</v>
      </c>
      <c r="C715" s="708">
        <f t="shared" si="26"/>
        <v>0</v>
      </c>
      <c r="D715" s="708">
        <f t="shared" si="27"/>
        <v>0</v>
      </c>
      <c r="E715" s="708">
        <f t="shared" si="28"/>
        <v>0</v>
      </c>
      <c r="G715" s="708">
        <v>239</v>
      </c>
      <c r="H715" s="708">
        <f t="shared" si="29"/>
        <v>0</v>
      </c>
      <c r="I715" s="708">
        <f t="shared" si="30"/>
        <v>0</v>
      </c>
      <c r="J715" s="708">
        <f t="shared" si="31"/>
        <v>0</v>
      </c>
      <c r="K715" s="708">
        <f t="shared" si="32"/>
        <v>0</v>
      </c>
    </row>
    <row r="716" spans="1:12">
      <c r="A716" s="708">
        <v>240</v>
      </c>
      <c r="B716" s="708">
        <f t="shared" si="25"/>
        <v>0</v>
      </c>
      <c r="C716" s="708">
        <f t="shared" si="26"/>
        <v>0</v>
      </c>
      <c r="D716" s="708">
        <f t="shared" si="27"/>
        <v>0</v>
      </c>
      <c r="E716" s="708">
        <f t="shared" si="28"/>
        <v>0</v>
      </c>
      <c r="F716" s="708">
        <v>20</v>
      </c>
      <c r="G716" s="708">
        <v>240</v>
      </c>
      <c r="H716" s="708">
        <f t="shared" si="29"/>
        <v>0</v>
      </c>
      <c r="I716" s="708">
        <f t="shared" si="30"/>
        <v>0</v>
      </c>
      <c r="J716" s="708">
        <f t="shared" si="31"/>
        <v>0</v>
      </c>
      <c r="K716" s="708">
        <f t="shared" si="32"/>
        <v>0</v>
      </c>
      <c r="L716" s="708">
        <v>20</v>
      </c>
    </row>
    <row r="717" spans="1:12">
      <c r="A717" s="708">
        <v>241</v>
      </c>
      <c r="B717" s="708">
        <f t="shared" si="25"/>
        <v>0</v>
      </c>
      <c r="C717" s="708">
        <f t="shared" si="26"/>
        <v>0</v>
      </c>
      <c r="D717" s="708">
        <f t="shared" si="27"/>
        <v>0</v>
      </c>
      <c r="E717" s="708">
        <f t="shared" si="28"/>
        <v>0</v>
      </c>
      <c r="G717" s="708">
        <v>241</v>
      </c>
      <c r="H717" s="708">
        <f t="shared" si="29"/>
        <v>0</v>
      </c>
      <c r="I717" s="708">
        <f t="shared" si="30"/>
        <v>0</v>
      </c>
      <c r="J717" s="708">
        <f t="shared" si="31"/>
        <v>0</v>
      </c>
      <c r="K717" s="708">
        <f t="shared" si="32"/>
        <v>0</v>
      </c>
    </row>
    <row r="718" spans="1:12">
      <c r="A718" s="708">
        <v>242</v>
      </c>
      <c r="B718" s="708">
        <f t="shared" si="25"/>
        <v>0</v>
      </c>
      <c r="C718" s="708">
        <f t="shared" si="26"/>
        <v>0</v>
      </c>
      <c r="D718" s="708">
        <f t="shared" si="27"/>
        <v>0</v>
      </c>
      <c r="E718" s="708">
        <f t="shared" si="28"/>
        <v>0</v>
      </c>
      <c r="G718" s="708">
        <v>242</v>
      </c>
      <c r="H718" s="708">
        <f t="shared" si="29"/>
        <v>0</v>
      </c>
      <c r="I718" s="708">
        <f t="shared" si="30"/>
        <v>0</v>
      </c>
      <c r="J718" s="708">
        <f t="shared" si="31"/>
        <v>0</v>
      </c>
      <c r="K718" s="708">
        <f t="shared" si="32"/>
        <v>0</v>
      </c>
    </row>
    <row r="719" spans="1:12">
      <c r="A719" s="708">
        <v>243</v>
      </c>
      <c r="B719" s="708">
        <f t="shared" si="25"/>
        <v>0</v>
      </c>
      <c r="C719" s="708">
        <f t="shared" si="26"/>
        <v>0</v>
      </c>
      <c r="D719" s="708">
        <f t="shared" si="27"/>
        <v>0</v>
      </c>
      <c r="E719" s="708">
        <f t="shared" si="28"/>
        <v>0</v>
      </c>
      <c r="G719" s="708">
        <v>243</v>
      </c>
      <c r="H719" s="708">
        <f t="shared" si="29"/>
        <v>0</v>
      </c>
      <c r="I719" s="708">
        <f t="shared" si="30"/>
        <v>0</v>
      </c>
      <c r="J719" s="708">
        <f t="shared" si="31"/>
        <v>0</v>
      </c>
      <c r="K719" s="708">
        <f t="shared" si="32"/>
        <v>0</v>
      </c>
    </row>
    <row r="720" spans="1:12">
      <c r="A720" s="708">
        <v>244</v>
      </c>
      <c r="B720" s="708">
        <f t="shared" si="25"/>
        <v>0</v>
      </c>
      <c r="C720" s="708">
        <f t="shared" si="26"/>
        <v>0</v>
      </c>
      <c r="D720" s="708">
        <f t="shared" si="27"/>
        <v>0</v>
      </c>
      <c r="E720" s="708">
        <f t="shared" si="28"/>
        <v>0</v>
      </c>
      <c r="G720" s="708">
        <v>244</v>
      </c>
      <c r="H720" s="708">
        <f t="shared" si="29"/>
        <v>0</v>
      </c>
      <c r="I720" s="708">
        <f t="shared" si="30"/>
        <v>0</v>
      </c>
      <c r="J720" s="708">
        <f t="shared" si="31"/>
        <v>0</v>
      </c>
      <c r="K720" s="708">
        <f t="shared" si="32"/>
        <v>0</v>
      </c>
    </row>
    <row r="721" spans="1:12">
      <c r="A721" s="708">
        <v>245</v>
      </c>
      <c r="B721" s="708">
        <f t="shared" si="25"/>
        <v>0</v>
      </c>
      <c r="C721" s="708">
        <f t="shared" si="26"/>
        <v>0</v>
      </c>
      <c r="D721" s="708">
        <f t="shared" si="27"/>
        <v>0</v>
      </c>
      <c r="E721" s="708">
        <f t="shared" si="28"/>
        <v>0</v>
      </c>
      <c r="G721" s="708">
        <v>245</v>
      </c>
      <c r="H721" s="708">
        <f t="shared" si="29"/>
        <v>0</v>
      </c>
      <c r="I721" s="708">
        <f t="shared" si="30"/>
        <v>0</v>
      </c>
      <c r="J721" s="708">
        <f t="shared" si="31"/>
        <v>0</v>
      </c>
      <c r="K721" s="708">
        <f t="shared" si="32"/>
        <v>0</v>
      </c>
    </row>
    <row r="722" spans="1:12">
      <c r="A722" s="708">
        <v>246</v>
      </c>
      <c r="B722" s="708">
        <f t="shared" si="25"/>
        <v>0</v>
      </c>
      <c r="C722" s="708">
        <f t="shared" si="26"/>
        <v>0</v>
      </c>
      <c r="D722" s="708">
        <f t="shared" si="27"/>
        <v>0</v>
      </c>
      <c r="E722" s="708">
        <f t="shared" si="28"/>
        <v>0</v>
      </c>
      <c r="G722" s="708">
        <v>246</v>
      </c>
      <c r="H722" s="708">
        <f t="shared" si="29"/>
        <v>0</v>
      </c>
      <c r="I722" s="708">
        <f t="shared" si="30"/>
        <v>0</v>
      </c>
      <c r="J722" s="708">
        <f t="shared" si="31"/>
        <v>0</v>
      </c>
      <c r="K722" s="708">
        <f t="shared" si="32"/>
        <v>0</v>
      </c>
    </row>
    <row r="723" spans="1:12">
      <c r="A723" s="708">
        <v>247</v>
      </c>
      <c r="B723" s="708">
        <f t="shared" si="25"/>
        <v>0</v>
      </c>
      <c r="C723" s="708">
        <f t="shared" si="26"/>
        <v>0</v>
      </c>
      <c r="D723" s="708">
        <f t="shared" si="27"/>
        <v>0</v>
      </c>
      <c r="E723" s="708">
        <f t="shared" si="28"/>
        <v>0</v>
      </c>
      <c r="G723" s="708">
        <v>247</v>
      </c>
      <c r="H723" s="708">
        <f t="shared" si="29"/>
        <v>0</v>
      </c>
      <c r="I723" s="708">
        <f t="shared" si="30"/>
        <v>0</v>
      </c>
      <c r="J723" s="708">
        <f t="shared" si="31"/>
        <v>0</v>
      </c>
      <c r="K723" s="708">
        <f t="shared" si="32"/>
        <v>0</v>
      </c>
    </row>
    <row r="724" spans="1:12">
      <c r="A724" s="708">
        <v>248</v>
      </c>
      <c r="B724" s="708">
        <f t="shared" si="25"/>
        <v>0</v>
      </c>
      <c r="C724" s="708">
        <f t="shared" si="26"/>
        <v>0</v>
      </c>
      <c r="D724" s="708">
        <f t="shared" si="27"/>
        <v>0</v>
      </c>
      <c r="E724" s="708">
        <f t="shared" si="28"/>
        <v>0</v>
      </c>
      <c r="G724" s="708">
        <v>248</v>
      </c>
      <c r="H724" s="708">
        <f t="shared" si="29"/>
        <v>0</v>
      </c>
      <c r="I724" s="708">
        <f t="shared" si="30"/>
        <v>0</v>
      </c>
      <c r="J724" s="708">
        <f t="shared" si="31"/>
        <v>0</v>
      </c>
      <c r="K724" s="708">
        <f t="shared" si="32"/>
        <v>0</v>
      </c>
    </row>
    <row r="725" spans="1:12">
      <c r="A725" s="708">
        <v>249</v>
      </c>
      <c r="B725" s="708">
        <f t="shared" si="25"/>
        <v>0</v>
      </c>
      <c r="C725" s="708">
        <f t="shared" si="26"/>
        <v>0</v>
      </c>
      <c r="D725" s="708">
        <f t="shared" si="27"/>
        <v>0</v>
      </c>
      <c r="E725" s="708">
        <f t="shared" si="28"/>
        <v>0</v>
      </c>
      <c r="G725" s="708">
        <v>249</v>
      </c>
      <c r="H725" s="708">
        <f t="shared" si="29"/>
        <v>0</v>
      </c>
      <c r="I725" s="708">
        <f t="shared" si="30"/>
        <v>0</v>
      </c>
      <c r="J725" s="708">
        <f t="shared" si="31"/>
        <v>0</v>
      </c>
      <c r="K725" s="708">
        <f t="shared" si="32"/>
        <v>0</v>
      </c>
    </row>
    <row r="726" spans="1:12">
      <c r="A726" s="708">
        <v>250</v>
      </c>
      <c r="B726" s="708">
        <f t="shared" si="25"/>
        <v>0</v>
      </c>
      <c r="C726" s="708">
        <f t="shared" si="26"/>
        <v>0</v>
      </c>
      <c r="D726" s="708">
        <f t="shared" si="27"/>
        <v>0</v>
      </c>
      <c r="E726" s="708">
        <f t="shared" si="28"/>
        <v>0</v>
      </c>
      <c r="G726" s="708">
        <v>250</v>
      </c>
      <c r="H726" s="708">
        <f t="shared" si="29"/>
        <v>0</v>
      </c>
      <c r="I726" s="708">
        <f t="shared" si="30"/>
        <v>0</v>
      </c>
      <c r="J726" s="708">
        <f t="shared" si="31"/>
        <v>0</v>
      </c>
      <c r="K726" s="708">
        <f t="shared" si="32"/>
        <v>0</v>
      </c>
    </row>
    <row r="727" spans="1:12">
      <c r="A727" s="708">
        <v>251</v>
      </c>
      <c r="B727" s="708">
        <f t="shared" si="25"/>
        <v>0</v>
      </c>
      <c r="C727" s="708">
        <f t="shared" si="26"/>
        <v>0</v>
      </c>
      <c r="D727" s="708">
        <f t="shared" si="27"/>
        <v>0</v>
      </c>
      <c r="E727" s="708">
        <f t="shared" si="28"/>
        <v>0</v>
      </c>
      <c r="G727" s="708">
        <v>251</v>
      </c>
      <c r="H727" s="708">
        <f t="shared" si="29"/>
        <v>0</v>
      </c>
      <c r="I727" s="708">
        <f t="shared" si="30"/>
        <v>0</v>
      </c>
      <c r="J727" s="708">
        <f t="shared" si="31"/>
        <v>0</v>
      </c>
      <c r="K727" s="708">
        <f t="shared" si="32"/>
        <v>0</v>
      </c>
    </row>
    <row r="728" spans="1:12">
      <c r="A728" s="708">
        <v>252</v>
      </c>
      <c r="B728" s="708">
        <f t="shared" si="25"/>
        <v>0</v>
      </c>
      <c r="C728" s="708">
        <f t="shared" si="26"/>
        <v>0</v>
      </c>
      <c r="D728" s="708">
        <f t="shared" si="27"/>
        <v>0</v>
      </c>
      <c r="E728" s="708">
        <f t="shared" si="28"/>
        <v>0</v>
      </c>
      <c r="F728" s="708">
        <v>21</v>
      </c>
      <c r="G728" s="708">
        <v>252</v>
      </c>
      <c r="H728" s="708">
        <f t="shared" si="29"/>
        <v>0</v>
      </c>
      <c r="I728" s="708">
        <f t="shared" si="30"/>
        <v>0</v>
      </c>
      <c r="J728" s="708">
        <f t="shared" si="31"/>
        <v>0</v>
      </c>
      <c r="K728" s="708">
        <f t="shared" si="32"/>
        <v>0</v>
      </c>
      <c r="L728" s="708">
        <v>21</v>
      </c>
    </row>
    <row r="729" spans="1:12">
      <c r="A729" s="708">
        <v>253</v>
      </c>
      <c r="B729" s="708">
        <f t="shared" si="25"/>
        <v>0</v>
      </c>
      <c r="C729" s="708">
        <f t="shared" si="26"/>
        <v>0</v>
      </c>
      <c r="D729" s="708">
        <f t="shared" si="27"/>
        <v>0</v>
      </c>
      <c r="E729" s="708">
        <f t="shared" si="28"/>
        <v>0</v>
      </c>
      <c r="G729" s="708">
        <v>253</v>
      </c>
      <c r="H729" s="708">
        <f t="shared" si="29"/>
        <v>0</v>
      </c>
      <c r="I729" s="708">
        <f t="shared" si="30"/>
        <v>0</v>
      </c>
      <c r="J729" s="708">
        <f t="shared" si="31"/>
        <v>0</v>
      </c>
      <c r="K729" s="708">
        <f t="shared" si="32"/>
        <v>0</v>
      </c>
    </row>
    <row r="730" spans="1:12">
      <c r="A730" s="708">
        <v>254</v>
      </c>
      <c r="B730" s="708">
        <f t="shared" si="25"/>
        <v>0</v>
      </c>
      <c r="C730" s="708">
        <f t="shared" si="26"/>
        <v>0</v>
      </c>
      <c r="D730" s="708">
        <f t="shared" si="27"/>
        <v>0</v>
      </c>
      <c r="E730" s="708">
        <f t="shared" si="28"/>
        <v>0</v>
      </c>
      <c r="G730" s="708">
        <v>254</v>
      </c>
      <c r="H730" s="708">
        <f t="shared" si="29"/>
        <v>0</v>
      </c>
      <c r="I730" s="708">
        <f t="shared" si="30"/>
        <v>0</v>
      </c>
      <c r="J730" s="708">
        <f t="shared" si="31"/>
        <v>0</v>
      </c>
      <c r="K730" s="708">
        <f t="shared" si="32"/>
        <v>0</v>
      </c>
    </row>
    <row r="731" spans="1:12">
      <c r="A731" s="708">
        <v>255</v>
      </c>
      <c r="B731" s="708">
        <f t="shared" si="25"/>
        <v>0</v>
      </c>
      <c r="C731" s="708">
        <f t="shared" si="26"/>
        <v>0</v>
      </c>
      <c r="D731" s="708">
        <f t="shared" si="27"/>
        <v>0</v>
      </c>
      <c r="E731" s="708">
        <f t="shared" si="28"/>
        <v>0</v>
      </c>
      <c r="G731" s="708">
        <v>255</v>
      </c>
      <c r="H731" s="708">
        <f t="shared" si="29"/>
        <v>0</v>
      </c>
      <c r="I731" s="708">
        <f t="shared" si="30"/>
        <v>0</v>
      </c>
      <c r="J731" s="708">
        <f t="shared" si="31"/>
        <v>0</v>
      </c>
      <c r="K731" s="708">
        <f t="shared" si="32"/>
        <v>0</v>
      </c>
    </row>
    <row r="732" spans="1:12">
      <c r="A732" s="708">
        <v>256</v>
      </c>
      <c r="B732" s="708">
        <f t="shared" si="25"/>
        <v>0</v>
      </c>
      <c r="C732" s="708">
        <f t="shared" si="26"/>
        <v>0</v>
      </c>
      <c r="D732" s="708">
        <f t="shared" si="27"/>
        <v>0</v>
      </c>
      <c r="E732" s="708">
        <f t="shared" si="28"/>
        <v>0</v>
      </c>
      <c r="G732" s="708">
        <v>256</v>
      </c>
      <c r="H732" s="708">
        <f t="shared" si="29"/>
        <v>0</v>
      </c>
      <c r="I732" s="708">
        <f t="shared" si="30"/>
        <v>0</v>
      </c>
      <c r="J732" s="708">
        <f t="shared" si="31"/>
        <v>0</v>
      </c>
      <c r="K732" s="708">
        <f t="shared" si="32"/>
        <v>0</v>
      </c>
    </row>
    <row r="733" spans="1:12">
      <c r="A733" s="708">
        <v>257</v>
      </c>
      <c r="B733" s="708">
        <f t="shared" ref="B733:B796" si="33">IF(A733&gt;12*$C$9,0,IF($C$5&gt;1500000,$D$12,$C$12))</f>
        <v>0</v>
      </c>
      <c r="C733" s="708">
        <f t="shared" ref="C733:C796" si="34">IF(A733&gt;12*$C$9,0,E732*$C$7/12)</f>
        <v>0</v>
      </c>
      <c r="D733" s="708">
        <f t="shared" ref="D733:D796" si="35">IF(A733&gt;12*$C$9,0,B733-C733)</f>
        <v>0</v>
      </c>
      <c r="E733" s="708">
        <f t="shared" ref="E733:E796" si="36">IF(A733&gt;12*$C$9,0,E732-D733)</f>
        <v>0</v>
      </c>
      <c r="G733" s="708">
        <v>257</v>
      </c>
      <c r="H733" s="708">
        <f t="shared" ref="H733:H796" si="37">IF(G733&gt;12*$C$9,0,IF($C$5&gt;1500000,$E$12,0))</f>
        <v>0</v>
      </c>
      <c r="I733" s="708">
        <f t="shared" ref="I733:I796" si="38">IF(G733&gt;12*$C$9,0,K732*$C$7/12)</f>
        <v>0</v>
      </c>
      <c r="J733" s="708">
        <f t="shared" ref="J733:J796" si="39">IF(G733&gt;12*$C$9,0,H733-I733)</f>
        <v>0</v>
      </c>
      <c r="K733" s="708">
        <f t="shared" ref="K733:K796" si="40">IF(G733&gt;12*$C$9,0,K732-J733)</f>
        <v>0</v>
      </c>
    </row>
    <row r="734" spans="1:12">
      <c r="A734" s="708">
        <v>258</v>
      </c>
      <c r="B734" s="708">
        <f t="shared" si="33"/>
        <v>0</v>
      </c>
      <c r="C734" s="708">
        <f t="shared" si="34"/>
        <v>0</v>
      </c>
      <c r="D734" s="708">
        <f t="shared" si="35"/>
        <v>0</v>
      </c>
      <c r="E734" s="708">
        <f t="shared" si="36"/>
        <v>0</v>
      </c>
      <c r="G734" s="708">
        <v>258</v>
      </c>
      <c r="H734" s="708">
        <f t="shared" si="37"/>
        <v>0</v>
      </c>
      <c r="I734" s="708">
        <f t="shared" si="38"/>
        <v>0</v>
      </c>
      <c r="J734" s="708">
        <f t="shared" si="39"/>
        <v>0</v>
      </c>
      <c r="K734" s="708">
        <f t="shared" si="40"/>
        <v>0</v>
      </c>
    </row>
    <row r="735" spans="1:12">
      <c r="A735" s="708">
        <v>259</v>
      </c>
      <c r="B735" s="708">
        <f t="shared" si="33"/>
        <v>0</v>
      </c>
      <c r="C735" s="708">
        <f t="shared" si="34"/>
        <v>0</v>
      </c>
      <c r="D735" s="708">
        <f t="shared" si="35"/>
        <v>0</v>
      </c>
      <c r="E735" s="708">
        <f t="shared" si="36"/>
        <v>0</v>
      </c>
      <c r="G735" s="708">
        <v>259</v>
      </c>
      <c r="H735" s="708">
        <f t="shared" si="37"/>
        <v>0</v>
      </c>
      <c r="I735" s="708">
        <f t="shared" si="38"/>
        <v>0</v>
      </c>
      <c r="J735" s="708">
        <f t="shared" si="39"/>
        <v>0</v>
      </c>
      <c r="K735" s="708">
        <f t="shared" si="40"/>
        <v>0</v>
      </c>
    </row>
    <row r="736" spans="1:12">
      <c r="A736" s="708">
        <v>260</v>
      </c>
      <c r="B736" s="708">
        <f t="shared" si="33"/>
        <v>0</v>
      </c>
      <c r="C736" s="708">
        <f t="shared" si="34"/>
        <v>0</v>
      </c>
      <c r="D736" s="708">
        <f t="shared" si="35"/>
        <v>0</v>
      </c>
      <c r="E736" s="708">
        <f t="shared" si="36"/>
        <v>0</v>
      </c>
      <c r="G736" s="708">
        <v>260</v>
      </c>
      <c r="H736" s="708">
        <f t="shared" si="37"/>
        <v>0</v>
      </c>
      <c r="I736" s="708">
        <f t="shared" si="38"/>
        <v>0</v>
      </c>
      <c r="J736" s="708">
        <f t="shared" si="39"/>
        <v>0</v>
      </c>
      <c r="K736" s="708">
        <f t="shared" si="40"/>
        <v>0</v>
      </c>
    </row>
    <row r="737" spans="1:12">
      <c r="A737" s="708">
        <v>261</v>
      </c>
      <c r="B737" s="708">
        <f t="shared" si="33"/>
        <v>0</v>
      </c>
      <c r="C737" s="708">
        <f t="shared" si="34"/>
        <v>0</v>
      </c>
      <c r="D737" s="708">
        <f t="shared" si="35"/>
        <v>0</v>
      </c>
      <c r="E737" s="708">
        <f t="shared" si="36"/>
        <v>0</v>
      </c>
      <c r="G737" s="708">
        <v>261</v>
      </c>
      <c r="H737" s="708">
        <f t="shared" si="37"/>
        <v>0</v>
      </c>
      <c r="I737" s="708">
        <f t="shared" si="38"/>
        <v>0</v>
      </c>
      <c r="J737" s="708">
        <f t="shared" si="39"/>
        <v>0</v>
      </c>
      <c r="K737" s="708">
        <f t="shared" si="40"/>
        <v>0</v>
      </c>
    </row>
    <row r="738" spans="1:12">
      <c r="A738" s="708">
        <v>262</v>
      </c>
      <c r="B738" s="708">
        <f t="shared" si="33"/>
        <v>0</v>
      </c>
      <c r="C738" s="708">
        <f t="shared" si="34"/>
        <v>0</v>
      </c>
      <c r="D738" s="708">
        <f t="shared" si="35"/>
        <v>0</v>
      </c>
      <c r="E738" s="708">
        <f t="shared" si="36"/>
        <v>0</v>
      </c>
      <c r="G738" s="708">
        <v>262</v>
      </c>
      <c r="H738" s="708">
        <f t="shared" si="37"/>
        <v>0</v>
      </c>
      <c r="I738" s="708">
        <f t="shared" si="38"/>
        <v>0</v>
      </c>
      <c r="J738" s="708">
        <f t="shared" si="39"/>
        <v>0</v>
      </c>
      <c r="K738" s="708">
        <f t="shared" si="40"/>
        <v>0</v>
      </c>
    </row>
    <row r="739" spans="1:12">
      <c r="A739" s="708">
        <v>263</v>
      </c>
      <c r="B739" s="708">
        <f t="shared" si="33"/>
        <v>0</v>
      </c>
      <c r="C739" s="708">
        <f t="shared" si="34"/>
        <v>0</v>
      </c>
      <c r="D739" s="708">
        <f t="shared" si="35"/>
        <v>0</v>
      </c>
      <c r="E739" s="708">
        <f t="shared" si="36"/>
        <v>0</v>
      </c>
      <c r="G739" s="708">
        <v>263</v>
      </c>
      <c r="H739" s="708">
        <f t="shared" si="37"/>
        <v>0</v>
      </c>
      <c r="I739" s="708">
        <f t="shared" si="38"/>
        <v>0</v>
      </c>
      <c r="J739" s="708">
        <f t="shared" si="39"/>
        <v>0</v>
      </c>
      <c r="K739" s="708">
        <f t="shared" si="40"/>
        <v>0</v>
      </c>
    </row>
    <row r="740" spans="1:12">
      <c r="A740" s="708">
        <v>264</v>
      </c>
      <c r="B740" s="708">
        <f t="shared" si="33"/>
        <v>0</v>
      </c>
      <c r="C740" s="708">
        <f t="shared" si="34"/>
        <v>0</v>
      </c>
      <c r="D740" s="708">
        <f t="shared" si="35"/>
        <v>0</v>
      </c>
      <c r="E740" s="708">
        <f t="shared" si="36"/>
        <v>0</v>
      </c>
      <c r="F740" s="708">
        <v>22</v>
      </c>
      <c r="G740" s="708">
        <v>264</v>
      </c>
      <c r="H740" s="708">
        <f t="shared" si="37"/>
        <v>0</v>
      </c>
      <c r="I740" s="708">
        <f t="shared" si="38"/>
        <v>0</v>
      </c>
      <c r="J740" s="708">
        <f t="shared" si="39"/>
        <v>0</v>
      </c>
      <c r="K740" s="708">
        <f t="shared" si="40"/>
        <v>0</v>
      </c>
      <c r="L740" s="708">
        <v>22</v>
      </c>
    </row>
    <row r="741" spans="1:12">
      <c r="A741" s="708">
        <v>265</v>
      </c>
      <c r="B741" s="708">
        <f t="shared" si="33"/>
        <v>0</v>
      </c>
      <c r="C741" s="708">
        <f t="shared" si="34"/>
        <v>0</v>
      </c>
      <c r="D741" s="708">
        <f t="shared" si="35"/>
        <v>0</v>
      </c>
      <c r="E741" s="708">
        <f t="shared" si="36"/>
        <v>0</v>
      </c>
      <c r="G741" s="708">
        <v>265</v>
      </c>
      <c r="H741" s="708">
        <f t="shared" si="37"/>
        <v>0</v>
      </c>
      <c r="I741" s="708">
        <f t="shared" si="38"/>
        <v>0</v>
      </c>
      <c r="J741" s="708">
        <f t="shared" si="39"/>
        <v>0</v>
      </c>
      <c r="K741" s="708">
        <f t="shared" si="40"/>
        <v>0</v>
      </c>
    </row>
    <row r="742" spans="1:12">
      <c r="A742" s="708">
        <v>266</v>
      </c>
      <c r="B742" s="708">
        <f t="shared" si="33"/>
        <v>0</v>
      </c>
      <c r="C742" s="708">
        <f t="shared" si="34"/>
        <v>0</v>
      </c>
      <c r="D742" s="708">
        <f t="shared" si="35"/>
        <v>0</v>
      </c>
      <c r="E742" s="708">
        <f t="shared" si="36"/>
        <v>0</v>
      </c>
      <c r="G742" s="708">
        <v>266</v>
      </c>
      <c r="H742" s="708">
        <f t="shared" si="37"/>
        <v>0</v>
      </c>
      <c r="I742" s="708">
        <f t="shared" si="38"/>
        <v>0</v>
      </c>
      <c r="J742" s="708">
        <f t="shared" si="39"/>
        <v>0</v>
      </c>
      <c r="K742" s="708">
        <f t="shared" si="40"/>
        <v>0</v>
      </c>
    </row>
    <row r="743" spans="1:12">
      <c r="A743" s="708">
        <v>267</v>
      </c>
      <c r="B743" s="708">
        <f t="shared" si="33"/>
        <v>0</v>
      </c>
      <c r="C743" s="708">
        <f t="shared" si="34"/>
        <v>0</v>
      </c>
      <c r="D743" s="708">
        <f t="shared" si="35"/>
        <v>0</v>
      </c>
      <c r="E743" s="708">
        <f t="shared" si="36"/>
        <v>0</v>
      </c>
      <c r="G743" s="708">
        <v>267</v>
      </c>
      <c r="H743" s="708">
        <f t="shared" si="37"/>
        <v>0</v>
      </c>
      <c r="I743" s="708">
        <f t="shared" si="38"/>
        <v>0</v>
      </c>
      <c r="J743" s="708">
        <f t="shared" si="39"/>
        <v>0</v>
      </c>
      <c r="K743" s="708">
        <f t="shared" si="40"/>
        <v>0</v>
      </c>
    </row>
    <row r="744" spans="1:12">
      <c r="A744" s="708">
        <v>268</v>
      </c>
      <c r="B744" s="708">
        <f t="shared" si="33"/>
        <v>0</v>
      </c>
      <c r="C744" s="708">
        <f t="shared" si="34"/>
        <v>0</v>
      </c>
      <c r="D744" s="708">
        <f t="shared" si="35"/>
        <v>0</v>
      </c>
      <c r="E744" s="708">
        <f t="shared" si="36"/>
        <v>0</v>
      </c>
      <c r="G744" s="708">
        <v>268</v>
      </c>
      <c r="H744" s="708">
        <f t="shared" si="37"/>
        <v>0</v>
      </c>
      <c r="I744" s="708">
        <f t="shared" si="38"/>
        <v>0</v>
      </c>
      <c r="J744" s="708">
        <f t="shared" si="39"/>
        <v>0</v>
      </c>
      <c r="K744" s="708">
        <f t="shared" si="40"/>
        <v>0</v>
      </c>
    </row>
    <row r="745" spans="1:12">
      <c r="A745" s="708">
        <v>269</v>
      </c>
      <c r="B745" s="708">
        <f t="shared" si="33"/>
        <v>0</v>
      </c>
      <c r="C745" s="708">
        <f t="shared" si="34"/>
        <v>0</v>
      </c>
      <c r="D745" s="708">
        <f t="shared" si="35"/>
        <v>0</v>
      </c>
      <c r="E745" s="708">
        <f t="shared" si="36"/>
        <v>0</v>
      </c>
      <c r="G745" s="708">
        <v>269</v>
      </c>
      <c r="H745" s="708">
        <f t="shared" si="37"/>
        <v>0</v>
      </c>
      <c r="I745" s="708">
        <f t="shared" si="38"/>
        <v>0</v>
      </c>
      <c r="J745" s="708">
        <f t="shared" si="39"/>
        <v>0</v>
      </c>
      <c r="K745" s="708">
        <f t="shared" si="40"/>
        <v>0</v>
      </c>
    </row>
    <row r="746" spans="1:12">
      <c r="A746" s="708">
        <v>270</v>
      </c>
      <c r="B746" s="708">
        <f t="shared" si="33"/>
        <v>0</v>
      </c>
      <c r="C746" s="708">
        <f t="shared" si="34"/>
        <v>0</v>
      </c>
      <c r="D746" s="708">
        <f t="shared" si="35"/>
        <v>0</v>
      </c>
      <c r="E746" s="708">
        <f t="shared" si="36"/>
        <v>0</v>
      </c>
      <c r="G746" s="708">
        <v>270</v>
      </c>
      <c r="H746" s="708">
        <f t="shared" si="37"/>
        <v>0</v>
      </c>
      <c r="I746" s="708">
        <f t="shared" si="38"/>
        <v>0</v>
      </c>
      <c r="J746" s="708">
        <f t="shared" si="39"/>
        <v>0</v>
      </c>
      <c r="K746" s="708">
        <f t="shared" si="40"/>
        <v>0</v>
      </c>
    </row>
    <row r="747" spans="1:12">
      <c r="A747" s="708">
        <v>271</v>
      </c>
      <c r="B747" s="708">
        <f t="shared" si="33"/>
        <v>0</v>
      </c>
      <c r="C747" s="708">
        <f t="shared" si="34"/>
        <v>0</v>
      </c>
      <c r="D747" s="708">
        <f t="shared" si="35"/>
        <v>0</v>
      </c>
      <c r="E747" s="708">
        <f t="shared" si="36"/>
        <v>0</v>
      </c>
      <c r="G747" s="708">
        <v>271</v>
      </c>
      <c r="H747" s="708">
        <f t="shared" si="37"/>
        <v>0</v>
      </c>
      <c r="I747" s="708">
        <f t="shared" si="38"/>
        <v>0</v>
      </c>
      <c r="J747" s="708">
        <f t="shared" si="39"/>
        <v>0</v>
      </c>
      <c r="K747" s="708">
        <f t="shared" si="40"/>
        <v>0</v>
      </c>
    </row>
    <row r="748" spans="1:12">
      <c r="A748" s="708">
        <v>272</v>
      </c>
      <c r="B748" s="708">
        <f t="shared" si="33"/>
        <v>0</v>
      </c>
      <c r="C748" s="708">
        <f t="shared" si="34"/>
        <v>0</v>
      </c>
      <c r="D748" s="708">
        <f t="shared" si="35"/>
        <v>0</v>
      </c>
      <c r="E748" s="708">
        <f t="shared" si="36"/>
        <v>0</v>
      </c>
      <c r="G748" s="708">
        <v>272</v>
      </c>
      <c r="H748" s="708">
        <f t="shared" si="37"/>
        <v>0</v>
      </c>
      <c r="I748" s="708">
        <f t="shared" si="38"/>
        <v>0</v>
      </c>
      <c r="J748" s="708">
        <f t="shared" si="39"/>
        <v>0</v>
      </c>
      <c r="K748" s="708">
        <f t="shared" si="40"/>
        <v>0</v>
      </c>
    </row>
    <row r="749" spans="1:12">
      <c r="A749" s="708">
        <v>273</v>
      </c>
      <c r="B749" s="708">
        <f t="shared" si="33"/>
        <v>0</v>
      </c>
      <c r="C749" s="708">
        <f t="shared" si="34"/>
        <v>0</v>
      </c>
      <c r="D749" s="708">
        <f t="shared" si="35"/>
        <v>0</v>
      </c>
      <c r="E749" s="708">
        <f t="shared" si="36"/>
        <v>0</v>
      </c>
      <c r="G749" s="708">
        <v>273</v>
      </c>
      <c r="H749" s="708">
        <f t="shared" si="37"/>
        <v>0</v>
      </c>
      <c r="I749" s="708">
        <f t="shared" si="38"/>
        <v>0</v>
      </c>
      <c r="J749" s="708">
        <f t="shared" si="39"/>
        <v>0</v>
      </c>
      <c r="K749" s="708">
        <f t="shared" si="40"/>
        <v>0</v>
      </c>
    </row>
    <row r="750" spans="1:12">
      <c r="A750" s="708">
        <v>274</v>
      </c>
      <c r="B750" s="708">
        <f t="shared" si="33"/>
        <v>0</v>
      </c>
      <c r="C750" s="708">
        <f t="shared" si="34"/>
        <v>0</v>
      </c>
      <c r="D750" s="708">
        <f t="shared" si="35"/>
        <v>0</v>
      </c>
      <c r="E750" s="708">
        <f t="shared" si="36"/>
        <v>0</v>
      </c>
      <c r="G750" s="708">
        <v>274</v>
      </c>
      <c r="H750" s="708">
        <f t="shared" si="37"/>
        <v>0</v>
      </c>
      <c r="I750" s="708">
        <f t="shared" si="38"/>
        <v>0</v>
      </c>
      <c r="J750" s="708">
        <f t="shared" si="39"/>
        <v>0</v>
      </c>
      <c r="K750" s="708">
        <f t="shared" si="40"/>
        <v>0</v>
      </c>
    </row>
    <row r="751" spans="1:12">
      <c r="A751" s="708">
        <v>275</v>
      </c>
      <c r="B751" s="708">
        <f t="shared" si="33"/>
        <v>0</v>
      </c>
      <c r="C751" s="708">
        <f t="shared" si="34"/>
        <v>0</v>
      </c>
      <c r="D751" s="708">
        <f t="shared" si="35"/>
        <v>0</v>
      </c>
      <c r="E751" s="708">
        <f t="shared" si="36"/>
        <v>0</v>
      </c>
      <c r="G751" s="708">
        <v>275</v>
      </c>
      <c r="H751" s="708">
        <f t="shared" si="37"/>
        <v>0</v>
      </c>
      <c r="I751" s="708">
        <f t="shared" si="38"/>
        <v>0</v>
      </c>
      <c r="J751" s="708">
        <f t="shared" si="39"/>
        <v>0</v>
      </c>
      <c r="K751" s="708">
        <f t="shared" si="40"/>
        <v>0</v>
      </c>
    </row>
    <row r="752" spans="1:12">
      <c r="A752" s="708">
        <v>276</v>
      </c>
      <c r="B752" s="708">
        <f t="shared" si="33"/>
        <v>0</v>
      </c>
      <c r="C752" s="708">
        <f t="shared" si="34"/>
        <v>0</v>
      </c>
      <c r="D752" s="708">
        <f t="shared" si="35"/>
        <v>0</v>
      </c>
      <c r="E752" s="708">
        <f t="shared" si="36"/>
        <v>0</v>
      </c>
      <c r="F752" s="708">
        <v>23</v>
      </c>
      <c r="G752" s="708">
        <v>276</v>
      </c>
      <c r="H752" s="708">
        <f t="shared" si="37"/>
        <v>0</v>
      </c>
      <c r="I752" s="708">
        <f t="shared" si="38"/>
        <v>0</v>
      </c>
      <c r="J752" s="708">
        <f t="shared" si="39"/>
        <v>0</v>
      </c>
      <c r="K752" s="708">
        <f t="shared" si="40"/>
        <v>0</v>
      </c>
      <c r="L752" s="708">
        <v>23</v>
      </c>
    </row>
    <row r="753" spans="1:12">
      <c r="A753" s="708">
        <v>277</v>
      </c>
      <c r="B753" s="708">
        <f t="shared" si="33"/>
        <v>0</v>
      </c>
      <c r="C753" s="708">
        <f t="shared" si="34"/>
        <v>0</v>
      </c>
      <c r="D753" s="708">
        <f t="shared" si="35"/>
        <v>0</v>
      </c>
      <c r="E753" s="708">
        <f t="shared" si="36"/>
        <v>0</v>
      </c>
      <c r="G753" s="708">
        <v>277</v>
      </c>
      <c r="H753" s="708">
        <f t="shared" si="37"/>
        <v>0</v>
      </c>
      <c r="I753" s="708">
        <f t="shared" si="38"/>
        <v>0</v>
      </c>
      <c r="J753" s="708">
        <f t="shared" si="39"/>
        <v>0</v>
      </c>
      <c r="K753" s="708">
        <f t="shared" si="40"/>
        <v>0</v>
      </c>
    </row>
    <row r="754" spans="1:12">
      <c r="A754" s="708">
        <v>278</v>
      </c>
      <c r="B754" s="708">
        <f t="shared" si="33"/>
        <v>0</v>
      </c>
      <c r="C754" s="708">
        <f t="shared" si="34"/>
        <v>0</v>
      </c>
      <c r="D754" s="708">
        <f t="shared" si="35"/>
        <v>0</v>
      </c>
      <c r="E754" s="708">
        <f t="shared" si="36"/>
        <v>0</v>
      </c>
      <c r="G754" s="708">
        <v>278</v>
      </c>
      <c r="H754" s="708">
        <f t="shared" si="37"/>
        <v>0</v>
      </c>
      <c r="I754" s="708">
        <f t="shared" si="38"/>
        <v>0</v>
      </c>
      <c r="J754" s="708">
        <f t="shared" si="39"/>
        <v>0</v>
      </c>
      <c r="K754" s="708">
        <f t="shared" si="40"/>
        <v>0</v>
      </c>
    </row>
    <row r="755" spans="1:12">
      <c r="A755" s="708">
        <v>279</v>
      </c>
      <c r="B755" s="708">
        <f t="shared" si="33"/>
        <v>0</v>
      </c>
      <c r="C755" s="708">
        <f t="shared" si="34"/>
        <v>0</v>
      </c>
      <c r="D755" s="708">
        <f t="shared" si="35"/>
        <v>0</v>
      </c>
      <c r="E755" s="708">
        <f t="shared" si="36"/>
        <v>0</v>
      </c>
      <c r="G755" s="708">
        <v>279</v>
      </c>
      <c r="H755" s="708">
        <f t="shared" si="37"/>
        <v>0</v>
      </c>
      <c r="I755" s="708">
        <f t="shared" si="38"/>
        <v>0</v>
      </c>
      <c r="J755" s="708">
        <f t="shared" si="39"/>
        <v>0</v>
      </c>
      <c r="K755" s="708">
        <f t="shared" si="40"/>
        <v>0</v>
      </c>
    </row>
    <row r="756" spans="1:12">
      <c r="A756" s="708">
        <v>280</v>
      </c>
      <c r="B756" s="708">
        <f t="shared" si="33"/>
        <v>0</v>
      </c>
      <c r="C756" s="708">
        <f t="shared" si="34"/>
        <v>0</v>
      </c>
      <c r="D756" s="708">
        <f t="shared" si="35"/>
        <v>0</v>
      </c>
      <c r="E756" s="708">
        <f t="shared" si="36"/>
        <v>0</v>
      </c>
      <c r="G756" s="708">
        <v>280</v>
      </c>
      <c r="H756" s="708">
        <f t="shared" si="37"/>
        <v>0</v>
      </c>
      <c r="I756" s="708">
        <f t="shared" si="38"/>
        <v>0</v>
      </c>
      <c r="J756" s="708">
        <f t="shared" si="39"/>
        <v>0</v>
      </c>
      <c r="K756" s="708">
        <f t="shared" si="40"/>
        <v>0</v>
      </c>
    </row>
    <row r="757" spans="1:12">
      <c r="A757" s="708">
        <v>281</v>
      </c>
      <c r="B757" s="708">
        <f t="shared" si="33"/>
        <v>0</v>
      </c>
      <c r="C757" s="708">
        <f t="shared" si="34"/>
        <v>0</v>
      </c>
      <c r="D757" s="708">
        <f t="shared" si="35"/>
        <v>0</v>
      </c>
      <c r="E757" s="708">
        <f t="shared" si="36"/>
        <v>0</v>
      </c>
      <c r="G757" s="708">
        <v>281</v>
      </c>
      <c r="H757" s="708">
        <f t="shared" si="37"/>
        <v>0</v>
      </c>
      <c r="I757" s="708">
        <f t="shared" si="38"/>
        <v>0</v>
      </c>
      <c r="J757" s="708">
        <f t="shared" si="39"/>
        <v>0</v>
      </c>
      <c r="K757" s="708">
        <f t="shared" si="40"/>
        <v>0</v>
      </c>
    </row>
    <row r="758" spans="1:12">
      <c r="A758" s="708">
        <v>282</v>
      </c>
      <c r="B758" s="708">
        <f t="shared" si="33"/>
        <v>0</v>
      </c>
      <c r="C758" s="708">
        <f t="shared" si="34"/>
        <v>0</v>
      </c>
      <c r="D758" s="708">
        <f t="shared" si="35"/>
        <v>0</v>
      </c>
      <c r="E758" s="708">
        <f t="shared" si="36"/>
        <v>0</v>
      </c>
      <c r="G758" s="708">
        <v>282</v>
      </c>
      <c r="H758" s="708">
        <f t="shared" si="37"/>
        <v>0</v>
      </c>
      <c r="I758" s="708">
        <f t="shared" si="38"/>
        <v>0</v>
      </c>
      <c r="J758" s="708">
        <f t="shared" si="39"/>
        <v>0</v>
      </c>
      <c r="K758" s="708">
        <f t="shared" si="40"/>
        <v>0</v>
      </c>
    </row>
    <row r="759" spans="1:12">
      <c r="A759" s="708">
        <v>283</v>
      </c>
      <c r="B759" s="708">
        <f t="shared" si="33"/>
        <v>0</v>
      </c>
      <c r="C759" s="708">
        <f t="shared" si="34"/>
        <v>0</v>
      </c>
      <c r="D759" s="708">
        <f t="shared" si="35"/>
        <v>0</v>
      </c>
      <c r="E759" s="708">
        <f t="shared" si="36"/>
        <v>0</v>
      </c>
      <c r="G759" s="708">
        <v>283</v>
      </c>
      <c r="H759" s="708">
        <f t="shared" si="37"/>
        <v>0</v>
      </c>
      <c r="I759" s="708">
        <f t="shared" si="38"/>
        <v>0</v>
      </c>
      <c r="J759" s="708">
        <f t="shared" si="39"/>
        <v>0</v>
      </c>
      <c r="K759" s="708">
        <f t="shared" si="40"/>
        <v>0</v>
      </c>
    </row>
    <row r="760" spans="1:12">
      <c r="A760" s="708">
        <v>284</v>
      </c>
      <c r="B760" s="708">
        <f t="shared" si="33"/>
        <v>0</v>
      </c>
      <c r="C760" s="708">
        <f t="shared" si="34"/>
        <v>0</v>
      </c>
      <c r="D760" s="708">
        <f t="shared" si="35"/>
        <v>0</v>
      </c>
      <c r="E760" s="708">
        <f t="shared" si="36"/>
        <v>0</v>
      </c>
      <c r="G760" s="708">
        <v>284</v>
      </c>
      <c r="H760" s="708">
        <f t="shared" si="37"/>
        <v>0</v>
      </c>
      <c r="I760" s="708">
        <f t="shared" si="38"/>
        <v>0</v>
      </c>
      <c r="J760" s="708">
        <f t="shared" si="39"/>
        <v>0</v>
      </c>
      <c r="K760" s="708">
        <f t="shared" si="40"/>
        <v>0</v>
      </c>
    </row>
    <row r="761" spans="1:12">
      <c r="A761" s="708">
        <v>285</v>
      </c>
      <c r="B761" s="708">
        <f t="shared" si="33"/>
        <v>0</v>
      </c>
      <c r="C761" s="708">
        <f t="shared" si="34"/>
        <v>0</v>
      </c>
      <c r="D761" s="708">
        <f t="shared" si="35"/>
        <v>0</v>
      </c>
      <c r="E761" s="708">
        <f t="shared" si="36"/>
        <v>0</v>
      </c>
      <c r="G761" s="708">
        <v>285</v>
      </c>
      <c r="H761" s="708">
        <f t="shared" si="37"/>
        <v>0</v>
      </c>
      <c r="I761" s="708">
        <f t="shared" si="38"/>
        <v>0</v>
      </c>
      <c r="J761" s="708">
        <f t="shared" si="39"/>
        <v>0</v>
      </c>
      <c r="K761" s="708">
        <f t="shared" si="40"/>
        <v>0</v>
      </c>
    </row>
    <row r="762" spans="1:12">
      <c r="A762" s="708">
        <v>286</v>
      </c>
      <c r="B762" s="708">
        <f t="shared" si="33"/>
        <v>0</v>
      </c>
      <c r="C762" s="708">
        <f t="shared" si="34"/>
        <v>0</v>
      </c>
      <c r="D762" s="708">
        <f t="shared" si="35"/>
        <v>0</v>
      </c>
      <c r="E762" s="708">
        <f t="shared" si="36"/>
        <v>0</v>
      </c>
      <c r="G762" s="708">
        <v>286</v>
      </c>
      <c r="H762" s="708">
        <f t="shared" si="37"/>
        <v>0</v>
      </c>
      <c r="I762" s="708">
        <f t="shared" si="38"/>
        <v>0</v>
      </c>
      <c r="J762" s="708">
        <f t="shared" si="39"/>
        <v>0</v>
      </c>
      <c r="K762" s="708">
        <f t="shared" si="40"/>
        <v>0</v>
      </c>
    </row>
    <row r="763" spans="1:12">
      <c r="A763" s="708">
        <v>287</v>
      </c>
      <c r="B763" s="708">
        <f t="shared" si="33"/>
        <v>0</v>
      </c>
      <c r="C763" s="708">
        <f t="shared" si="34"/>
        <v>0</v>
      </c>
      <c r="D763" s="708">
        <f t="shared" si="35"/>
        <v>0</v>
      </c>
      <c r="E763" s="708">
        <f t="shared" si="36"/>
        <v>0</v>
      </c>
      <c r="G763" s="708">
        <v>287</v>
      </c>
      <c r="H763" s="708">
        <f t="shared" si="37"/>
        <v>0</v>
      </c>
      <c r="I763" s="708">
        <f t="shared" si="38"/>
        <v>0</v>
      </c>
      <c r="J763" s="708">
        <f t="shared" si="39"/>
        <v>0</v>
      </c>
      <c r="K763" s="708">
        <f t="shared" si="40"/>
        <v>0</v>
      </c>
    </row>
    <row r="764" spans="1:12">
      <c r="A764" s="708">
        <v>288</v>
      </c>
      <c r="B764" s="708">
        <f t="shared" si="33"/>
        <v>0</v>
      </c>
      <c r="C764" s="708">
        <f t="shared" si="34"/>
        <v>0</v>
      </c>
      <c r="D764" s="708">
        <f t="shared" si="35"/>
        <v>0</v>
      </c>
      <c r="E764" s="708">
        <f t="shared" si="36"/>
        <v>0</v>
      </c>
      <c r="F764" s="708">
        <v>24</v>
      </c>
      <c r="G764" s="708">
        <v>288</v>
      </c>
      <c r="H764" s="708">
        <f t="shared" si="37"/>
        <v>0</v>
      </c>
      <c r="I764" s="708">
        <f t="shared" si="38"/>
        <v>0</v>
      </c>
      <c r="J764" s="708">
        <f t="shared" si="39"/>
        <v>0</v>
      </c>
      <c r="K764" s="708">
        <f t="shared" si="40"/>
        <v>0</v>
      </c>
      <c r="L764" s="708">
        <v>24</v>
      </c>
    </row>
    <row r="765" spans="1:12">
      <c r="A765" s="708">
        <v>289</v>
      </c>
      <c r="B765" s="708">
        <f t="shared" si="33"/>
        <v>0</v>
      </c>
      <c r="C765" s="708">
        <f t="shared" si="34"/>
        <v>0</v>
      </c>
      <c r="D765" s="708">
        <f t="shared" si="35"/>
        <v>0</v>
      </c>
      <c r="E765" s="708">
        <f t="shared" si="36"/>
        <v>0</v>
      </c>
      <c r="G765" s="708">
        <v>289</v>
      </c>
      <c r="H765" s="708">
        <f t="shared" si="37"/>
        <v>0</v>
      </c>
      <c r="I765" s="708">
        <f t="shared" si="38"/>
        <v>0</v>
      </c>
      <c r="J765" s="708">
        <f t="shared" si="39"/>
        <v>0</v>
      </c>
      <c r="K765" s="708">
        <f t="shared" si="40"/>
        <v>0</v>
      </c>
    </row>
    <row r="766" spans="1:12">
      <c r="A766" s="708">
        <v>290</v>
      </c>
      <c r="B766" s="708">
        <f t="shared" si="33"/>
        <v>0</v>
      </c>
      <c r="C766" s="708">
        <f t="shared" si="34"/>
        <v>0</v>
      </c>
      <c r="D766" s="708">
        <f t="shared" si="35"/>
        <v>0</v>
      </c>
      <c r="E766" s="708">
        <f t="shared" si="36"/>
        <v>0</v>
      </c>
      <c r="G766" s="708">
        <v>290</v>
      </c>
      <c r="H766" s="708">
        <f t="shared" si="37"/>
        <v>0</v>
      </c>
      <c r="I766" s="708">
        <f t="shared" si="38"/>
        <v>0</v>
      </c>
      <c r="J766" s="708">
        <f t="shared" si="39"/>
        <v>0</v>
      </c>
      <c r="K766" s="708">
        <f t="shared" si="40"/>
        <v>0</v>
      </c>
    </row>
    <row r="767" spans="1:12">
      <c r="A767" s="708">
        <v>291</v>
      </c>
      <c r="B767" s="708">
        <f t="shared" si="33"/>
        <v>0</v>
      </c>
      <c r="C767" s="708">
        <f t="shared" si="34"/>
        <v>0</v>
      </c>
      <c r="D767" s="708">
        <f t="shared" si="35"/>
        <v>0</v>
      </c>
      <c r="E767" s="708">
        <f t="shared" si="36"/>
        <v>0</v>
      </c>
      <c r="G767" s="708">
        <v>291</v>
      </c>
      <c r="H767" s="708">
        <f t="shared" si="37"/>
        <v>0</v>
      </c>
      <c r="I767" s="708">
        <f t="shared" si="38"/>
        <v>0</v>
      </c>
      <c r="J767" s="708">
        <f t="shared" si="39"/>
        <v>0</v>
      </c>
      <c r="K767" s="708">
        <f t="shared" si="40"/>
        <v>0</v>
      </c>
    </row>
    <row r="768" spans="1:12">
      <c r="A768" s="708">
        <v>292</v>
      </c>
      <c r="B768" s="708">
        <f t="shared" si="33"/>
        <v>0</v>
      </c>
      <c r="C768" s="708">
        <f t="shared" si="34"/>
        <v>0</v>
      </c>
      <c r="D768" s="708">
        <f t="shared" si="35"/>
        <v>0</v>
      </c>
      <c r="E768" s="708">
        <f t="shared" si="36"/>
        <v>0</v>
      </c>
      <c r="G768" s="708">
        <v>292</v>
      </c>
      <c r="H768" s="708">
        <f t="shared" si="37"/>
        <v>0</v>
      </c>
      <c r="I768" s="708">
        <f t="shared" si="38"/>
        <v>0</v>
      </c>
      <c r="J768" s="708">
        <f t="shared" si="39"/>
        <v>0</v>
      </c>
      <c r="K768" s="708">
        <f t="shared" si="40"/>
        <v>0</v>
      </c>
    </row>
    <row r="769" spans="1:12">
      <c r="A769" s="708">
        <v>293</v>
      </c>
      <c r="B769" s="708">
        <f t="shared" si="33"/>
        <v>0</v>
      </c>
      <c r="C769" s="708">
        <f t="shared" si="34"/>
        <v>0</v>
      </c>
      <c r="D769" s="708">
        <f t="shared" si="35"/>
        <v>0</v>
      </c>
      <c r="E769" s="708">
        <f t="shared" si="36"/>
        <v>0</v>
      </c>
      <c r="G769" s="708">
        <v>293</v>
      </c>
      <c r="H769" s="708">
        <f t="shared" si="37"/>
        <v>0</v>
      </c>
      <c r="I769" s="708">
        <f t="shared" si="38"/>
        <v>0</v>
      </c>
      <c r="J769" s="708">
        <f t="shared" si="39"/>
        <v>0</v>
      </c>
      <c r="K769" s="708">
        <f t="shared" si="40"/>
        <v>0</v>
      </c>
    </row>
    <row r="770" spans="1:12">
      <c r="A770" s="708">
        <v>294</v>
      </c>
      <c r="B770" s="708">
        <f t="shared" si="33"/>
        <v>0</v>
      </c>
      <c r="C770" s="708">
        <f t="shared" si="34"/>
        <v>0</v>
      </c>
      <c r="D770" s="708">
        <f t="shared" si="35"/>
        <v>0</v>
      </c>
      <c r="E770" s="708">
        <f t="shared" si="36"/>
        <v>0</v>
      </c>
      <c r="G770" s="708">
        <v>294</v>
      </c>
      <c r="H770" s="708">
        <f t="shared" si="37"/>
        <v>0</v>
      </c>
      <c r="I770" s="708">
        <f t="shared" si="38"/>
        <v>0</v>
      </c>
      <c r="J770" s="708">
        <f t="shared" si="39"/>
        <v>0</v>
      </c>
      <c r="K770" s="708">
        <f t="shared" si="40"/>
        <v>0</v>
      </c>
    </row>
    <row r="771" spans="1:12">
      <c r="A771" s="708">
        <v>295</v>
      </c>
      <c r="B771" s="708">
        <f t="shared" si="33"/>
        <v>0</v>
      </c>
      <c r="C771" s="708">
        <f t="shared" si="34"/>
        <v>0</v>
      </c>
      <c r="D771" s="708">
        <f t="shared" si="35"/>
        <v>0</v>
      </c>
      <c r="E771" s="708">
        <f t="shared" si="36"/>
        <v>0</v>
      </c>
      <c r="G771" s="708">
        <v>295</v>
      </c>
      <c r="H771" s="708">
        <f t="shared" si="37"/>
        <v>0</v>
      </c>
      <c r="I771" s="708">
        <f t="shared" si="38"/>
        <v>0</v>
      </c>
      <c r="J771" s="708">
        <f t="shared" si="39"/>
        <v>0</v>
      </c>
      <c r="K771" s="708">
        <f t="shared" si="40"/>
        <v>0</v>
      </c>
    </row>
    <row r="772" spans="1:12">
      <c r="A772" s="708">
        <v>296</v>
      </c>
      <c r="B772" s="708">
        <f t="shared" si="33"/>
        <v>0</v>
      </c>
      <c r="C772" s="708">
        <f t="shared" si="34"/>
        <v>0</v>
      </c>
      <c r="D772" s="708">
        <f t="shared" si="35"/>
        <v>0</v>
      </c>
      <c r="E772" s="708">
        <f t="shared" si="36"/>
        <v>0</v>
      </c>
      <c r="G772" s="708">
        <v>296</v>
      </c>
      <c r="H772" s="708">
        <f t="shared" si="37"/>
        <v>0</v>
      </c>
      <c r="I772" s="708">
        <f t="shared" si="38"/>
        <v>0</v>
      </c>
      <c r="J772" s="708">
        <f t="shared" si="39"/>
        <v>0</v>
      </c>
      <c r="K772" s="708">
        <f t="shared" si="40"/>
        <v>0</v>
      </c>
    </row>
    <row r="773" spans="1:12">
      <c r="A773" s="708">
        <v>297</v>
      </c>
      <c r="B773" s="708">
        <f t="shared" si="33"/>
        <v>0</v>
      </c>
      <c r="C773" s="708">
        <f t="shared" si="34"/>
        <v>0</v>
      </c>
      <c r="D773" s="708">
        <f t="shared" si="35"/>
        <v>0</v>
      </c>
      <c r="E773" s="708">
        <f t="shared" si="36"/>
        <v>0</v>
      </c>
      <c r="G773" s="708">
        <v>297</v>
      </c>
      <c r="H773" s="708">
        <f t="shared" si="37"/>
        <v>0</v>
      </c>
      <c r="I773" s="708">
        <f t="shared" si="38"/>
        <v>0</v>
      </c>
      <c r="J773" s="708">
        <f t="shared" si="39"/>
        <v>0</v>
      </c>
      <c r="K773" s="708">
        <f t="shared" si="40"/>
        <v>0</v>
      </c>
    </row>
    <row r="774" spans="1:12">
      <c r="A774" s="708">
        <v>298</v>
      </c>
      <c r="B774" s="708">
        <f t="shared" si="33"/>
        <v>0</v>
      </c>
      <c r="C774" s="708">
        <f t="shared" si="34"/>
        <v>0</v>
      </c>
      <c r="D774" s="708">
        <f t="shared" si="35"/>
        <v>0</v>
      </c>
      <c r="E774" s="708">
        <f t="shared" si="36"/>
        <v>0</v>
      </c>
      <c r="G774" s="708">
        <v>298</v>
      </c>
      <c r="H774" s="708">
        <f t="shared" si="37"/>
        <v>0</v>
      </c>
      <c r="I774" s="708">
        <f t="shared" si="38"/>
        <v>0</v>
      </c>
      <c r="J774" s="708">
        <f t="shared" si="39"/>
        <v>0</v>
      </c>
      <c r="K774" s="708">
        <f t="shared" si="40"/>
        <v>0</v>
      </c>
    </row>
    <row r="775" spans="1:12">
      <c r="A775" s="708">
        <v>299</v>
      </c>
      <c r="B775" s="708">
        <f t="shared" si="33"/>
        <v>0</v>
      </c>
      <c r="C775" s="708">
        <f t="shared" si="34"/>
        <v>0</v>
      </c>
      <c r="D775" s="708">
        <f t="shared" si="35"/>
        <v>0</v>
      </c>
      <c r="E775" s="708">
        <f t="shared" si="36"/>
        <v>0</v>
      </c>
      <c r="G775" s="708">
        <v>299</v>
      </c>
      <c r="H775" s="708">
        <f t="shared" si="37"/>
        <v>0</v>
      </c>
      <c r="I775" s="708">
        <f t="shared" si="38"/>
        <v>0</v>
      </c>
      <c r="J775" s="708">
        <f t="shared" si="39"/>
        <v>0</v>
      </c>
      <c r="K775" s="708">
        <f t="shared" si="40"/>
        <v>0</v>
      </c>
    </row>
    <row r="776" spans="1:12">
      <c r="A776" s="708">
        <v>300</v>
      </c>
      <c r="B776" s="708">
        <f t="shared" si="33"/>
        <v>0</v>
      </c>
      <c r="C776" s="708">
        <f t="shared" si="34"/>
        <v>0</v>
      </c>
      <c r="D776" s="708">
        <f t="shared" si="35"/>
        <v>0</v>
      </c>
      <c r="E776" s="708">
        <f t="shared" si="36"/>
        <v>0</v>
      </c>
      <c r="F776" s="708">
        <v>25</v>
      </c>
      <c r="G776" s="708">
        <v>300</v>
      </c>
      <c r="H776" s="708">
        <f t="shared" si="37"/>
        <v>0</v>
      </c>
      <c r="I776" s="708">
        <f t="shared" si="38"/>
        <v>0</v>
      </c>
      <c r="J776" s="708">
        <f t="shared" si="39"/>
        <v>0</v>
      </c>
      <c r="K776" s="708">
        <f t="shared" si="40"/>
        <v>0</v>
      </c>
      <c r="L776" s="708">
        <v>25</v>
      </c>
    </row>
    <row r="777" spans="1:12">
      <c r="A777" s="708">
        <v>301</v>
      </c>
      <c r="B777" s="708">
        <f t="shared" si="33"/>
        <v>0</v>
      </c>
      <c r="C777" s="708">
        <f t="shared" si="34"/>
        <v>0</v>
      </c>
      <c r="D777" s="708">
        <f t="shared" si="35"/>
        <v>0</v>
      </c>
      <c r="E777" s="708">
        <f t="shared" si="36"/>
        <v>0</v>
      </c>
      <c r="G777" s="708">
        <v>301</v>
      </c>
      <c r="H777" s="708">
        <f t="shared" si="37"/>
        <v>0</v>
      </c>
      <c r="I777" s="708">
        <f t="shared" si="38"/>
        <v>0</v>
      </c>
      <c r="J777" s="708">
        <f t="shared" si="39"/>
        <v>0</v>
      </c>
      <c r="K777" s="708">
        <f t="shared" si="40"/>
        <v>0</v>
      </c>
    </row>
    <row r="778" spans="1:12">
      <c r="A778" s="708">
        <v>302</v>
      </c>
      <c r="B778" s="708">
        <f t="shared" si="33"/>
        <v>0</v>
      </c>
      <c r="C778" s="708">
        <f t="shared" si="34"/>
        <v>0</v>
      </c>
      <c r="D778" s="708">
        <f t="shared" si="35"/>
        <v>0</v>
      </c>
      <c r="E778" s="708">
        <f t="shared" si="36"/>
        <v>0</v>
      </c>
      <c r="G778" s="708">
        <v>302</v>
      </c>
      <c r="H778" s="708">
        <f t="shared" si="37"/>
        <v>0</v>
      </c>
      <c r="I778" s="708">
        <f t="shared" si="38"/>
        <v>0</v>
      </c>
      <c r="J778" s="708">
        <f t="shared" si="39"/>
        <v>0</v>
      </c>
      <c r="K778" s="708">
        <f t="shared" si="40"/>
        <v>0</v>
      </c>
    </row>
    <row r="779" spans="1:12">
      <c r="A779" s="708">
        <v>303</v>
      </c>
      <c r="B779" s="708">
        <f t="shared" si="33"/>
        <v>0</v>
      </c>
      <c r="C779" s="708">
        <f t="shared" si="34"/>
        <v>0</v>
      </c>
      <c r="D779" s="708">
        <f t="shared" si="35"/>
        <v>0</v>
      </c>
      <c r="E779" s="708">
        <f t="shared" si="36"/>
        <v>0</v>
      </c>
      <c r="G779" s="708">
        <v>303</v>
      </c>
      <c r="H779" s="708">
        <f t="shared" si="37"/>
        <v>0</v>
      </c>
      <c r="I779" s="708">
        <f t="shared" si="38"/>
        <v>0</v>
      </c>
      <c r="J779" s="708">
        <f t="shared" si="39"/>
        <v>0</v>
      </c>
      <c r="K779" s="708">
        <f t="shared" si="40"/>
        <v>0</v>
      </c>
    </row>
    <row r="780" spans="1:12">
      <c r="A780" s="708">
        <v>304</v>
      </c>
      <c r="B780" s="708">
        <f t="shared" si="33"/>
        <v>0</v>
      </c>
      <c r="C780" s="708">
        <f t="shared" si="34"/>
        <v>0</v>
      </c>
      <c r="D780" s="708">
        <f t="shared" si="35"/>
        <v>0</v>
      </c>
      <c r="E780" s="708">
        <f t="shared" si="36"/>
        <v>0</v>
      </c>
      <c r="G780" s="708">
        <v>304</v>
      </c>
      <c r="H780" s="708">
        <f t="shared" si="37"/>
        <v>0</v>
      </c>
      <c r="I780" s="708">
        <f t="shared" si="38"/>
        <v>0</v>
      </c>
      <c r="J780" s="708">
        <f t="shared" si="39"/>
        <v>0</v>
      </c>
      <c r="K780" s="708">
        <f t="shared" si="40"/>
        <v>0</v>
      </c>
    </row>
    <row r="781" spans="1:12">
      <c r="A781" s="708">
        <v>305</v>
      </c>
      <c r="B781" s="708">
        <f t="shared" si="33"/>
        <v>0</v>
      </c>
      <c r="C781" s="708">
        <f t="shared" si="34"/>
        <v>0</v>
      </c>
      <c r="D781" s="708">
        <f t="shared" si="35"/>
        <v>0</v>
      </c>
      <c r="E781" s="708">
        <f t="shared" si="36"/>
        <v>0</v>
      </c>
      <c r="G781" s="708">
        <v>305</v>
      </c>
      <c r="H781" s="708">
        <f t="shared" si="37"/>
        <v>0</v>
      </c>
      <c r="I781" s="708">
        <f t="shared" si="38"/>
        <v>0</v>
      </c>
      <c r="J781" s="708">
        <f t="shared" si="39"/>
        <v>0</v>
      </c>
      <c r="K781" s="708">
        <f t="shared" si="40"/>
        <v>0</v>
      </c>
    </row>
    <row r="782" spans="1:12">
      <c r="A782" s="708">
        <v>306</v>
      </c>
      <c r="B782" s="708">
        <f t="shared" si="33"/>
        <v>0</v>
      </c>
      <c r="C782" s="708">
        <f t="shared" si="34"/>
        <v>0</v>
      </c>
      <c r="D782" s="708">
        <f t="shared" si="35"/>
        <v>0</v>
      </c>
      <c r="E782" s="708">
        <f t="shared" si="36"/>
        <v>0</v>
      </c>
      <c r="G782" s="708">
        <v>306</v>
      </c>
      <c r="H782" s="708">
        <f t="shared" si="37"/>
        <v>0</v>
      </c>
      <c r="I782" s="708">
        <f t="shared" si="38"/>
        <v>0</v>
      </c>
      <c r="J782" s="708">
        <f t="shared" si="39"/>
        <v>0</v>
      </c>
      <c r="K782" s="708">
        <f t="shared" si="40"/>
        <v>0</v>
      </c>
    </row>
    <row r="783" spans="1:12">
      <c r="A783" s="708">
        <v>307</v>
      </c>
      <c r="B783" s="708">
        <f t="shared" si="33"/>
        <v>0</v>
      </c>
      <c r="C783" s="708">
        <f t="shared" si="34"/>
        <v>0</v>
      </c>
      <c r="D783" s="708">
        <f t="shared" si="35"/>
        <v>0</v>
      </c>
      <c r="E783" s="708">
        <f t="shared" si="36"/>
        <v>0</v>
      </c>
      <c r="G783" s="708">
        <v>307</v>
      </c>
      <c r="H783" s="708">
        <f t="shared" si="37"/>
        <v>0</v>
      </c>
      <c r="I783" s="708">
        <f t="shared" si="38"/>
        <v>0</v>
      </c>
      <c r="J783" s="708">
        <f t="shared" si="39"/>
        <v>0</v>
      </c>
      <c r="K783" s="708">
        <f t="shared" si="40"/>
        <v>0</v>
      </c>
    </row>
    <row r="784" spans="1:12">
      <c r="A784" s="708">
        <v>308</v>
      </c>
      <c r="B784" s="708">
        <f t="shared" si="33"/>
        <v>0</v>
      </c>
      <c r="C784" s="708">
        <f t="shared" si="34"/>
        <v>0</v>
      </c>
      <c r="D784" s="708">
        <f t="shared" si="35"/>
        <v>0</v>
      </c>
      <c r="E784" s="708">
        <f t="shared" si="36"/>
        <v>0</v>
      </c>
      <c r="G784" s="708">
        <v>308</v>
      </c>
      <c r="H784" s="708">
        <f t="shared" si="37"/>
        <v>0</v>
      </c>
      <c r="I784" s="708">
        <f t="shared" si="38"/>
        <v>0</v>
      </c>
      <c r="J784" s="708">
        <f t="shared" si="39"/>
        <v>0</v>
      </c>
      <c r="K784" s="708">
        <f t="shared" si="40"/>
        <v>0</v>
      </c>
    </row>
    <row r="785" spans="1:12">
      <c r="A785" s="708">
        <v>309</v>
      </c>
      <c r="B785" s="708">
        <f t="shared" si="33"/>
        <v>0</v>
      </c>
      <c r="C785" s="708">
        <f t="shared" si="34"/>
        <v>0</v>
      </c>
      <c r="D785" s="708">
        <f t="shared" si="35"/>
        <v>0</v>
      </c>
      <c r="E785" s="708">
        <f t="shared" si="36"/>
        <v>0</v>
      </c>
      <c r="G785" s="708">
        <v>309</v>
      </c>
      <c r="H785" s="708">
        <f t="shared" si="37"/>
        <v>0</v>
      </c>
      <c r="I785" s="708">
        <f t="shared" si="38"/>
        <v>0</v>
      </c>
      <c r="J785" s="708">
        <f t="shared" si="39"/>
        <v>0</v>
      </c>
      <c r="K785" s="708">
        <f t="shared" si="40"/>
        <v>0</v>
      </c>
    </row>
    <row r="786" spans="1:12">
      <c r="A786" s="708">
        <v>310</v>
      </c>
      <c r="B786" s="708">
        <f t="shared" si="33"/>
        <v>0</v>
      </c>
      <c r="C786" s="708">
        <f t="shared" si="34"/>
        <v>0</v>
      </c>
      <c r="D786" s="708">
        <f t="shared" si="35"/>
        <v>0</v>
      </c>
      <c r="E786" s="708">
        <f t="shared" si="36"/>
        <v>0</v>
      </c>
      <c r="G786" s="708">
        <v>310</v>
      </c>
      <c r="H786" s="708">
        <f t="shared" si="37"/>
        <v>0</v>
      </c>
      <c r="I786" s="708">
        <f t="shared" si="38"/>
        <v>0</v>
      </c>
      <c r="J786" s="708">
        <f t="shared" si="39"/>
        <v>0</v>
      </c>
      <c r="K786" s="708">
        <f t="shared" si="40"/>
        <v>0</v>
      </c>
    </row>
    <row r="787" spans="1:12">
      <c r="A787" s="708">
        <v>311</v>
      </c>
      <c r="B787" s="708">
        <f t="shared" si="33"/>
        <v>0</v>
      </c>
      <c r="C787" s="708">
        <f t="shared" si="34"/>
        <v>0</v>
      </c>
      <c r="D787" s="708">
        <f t="shared" si="35"/>
        <v>0</v>
      </c>
      <c r="E787" s="708">
        <f t="shared" si="36"/>
        <v>0</v>
      </c>
      <c r="G787" s="708">
        <v>311</v>
      </c>
      <c r="H787" s="708">
        <f t="shared" si="37"/>
        <v>0</v>
      </c>
      <c r="I787" s="708">
        <f t="shared" si="38"/>
        <v>0</v>
      </c>
      <c r="J787" s="708">
        <f t="shared" si="39"/>
        <v>0</v>
      </c>
      <c r="K787" s="708">
        <f t="shared" si="40"/>
        <v>0</v>
      </c>
    </row>
    <row r="788" spans="1:12">
      <c r="A788" s="708">
        <v>312</v>
      </c>
      <c r="B788" s="708">
        <f t="shared" si="33"/>
        <v>0</v>
      </c>
      <c r="C788" s="708">
        <f t="shared" si="34"/>
        <v>0</v>
      </c>
      <c r="D788" s="708">
        <f t="shared" si="35"/>
        <v>0</v>
      </c>
      <c r="E788" s="708">
        <f t="shared" si="36"/>
        <v>0</v>
      </c>
      <c r="F788" s="708">
        <v>26</v>
      </c>
      <c r="G788" s="708">
        <v>312</v>
      </c>
      <c r="H788" s="708">
        <f t="shared" si="37"/>
        <v>0</v>
      </c>
      <c r="I788" s="708">
        <f t="shared" si="38"/>
        <v>0</v>
      </c>
      <c r="J788" s="708">
        <f t="shared" si="39"/>
        <v>0</v>
      </c>
      <c r="K788" s="708">
        <f t="shared" si="40"/>
        <v>0</v>
      </c>
      <c r="L788" s="708">
        <v>26</v>
      </c>
    </row>
    <row r="789" spans="1:12">
      <c r="A789" s="708">
        <v>313</v>
      </c>
      <c r="B789" s="708">
        <f t="shared" si="33"/>
        <v>0</v>
      </c>
      <c r="C789" s="708">
        <f t="shared" si="34"/>
        <v>0</v>
      </c>
      <c r="D789" s="708">
        <f t="shared" si="35"/>
        <v>0</v>
      </c>
      <c r="E789" s="708">
        <f t="shared" si="36"/>
        <v>0</v>
      </c>
      <c r="G789" s="708">
        <v>313</v>
      </c>
      <c r="H789" s="708">
        <f t="shared" si="37"/>
        <v>0</v>
      </c>
      <c r="I789" s="708">
        <f t="shared" si="38"/>
        <v>0</v>
      </c>
      <c r="J789" s="708">
        <f t="shared" si="39"/>
        <v>0</v>
      </c>
      <c r="K789" s="708">
        <f t="shared" si="40"/>
        <v>0</v>
      </c>
    </row>
    <row r="790" spans="1:12">
      <c r="A790" s="708">
        <v>314</v>
      </c>
      <c r="B790" s="708">
        <f t="shared" si="33"/>
        <v>0</v>
      </c>
      <c r="C790" s="708">
        <f t="shared" si="34"/>
        <v>0</v>
      </c>
      <c r="D790" s="708">
        <f t="shared" si="35"/>
        <v>0</v>
      </c>
      <c r="E790" s="708">
        <f t="shared" si="36"/>
        <v>0</v>
      </c>
      <c r="G790" s="708">
        <v>314</v>
      </c>
      <c r="H790" s="708">
        <f t="shared" si="37"/>
        <v>0</v>
      </c>
      <c r="I790" s="708">
        <f t="shared" si="38"/>
        <v>0</v>
      </c>
      <c r="J790" s="708">
        <f t="shared" si="39"/>
        <v>0</v>
      </c>
      <c r="K790" s="708">
        <f t="shared" si="40"/>
        <v>0</v>
      </c>
    </row>
    <row r="791" spans="1:12">
      <c r="A791" s="708">
        <v>315</v>
      </c>
      <c r="B791" s="708">
        <f t="shared" si="33"/>
        <v>0</v>
      </c>
      <c r="C791" s="708">
        <f t="shared" si="34"/>
        <v>0</v>
      </c>
      <c r="D791" s="708">
        <f t="shared" si="35"/>
        <v>0</v>
      </c>
      <c r="E791" s="708">
        <f t="shared" si="36"/>
        <v>0</v>
      </c>
      <c r="G791" s="708">
        <v>315</v>
      </c>
      <c r="H791" s="708">
        <f t="shared" si="37"/>
        <v>0</v>
      </c>
      <c r="I791" s="708">
        <f t="shared" si="38"/>
        <v>0</v>
      </c>
      <c r="J791" s="708">
        <f t="shared" si="39"/>
        <v>0</v>
      </c>
      <c r="K791" s="708">
        <f t="shared" si="40"/>
        <v>0</v>
      </c>
    </row>
    <row r="792" spans="1:12">
      <c r="A792" s="708">
        <v>316</v>
      </c>
      <c r="B792" s="708">
        <f t="shared" si="33"/>
        <v>0</v>
      </c>
      <c r="C792" s="708">
        <f t="shared" si="34"/>
        <v>0</v>
      </c>
      <c r="D792" s="708">
        <f t="shared" si="35"/>
        <v>0</v>
      </c>
      <c r="E792" s="708">
        <f t="shared" si="36"/>
        <v>0</v>
      </c>
      <c r="G792" s="708">
        <v>316</v>
      </c>
      <c r="H792" s="708">
        <f t="shared" si="37"/>
        <v>0</v>
      </c>
      <c r="I792" s="708">
        <f t="shared" si="38"/>
        <v>0</v>
      </c>
      <c r="J792" s="708">
        <f t="shared" si="39"/>
        <v>0</v>
      </c>
      <c r="K792" s="708">
        <f t="shared" si="40"/>
        <v>0</v>
      </c>
    </row>
    <row r="793" spans="1:12">
      <c r="A793" s="708">
        <v>317</v>
      </c>
      <c r="B793" s="708">
        <f t="shared" si="33"/>
        <v>0</v>
      </c>
      <c r="C793" s="708">
        <f t="shared" si="34"/>
        <v>0</v>
      </c>
      <c r="D793" s="708">
        <f t="shared" si="35"/>
        <v>0</v>
      </c>
      <c r="E793" s="708">
        <f t="shared" si="36"/>
        <v>0</v>
      </c>
      <c r="G793" s="708">
        <v>317</v>
      </c>
      <c r="H793" s="708">
        <f t="shared" si="37"/>
        <v>0</v>
      </c>
      <c r="I793" s="708">
        <f t="shared" si="38"/>
        <v>0</v>
      </c>
      <c r="J793" s="708">
        <f t="shared" si="39"/>
        <v>0</v>
      </c>
      <c r="K793" s="708">
        <f t="shared" si="40"/>
        <v>0</v>
      </c>
    </row>
    <row r="794" spans="1:12">
      <c r="A794" s="708">
        <v>318</v>
      </c>
      <c r="B794" s="708">
        <f t="shared" si="33"/>
        <v>0</v>
      </c>
      <c r="C794" s="708">
        <f t="shared" si="34"/>
        <v>0</v>
      </c>
      <c r="D794" s="708">
        <f t="shared" si="35"/>
        <v>0</v>
      </c>
      <c r="E794" s="708">
        <f t="shared" si="36"/>
        <v>0</v>
      </c>
      <c r="G794" s="708">
        <v>318</v>
      </c>
      <c r="H794" s="708">
        <f t="shared" si="37"/>
        <v>0</v>
      </c>
      <c r="I794" s="708">
        <f t="shared" si="38"/>
        <v>0</v>
      </c>
      <c r="J794" s="708">
        <f t="shared" si="39"/>
        <v>0</v>
      </c>
      <c r="K794" s="708">
        <f t="shared" si="40"/>
        <v>0</v>
      </c>
    </row>
    <row r="795" spans="1:12">
      <c r="A795" s="708">
        <v>319</v>
      </c>
      <c r="B795" s="708">
        <f t="shared" si="33"/>
        <v>0</v>
      </c>
      <c r="C795" s="708">
        <f t="shared" si="34"/>
        <v>0</v>
      </c>
      <c r="D795" s="708">
        <f t="shared" si="35"/>
        <v>0</v>
      </c>
      <c r="E795" s="708">
        <f t="shared" si="36"/>
        <v>0</v>
      </c>
      <c r="G795" s="708">
        <v>319</v>
      </c>
      <c r="H795" s="708">
        <f t="shared" si="37"/>
        <v>0</v>
      </c>
      <c r="I795" s="708">
        <f t="shared" si="38"/>
        <v>0</v>
      </c>
      <c r="J795" s="708">
        <f t="shared" si="39"/>
        <v>0</v>
      </c>
      <c r="K795" s="708">
        <f t="shared" si="40"/>
        <v>0</v>
      </c>
    </row>
    <row r="796" spans="1:12">
      <c r="A796" s="708">
        <v>320</v>
      </c>
      <c r="B796" s="708">
        <f t="shared" si="33"/>
        <v>0</v>
      </c>
      <c r="C796" s="708">
        <f t="shared" si="34"/>
        <v>0</v>
      </c>
      <c r="D796" s="708">
        <f t="shared" si="35"/>
        <v>0</v>
      </c>
      <c r="E796" s="708">
        <f t="shared" si="36"/>
        <v>0</v>
      </c>
      <c r="G796" s="708">
        <v>320</v>
      </c>
      <c r="H796" s="708">
        <f t="shared" si="37"/>
        <v>0</v>
      </c>
      <c r="I796" s="708">
        <f t="shared" si="38"/>
        <v>0</v>
      </c>
      <c r="J796" s="708">
        <f t="shared" si="39"/>
        <v>0</v>
      </c>
      <c r="K796" s="708">
        <f t="shared" si="40"/>
        <v>0</v>
      </c>
    </row>
    <row r="797" spans="1:12">
      <c r="A797" s="708">
        <v>321</v>
      </c>
      <c r="B797" s="708">
        <f t="shared" ref="B797:B860" si="41">IF(A797&gt;12*$C$9,0,IF($C$5&gt;1500000,$D$12,$C$12))</f>
        <v>0</v>
      </c>
      <c r="C797" s="708">
        <f t="shared" ref="C797:C860" si="42">IF(A797&gt;12*$C$9,0,E796*$C$7/12)</f>
        <v>0</v>
      </c>
      <c r="D797" s="708">
        <f t="shared" ref="D797:D860" si="43">IF(A797&gt;12*$C$9,0,B797-C797)</f>
        <v>0</v>
      </c>
      <c r="E797" s="708">
        <f t="shared" ref="E797:E860" si="44">IF(A797&gt;12*$C$9,0,E796-D797)</f>
        <v>0</v>
      </c>
      <c r="G797" s="708">
        <v>321</v>
      </c>
      <c r="H797" s="708">
        <f t="shared" ref="H797:H860" si="45">IF(G797&gt;12*$C$9,0,IF($C$5&gt;1500000,$E$12,0))</f>
        <v>0</v>
      </c>
      <c r="I797" s="708">
        <f t="shared" ref="I797:I860" si="46">IF(G797&gt;12*$C$9,0,K796*$C$7/12)</f>
        <v>0</v>
      </c>
      <c r="J797" s="708">
        <f t="shared" ref="J797:J860" si="47">IF(G797&gt;12*$C$9,0,H797-I797)</f>
        <v>0</v>
      </c>
      <c r="K797" s="708">
        <f t="shared" ref="K797:K860" si="48">IF(G797&gt;12*$C$9,0,K796-J797)</f>
        <v>0</v>
      </c>
    </row>
    <row r="798" spans="1:12">
      <c r="A798" s="708">
        <v>322</v>
      </c>
      <c r="B798" s="708">
        <f t="shared" si="41"/>
        <v>0</v>
      </c>
      <c r="C798" s="708">
        <f t="shared" si="42"/>
        <v>0</v>
      </c>
      <c r="D798" s="708">
        <f t="shared" si="43"/>
        <v>0</v>
      </c>
      <c r="E798" s="708">
        <f t="shared" si="44"/>
        <v>0</v>
      </c>
      <c r="G798" s="708">
        <v>322</v>
      </c>
      <c r="H798" s="708">
        <f t="shared" si="45"/>
        <v>0</v>
      </c>
      <c r="I798" s="708">
        <f t="shared" si="46"/>
        <v>0</v>
      </c>
      <c r="J798" s="708">
        <f t="shared" si="47"/>
        <v>0</v>
      </c>
      <c r="K798" s="708">
        <f t="shared" si="48"/>
        <v>0</v>
      </c>
    </row>
    <row r="799" spans="1:12">
      <c r="A799" s="708">
        <v>323</v>
      </c>
      <c r="B799" s="708">
        <f t="shared" si="41"/>
        <v>0</v>
      </c>
      <c r="C799" s="708">
        <f t="shared" si="42"/>
        <v>0</v>
      </c>
      <c r="D799" s="708">
        <f t="shared" si="43"/>
        <v>0</v>
      </c>
      <c r="E799" s="708">
        <f t="shared" si="44"/>
        <v>0</v>
      </c>
      <c r="G799" s="708">
        <v>323</v>
      </c>
      <c r="H799" s="708">
        <f t="shared" si="45"/>
        <v>0</v>
      </c>
      <c r="I799" s="708">
        <f t="shared" si="46"/>
        <v>0</v>
      </c>
      <c r="J799" s="708">
        <f t="shared" si="47"/>
        <v>0</v>
      </c>
      <c r="K799" s="708">
        <f t="shared" si="48"/>
        <v>0</v>
      </c>
    </row>
    <row r="800" spans="1:12">
      <c r="A800" s="708">
        <v>324</v>
      </c>
      <c r="B800" s="708">
        <f t="shared" si="41"/>
        <v>0</v>
      </c>
      <c r="C800" s="708">
        <f t="shared" si="42"/>
        <v>0</v>
      </c>
      <c r="D800" s="708">
        <f t="shared" si="43"/>
        <v>0</v>
      </c>
      <c r="E800" s="708">
        <f t="shared" si="44"/>
        <v>0</v>
      </c>
      <c r="F800" s="708">
        <v>27</v>
      </c>
      <c r="G800" s="708">
        <v>324</v>
      </c>
      <c r="H800" s="708">
        <f t="shared" si="45"/>
        <v>0</v>
      </c>
      <c r="I800" s="708">
        <f t="shared" si="46"/>
        <v>0</v>
      </c>
      <c r="J800" s="708">
        <f t="shared" si="47"/>
        <v>0</v>
      </c>
      <c r="K800" s="708">
        <f t="shared" si="48"/>
        <v>0</v>
      </c>
      <c r="L800" s="708">
        <v>27</v>
      </c>
    </row>
    <row r="801" spans="1:12">
      <c r="A801" s="708">
        <v>325</v>
      </c>
      <c r="B801" s="708">
        <f t="shared" si="41"/>
        <v>0</v>
      </c>
      <c r="C801" s="708">
        <f t="shared" si="42"/>
        <v>0</v>
      </c>
      <c r="D801" s="708">
        <f t="shared" si="43"/>
        <v>0</v>
      </c>
      <c r="E801" s="708">
        <f t="shared" si="44"/>
        <v>0</v>
      </c>
      <c r="G801" s="708">
        <v>325</v>
      </c>
      <c r="H801" s="708">
        <f t="shared" si="45"/>
        <v>0</v>
      </c>
      <c r="I801" s="708">
        <f t="shared" si="46"/>
        <v>0</v>
      </c>
      <c r="J801" s="708">
        <f t="shared" si="47"/>
        <v>0</v>
      </c>
      <c r="K801" s="708">
        <f t="shared" si="48"/>
        <v>0</v>
      </c>
    </row>
    <row r="802" spans="1:12">
      <c r="A802" s="708">
        <v>326</v>
      </c>
      <c r="B802" s="708">
        <f t="shared" si="41"/>
        <v>0</v>
      </c>
      <c r="C802" s="708">
        <f t="shared" si="42"/>
        <v>0</v>
      </c>
      <c r="D802" s="708">
        <f t="shared" si="43"/>
        <v>0</v>
      </c>
      <c r="E802" s="708">
        <f t="shared" si="44"/>
        <v>0</v>
      </c>
      <c r="G802" s="708">
        <v>326</v>
      </c>
      <c r="H802" s="708">
        <f t="shared" si="45"/>
        <v>0</v>
      </c>
      <c r="I802" s="708">
        <f t="shared" si="46"/>
        <v>0</v>
      </c>
      <c r="J802" s="708">
        <f t="shared" si="47"/>
        <v>0</v>
      </c>
      <c r="K802" s="708">
        <f t="shared" si="48"/>
        <v>0</v>
      </c>
    </row>
    <row r="803" spans="1:12">
      <c r="A803" s="708">
        <v>327</v>
      </c>
      <c r="B803" s="708">
        <f t="shared" si="41"/>
        <v>0</v>
      </c>
      <c r="C803" s="708">
        <f t="shared" si="42"/>
        <v>0</v>
      </c>
      <c r="D803" s="708">
        <f t="shared" si="43"/>
        <v>0</v>
      </c>
      <c r="E803" s="708">
        <f t="shared" si="44"/>
        <v>0</v>
      </c>
      <c r="G803" s="708">
        <v>327</v>
      </c>
      <c r="H803" s="708">
        <f t="shared" si="45"/>
        <v>0</v>
      </c>
      <c r="I803" s="708">
        <f t="shared" si="46"/>
        <v>0</v>
      </c>
      <c r="J803" s="708">
        <f t="shared" si="47"/>
        <v>0</v>
      </c>
      <c r="K803" s="708">
        <f t="shared" si="48"/>
        <v>0</v>
      </c>
    </row>
    <row r="804" spans="1:12">
      <c r="A804" s="708">
        <v>328</v>
      </c>
      <c r="B804" s="708">
        <f t="shared" si="41"/>
        <v>0</v>
      </c>
      <c r="C804" s="708">
        <f t="shared" si="42"/>
        <v>0</v>
      </c>
      <c r="D804" s="708">
        <f t="shared" si="43"/>
        <v>0</v>
      </c>
      <c r="E804" s="708">
        <f t="shared" si="44"/>
        <v>0</v>
      </c>
      <c r="G804" s="708">
        <v>328</v>
      </c>
      <c r="H804" s="708">
        <f t="shared" si="45"/>
        <v>0</v>
      </c>
      <c r="I804" s="708">
        <f t="shared" si="46"/>
        <v>0</v>
      </c>
      <c r="J804" s="708">
        <f t="shared" si="47"/>
        <v>0</v>
      </c>
      <c r="K804" s="708">
        <f t="shared" si="48"/>
        <v>0</v>
      </c>
    </row>
    <row r="805" spans="1:12">
      <c r="A805" s="708">
        <v>329</v>
      </c>
      <c r="B805" s="708">
        <f t="shared" si="41"/>
        <v>0</v>
      </c>
      <c r="C805" s="708">
        <f t="shared" si="42"/>
        <v>0</v>
      </c>
      <c r="D805" s="708">
        <f t="shared" si="43"/>
        <v>0</v>
      </c>
      <c r="E805" s="708">
        <f t="shared" si="44"/>
        <v>0</v>
      </c>
      <c r="G805" s="708">
        <v>329</v>
      </c>
      <c r="H805" s="708">
        <f t="shared" si="45"/>
        <v>0</v>
      </c>
      <c r="I805" s="708">
        <f t="shared" si="46"/>
        <v>0</v>
      </c>
      <c r="J805" s="708">
        <f t="shared" si="47"/>
        <v>0</v>
      </c>
      <c r="K805" s="708">
        <f t="shared" si="48"/>
        <v>0</v>
      </c>
    </row>
    <row r="806" spans="1:12">
      <c r="A806" s="708">
        <v>330</v>
      </c>
      <c r="B806" s="708">
        <f t="shared" si="41"/>
        <v>0</v>
      </c>
      <c r="C806" s="708">
        <f t="shared" si="42"/>
        <v>0</v>
      </c>
      <c r="D806" s="708">
        <f t="shared" si="43"/>
        <v>0</v>
      </c>
      <c r="E806" s="708">
        <f t="shared" si="44"/>
        <v>0</v>
      </c>
      <c r="G806" s="708">
        <v>330</v>
      </c>
      <c r="H806" s="708">
        <f t="shared" si="45"/>
        <v>0</v>
      </c>
      <c r="I806" s="708">
        <f t="shared" si="46"/>
        <v>0</v>
      </c>
      <c r="J806" s="708">
        <f t="shared" si="47"/>
        <v>0</v>
      </c>
      <c r="K806" s="708">
        <f t="shared" si="48"/>
        <v>0</v>
      </c>
    </row>
    <row r="807" spans="1:12">
      <c r="A807" s="708">
        <v>331</v>
      </c>
      <c r="B807" s="708">
        <f t="shared" si="41"/>
        <v>0</v>
      </c>
      <c r="C807" s="708">
        <f t="shared" si="42"/>
        <v>0</v>
      </c>
      <c r="D807" s="708">
        <f t="shared" si="43"/>
        <v>0</v>
      </c>
      <c r="E807" s="708">
        <f t="shared" si="44"/>
        <v>0</v>
      </c>
      <c r="G807" s="708">
        <v>331</v>
      </c>
      <c r="H807" s="708">
        <f t="shared" si="45"/>
        <v>0</v>
      </c>
      <c r="I807" s="708">
        <f t="shared" si="46"/>
        <v>0</v>
      </c>
      <c r="J807" s="708">
        <f t="shared" si="47"/>
        <v>0</v>
      </c>
      <c r="K807" s="708">
        <f t="shared" si="48"/>
        <v>0</v>
      </c>
    </row>
    <row r="808" spans="1:12">
      <c r="A808" s="708">
        <v>332</v>
      </c>
      <c r="B808" s="708">
        <f t="shared" si="41"/>
        <v>0</v>
      </c>
      <c r="C808" s="708">
        <f t="shared" si="42"/>
        <v>0</v>
      </c>
      <c r="D808" s="708">
        <f t="shared" si="43"/>
        <v>0</v>
      </c>
      <c r="E808" s="708">
        <f t="shared" si="44"/>
        <v>0</v>
      </c>
      <c r="G808" s="708">
        <v>332</v>
      </c>
      <c r="H808" s="708">
        <f t="shared" si="45"/>
        <v>0</v>
      </c>
      <c r="I808" s="708">
        <f t="shared" si="46"/>
        <v>0</v>
      </c>
      <c r="J808" s="708">
        <f t="shared" si="47"/>
        <v>0</v>
      </c>
      <c r="K808" s="708">
        <f t="shared" si="48"/>
        <v>0</v>
      </c>
    </row>
    <row r="809" spans="1:12">
      <c r="A809" s="708">
        <v>333</v>
      </c>
      <c r="B809" s="708">
        <f t="shared" si="41"/>
        <v>0</v>
      </c>
      <c r="C809" s="708">
        <f t="shared" si="42"/>
        <v>0</v>
      </c>
      <c r="D809" s="708">
        <f t="shared" si="43"/>
        <v>0</v>
      </c>
      <c r="E809" s="708">
        <f t="shared" si="44"/>
        <v>0</v>
      </c>
      <c r="G809" s="708">
        <v>333</v>
      </c>
      <c r="H809" s="708">
        <f t="shared" si="45"/>
        <v>0</v>
      </c>
      <c r="I809" s="708">
        <f t="shared" si="46"/>
        <v>0</v>
      </c>
      <c r="J809" s="708">
        <f t="shared" si="47"/>
        <v>0</v>
      </c>
      <c r="K809" s="708">
        <f t="shared" si="48"/>
        <v>0</v>
      </c>
    </row>
    <row r="810" spans="1:12">
      <c r="A810" s="708">
        <v>334</v>
      </c>
      <c r="B810" s="708">
        <f t="shared" si="41"/>
        <v>0</v>
      </c>
      <c r="C810" s="708">
        <f t="shared" si="42"/>
        <v>0</v>
      </c>
      <c r="D810" s="708">
        <f t="shared" si="43"/>
        <v>0</v>
      </c>
      <c r="E810" s="708">
        <f t="shared" si="44"/>
        <v>0</v>
      </c>
      <c r="G810" s="708">
        <v>334</v>
      </c>
      <c r="H810" s="708">
        <f t="shared" si="45"/>
        <v>0</v>
      </c>
      <c r="I810" s="708">
        <f t="shared" si="46"/>
        <v>0</v>
      </c>
      <c r="J810" s="708">
        <f t="shared" si="47"/>
        <v>0</v>
      </c>
      <c r="K810" s="708">
        <f t="shared" si="48"/>
        <v>0</v>
      </c>
    </row>
    <row r="811" spans="1:12">
      <c r="A811" s="708">
        <v>335</v>
      </c>
      <c r="B811" s="708">
        <f t="shared" si="41"/>
        <v>0</v>
      </c>
      <c r="C811" s="708">
        <f t="shared" si="42"/>
        <v>0</v>
      </c>
      <c r="D811" s="708">
        <f t="shared" si="43"/>
        <v>0</v>
      </c>
      <c r="E811" s="708">
        <f t="shared" si="44"/>
        <v>0</v>
      </c>
      <c r="G811" s="708">
        <v>335</v>
      </c>
      <c r="H811" s="708">
        <f t="shared" si="45"/>
        <v>0</v>
      </c>
      <c r="I811" s="708">
        <f t="shared" si="46"/>
        <v>0</v>
      </c>
      <c r="J811" s="708">
        <f t="shared" si="47"/>
        <v>0</v>
      </c>
      <c r="K811" s="708">
        <f t="shared" si="48"/>
        <v>0</v>
      </c>
    </row>
    <row r="812" spans="1:12">
      <c r="A812" s="708">
        <v>336</v>
      </c>
      <c r="B812" s="708">
        <f t="shared" si="41"/>
        <v>0</v>
      </c>
      <c r="C812" s="708">
        <f t="shared" si="42"/>
        <v>0</v>
      </c>
      <c r="D812" s="708">
        <f t="shared" si="43"/>
        <v>0</v>
      </c>
      <c r="E812" s="708">
        <f t="shared" si="44"/>
        <v>0</v>
      </c>
      <c r="F812" s="708">
        <v>28</v>
      </c>
      <c r="G812" s="708">
        <v>336</v>
      </c>
      <c r="H812" s="708">
        <f t="shared" si="45"/>
        <v>0</v>
      </c>
      <c r="I812" s="708">
        <f t="shared" si="46"/>
        <v>0</v>
      </c>
      <c r="J812" s="708">
        <f t="shared" si="47"/>
        <v>0</v>
      </c>
      <c r="K812" s="708">
        <f t="shared" si="48"/>
        <v>0</v>
      </c>
      <c r="L812" s="708">
        <v>28</v>
      </c>
    </row>
    <row r="813" spans="1:12">
      <c r="A813" s="708">
        <v>337</v>
      </c>
      <c r="B813" s="708">
        <f t="shared" si="41"/>
        <v>0</v>
      </c>
      <c r="C813" s="708">
        <f t="shared" si="42"/>
        <v>0</v>
      </c>
      <c r="D813" s="708">
        <f t="shared" si="43"/>
        <v>0</v>
      </c>
      <c r="E813" s="708">
        <f t="shared" si="44"/>
        <v>0</v>
      </c>
      <c r="G813" s="708">
        <v>337</v>
      </c>
      <c r="H813" s="708">
        <f t="shared" si="45"/>
        <v>0</v>
      </c>
      <c r="I813" s="708">
        <f t="shared" si="46"/>
        <v>0</v>
      </c>
      <c r="J813" s="708">
        <f t="shared" si="47"/>
        <v>0</v>
      </c>
      <c r="K813" s="708">
        <f t="shared" si="48"/>
        <v>0</v>
      </c>
    </row>
    <row r="814" spans="1:12">
      <c r="A814" s="708">
        <v>338</v>
      </c>
      <c r="B814" s="708">
        <f t="shared" si="41"/>
        <v>0</v>
      </c>
      <c r="C814" s="708">
        <f t="shared" si="42"/>
        <v>0</v>
      </c>
      <c r="D814" s="708">
        <f t="shared" si="43"/>
        <v>0</v>
      </c>
      <c r="E814" s="708">
        <f t="shared" si="44"/>
        <v>0</v>
      </c>
      <c r="G814" s="708">
        <v>338</v>
      </c>
      <c r="H814" s="708">
        <f t="shared" si="45"/>
        <v>0</v>
      </c>
      <c r="I814" s="708">
        <f t="shared" si="46"/>
        <v>0</v>
      </c>
      <c r="J814" s="708">
        <f t="shared" si="47"/>
        <v>0</v>
      </c>
      <c r="K814" s="708">
        <f t="shared" si="48"/>
        <v>0</v>
      </c>
    </row>
    <row r="815" spans="1:12">
      <c r="A815" s="708">
        <v>339</v>
      </c>
      <c r="B815" s="708">
        <f t="shared" si="41"/>
        <v>0</v>
      </c>
      <c r="C815" s="708">
        <f t="shared" si="42"/>
        <v>0</v>
      </c>
      <c r="D815" s="708">
        <f t="shared" si="43"/>
        <v>0</v>
      </c>
      <c r="E815" s="708">
        <f t="shared" si="44"/>
        <v>0</v>
      </c>
      <c r="G815" s="708">
        <v>339</v>
      </c>
      <c r="H815" s="708">
        <f t="shared" si="45"/>
        <v>0</v>
      </c>
      <c r="I815" s="708">
        <f t="shared" si="46"/>
        <v>0</v>
      </c>
      <c r="J815" s="708">
        <f t="shared" si="47"/>
        <v>0</v>
      </c>
      <c r="K815" s="708">
        <f t="shared" si="48"/>
        <v>0</v>
      </c>
    </row>
    <row r="816" spans="1:12">
      <c r="A816" s="708">
        <v>340</v>
      </c>
      <c r="B816" s="708">
        <f t="shared" si="41"/>
        <v>0</v>
      </c>
      <c r="C816" s="708">
        <f t="shared" si="42"/>
        <v>0</v>
      </c>
      <c r="D816" s="708">
        <f t="shared" si="43"/>
        <v>0</v>
      </c>
      <c r="E816" s="708">
        <f t="shared" si="44"/>
        <v>0</v>
      </c>
      <c r="G816" s="708">
        <v>340</v>
      </c>
      <c r="H816" s="708">
        <f t="shared" si="45"/>
        <v>0</v>
      </c>
      <c r="I816" s="708">
        <f t="shared" si="46"/>
        <v>0</v>
      </c>
      <c r="J816" s="708">
        <f t="shared" si="47"/>
        <v>0</v>
      </c>
      <c r="K816" s="708">
        <f t="shared" si="48"/>
        <v>0</v>
      </c>
    </row>
    <row r="817" spans="1:12">
      <c r="A817" s="708">
        <v>341</v>
      </c>
      <c r="B817" s="708">
        <f t="shared" si="41"/>
        <v>0</v>
      </c>
      <c r="C817" s="708">
        <f t="shared" si="42"/>
        <v>0</v>
      </c>
      <c r="D817" s="708">
        <f t="shared" si="43"/>
        <v>0</v>
      </c>
      <c r="E817" s="708">
        <f t="shared" si="44"/>
        <v>0</v>
      </c>
      <c r="G817" s="708">
        <v>341</v>
      </c>
      <c r="H817" s="708">
        <f t="shared" si="45"/>
        <v>0</v>
      </c>
      <c r="I817" s="708">
        <f t="shared" si="46"/>
        <v>0</v>
      </c>
      <c r="J817" s="708">
        <f t="shared" si="47"/>
        <v>0</v>
      </c>
      <c r="K817" s="708">
        <f t="shared" si="48"/>
        <v>0</v>
      </c>
    </row>
    <row r="818" spans="1:12">
      <c r="A818" s="708">
        <v>342</v>
      </c>
      <c r="B818" s="708">
        <f t="shared" si="41"/>
        <v>0</v>
      </c>
      <c r="C818" s="708">
        <f t="shared" si="42"/>
        <v>0</v>
      </c>
      <c r="D818" s="708">
        <f t="shared" si="43"/>
        <v>0</v>
      </c>
      <c r="E818" s="708">
        <f t="shared" si="44"/>
        <v>0</v>
      </c>
      <c r="G818" s="708">
        <v>342</v>
      </c>
      <c r="H818" s="708">
        <f t="shared" si="45"/>
        <v>0</v>
      </c>
      <c r="I818" s="708">
        <f t="shared" si="46"/>
        <v>0</v>
      </c>
      <c r="J818" s="708">
        <f t="shared" si="47"/>
        <v>0</v>
      </c>
      <c r="K818" s="708">
        <f t="shared" si="48"/>
        <v>0</v>
      </c>
    </row>
    <row r="819" spans="1:12">
      <c r="A819" s="708">
        <v>343</v>
      </c>
      <c r="B819" s="708">
        <f t="shared" si="41"/>
        <v>0</v>
      </c>
      <c r="C819" s="708">
        <f t="shared" si="42"/>
        <v>0</v>
      </c>
      <c r="D819" s="708">
        <f t="shared" si="43"/>
        <v>0</v>
      </c>
      <c r="E819" s="708">
        <f t="shared" si="44"/>
        <v>0</v>
      </c>
      <c r="G819" s="708">
        <v>343</v>
      </c>
      <c r="H819" s="708">
        <f t="shared" si="45"/>
        <v>0</v>
      </c>
      <c r="I819" s="708">
        <f t="shared" si="46"/>
        <v>0</v>
      </c>
      <c r="J819" s="708">
        <f t="shared" si="47"/>
        <v>0</v>
      </c>
      <c r="K819" s="708">
        <f t="shared" si="48"/>
        <v>0</v>
      </c>
    </row>
    <row r="820" spans="1:12">
      <c r="A820" s="708">
        <v>344</v>
      </c>
      <c r="B820" s="708">
        <f t="shared" si="41"/>
        <v>0</v>
      </c>
      <c r="C820" s="708">
        <f t="shared" si="42"/>
        <v>0</v>
      </c>
      <c r="D820" s="708">
        <f t="shared" si="43"/>
        <v>0</v>
      </c>
      <c r="E820" s="708">
        <f t="shared" si="44"/>
        <v>0</v>
      </c>
      <c r="G820" s="708">
        <v>344</v>
      </c>
      <c r="H820" s="708">
        <f t="shared" si="45"/>
        <v>0</v>
      </c>
      <c r="I820" s="708">
        <f t="shared" si="46"/>
        <v>0</v>
      </c>
      <c r="J820" s="708">
        <f t="shared" si="47"/>
        <v>0</v>
      </c>
      <c r="K820" s="708">
        <f t="shared" si="48"/>
        <v>0</v>
      </c>
    </row>
    <row r="821" spans="1:12">
      <c r="A821" s="708">
        <v>345</v>
      </c>
      <c r="B821" s="708">
        <f t="shared" si="41"/>
        <v>0</v>
      </c>
      <c r="C821" s="708">
        <f t="shared" si="42"/>
        <v>0</v>
      </c>
      <c r="D821" s="708">
        <f t="shared" si="43"/>
        <v>0</v>
      </c>
      <c r="E821" s="708">
        <f t="shared" si="44"/>
        <v>0</v>
      </c>
      <c r="G821" s="708">
        <v>345</v>
      </c>
      <c r="H821" s="708">
        <f t="shared" si="45"/>
        <v>0</v>
      </c>
      <c r="I821" s="708">
        <f t="shared" si="46"/>
        <v>0</v>
      </c>
      <c r="J821" s="708">
        <f t="shared" si="47"/>
        <v>0</v>
      </c>
      <c r="K821" s="708">
        <f t="shared" si="48"/>
        <v>0</v>
      </c>
    </row>
    <row r="822" spans="1:12">
      <c r="A822" s="708">
        <v>346</v>
      </c>
      <c r="B822" s="708">
        <f t="shared" si="41"/>
        <v>0</v>
      </c>
      <c r="C822" s="708">
        <f t="shared" si="42"/>
        <v>0</v>
      </c>
      <c r="D822" s="708">
        <f t="shared" si="43"/>
        <v>0</v>
      </c>
      <c r="E822" s="708">
        <f t="shared" si="44"/>
        <v>0</v>
      </c>
      <c r="G822" s="708">
        <v>346</v>
      </c>
      <c r="H822" s="708">
        <f t="shared" si="45"/>
        <v>0</v>
      </c>
      <c r="I822" s="708">
        <f t="shared" si="46"/>
        <v>0</v>
      </c>
      <c r="J822" s="708">
        <f t="shared" si="47"/>
        <v>0</v>
      </c>
      <c r="K822" s="708">
        <f t="shared" si="48"/>
        <v>0</v>
      </c>
    </row>
    <row r="823" spans="1:12">
      <c r="A823" s="708">
        <v>347</v>
      </c>
      <c r="B823" s="708">
        <f t="shared" si="41"/>
        <v>0</v>
      </c>
      <c r="C823" s="708">
        <f t="shared" si="42"/>
        <v>0</v>
      </c>
      <c r="D823" s="708">
        <f t="shared" si="43"/>
        <v>0</v>
      </c>
      <c r="E823" s="708">
        <f t="shared" si="44"/>
        <v>0</v>
      </c>
      <c r="G823" s="708">
        <v>347</v>
      </c>
      <c r="H823" s="708">
        <f t="shared" si="45"/>
        <v>0</v>
      </c>
      <c r="I823" s="708">
        <f t="shared" si="46"/>
        <v>0</v>
      </c>
      <c r="J823" s="708">
        <f t="shared" si="47"/>
        <v>0</v>
      </c>
      <c r="K823" s="708">
        <f t="shared" si="48"/>
        <v>0</v>
      </c>
    </row>
    <row r="824" spans="1:12">
      <c r="A824" s="708">
        <v>348</v>
      </c>
      <c r="B824" s="708">
        <f t="shared" si="41"/>
        <v>0</v>
      </c>
      <c r="C824" s="708">
        <f t="shared" si="42"/>
        <v>0</v>
      </c>
      <c r="D824" s="708">
        <f t="shared" si="43"/>
        <v>0</v>
      </c>
      <c r="E824" s="708">
        <f t="shared" si="44"/>
        <v>0</v>
      </c>
      <c r="F824" s="708">
        <v>29</v>
      </c>
      <c r="G824" s="708">
        <v>348</v>
      </c>
      <c r="H824" s="708">
        <f t="shared" si="45"/>
        <v>0</v>
      </c>
      <c r="I824" s="708">
        <f t="shared" si="46"/>
        <v>0</v>
      </c>
      <c r="J824" s="708">
        <f t="shared" si="47"/>
        <v>0</v>
      </c>
      <c r="K824" s="708">
        <f t="shared" si="48"/>
        <v>0</v>
      </c>
      <c r="L824" s="708">
        <v>29</v>
      </c>
    </row>
    <row r="825" spans="1:12">
      <c r="A825" s="708">
        <v>349</v>
      </c>
      <c r="B825" s="708">
        <f t="shared" si="41"/>
        <v>0</v>
      </c>
      <c r="C825" s="708">
        <f t="shared" si="42"/>
        <v>0</v>
      </c>
      <c r="D825" s="708">
        <f t="shared" si="43"/>
        <v>0</v>
      </c>
      <c r="E825" s="708">
        <f t="shared" si="44"/>
        <v>0</v>
      </c>
      <c r="G825" s="708">
        <v>349</v>
      </c>
      <c r="H825" s="708">
        <f t="shared" si="45"/>
        <v>0</v>
      </c>
      <c r="I825" s="708">
        <f t="shared" si="46"/>
        <v>0</v>
      </c>
      <c r="J825" s="708">
        <f t="shared" si="47"/>
        <v>0</v>
      </c>
      <c r="K825" s="708">
        <f t="shared" si="48"/>
        <v>0</v>
      </c>
    </row>
    <row r="826" spans="1:12">
      <c r="A826" s="708">
        <v>350</v>
      </c>
      <c r="B826" s="708">
        <f t="shared" si="41"/>
        <v>0</v>
      </c>
      <c r="C826" s="708">
        <f t="shared" si="42"/>
        <v>0</v>
      </c>
      <c r="D826" s="708">
        <f t="shared" si="43"/>
        <v>0</v>
      </c>
      <c r="E826" s="708">
        <f t="shared" si="44"/>
        <v>0</v>
      </c>
      <c r="G826" s="708">
        <v>350</v>
      </c>
      <c r="H826" s="708">
        <f t="shared" si="45"/>
        <v>0</v>
      </c>
      <c r="I826" s="708">
        <f t="shared" si="46"/>
        <v>0</v>
      </c>
      <c r="J826" s="708">
        <f t="shared" si="47"/>
        <v>0</v>
      </c>
      <c r="K826" s="708">
        <f t="shared" si="48"/>
        <v>0</v>
      </c>
    </row>
    <row r="827" spans="1:12">
      <c r="A827" s="708">
        <v>351</v>
      </c>
      <c r="B827" s="708">
        <f t="shared" si="41"/>
        <v>0</v>
      </c>
      <c r="C827" s="708">
        <f t="shared" si="42"/>
        <v>0</v>
      </c>
      <c r="D827" s="708">
        <f t="shared" si="43"/>
        <v>0</v>
      </c>
      <c r="E827" s="708">
        <f t="shared" si="44"/>
        <v>0</v>
      </c>
      <c r="G827" s="708">
        <v>351</v>
      </c>
      <c r="H827" s="708">
        <f t="shared" si="45"/>
        <v>0</v>
      </c>
      <c r="I827" s="708">
        <f t="shared" si="46"/>
        <v>0</v>
      </c>
      <c r="J827" s="708">
        <f t="shared" si="47"/>
        <v>0</v>
      </c>
      <c r="K827" s="708">
        <f t="shared" si="48"/>
        <v>0</v>
      </c>
    </row>
    <row r="828" spans="1:12">
      <c r="A828" s="708">
        <v>352</v>
      </c>
      <c r="B828" s="708">
        <f t="shared" si="41"/>
        <v>0</v>
      </c>
      <c r="C828" s="708">
        <f t="shared" si="42"/>
        <v>0</v>
      </c>
      <c r="D828" s="708">
        <f t="shared" si="43"/>
        <v>0</v>
      </c>
      <c r="E828" s="708">
        <f t="shared" si="44"/>
        <v>0</v>
      </c>
      <c r="G828" s="708">
        <v>352</v>
      </c>
      <c r="H828" s="708">
        <f t="shared" si="45"/>
        <v>0</v>
      </c>
      <c r="I828" s="708">
        <f t="shared" si="46"/>
        <v>0</v>
      </c>
      <c r="J828" s="708">
        <f t="shared" si="47"/>
        <v>0</v>
      </c>
      <c r="K828" s="708">
        <f t="shared" si="48"/>
        <v>0</v>
      </c>
    </row>
    <row r="829" spans="1:12">
      <c r="A829" s="708">
        <v>353</v>
      </c>
      <c r="B829" s="708">
        <f t="shared" si="41"/>
        <v>0</v>
      </c>
      <c r="C829" s="708">
        <f t="shared" si="42"/>
        <v>0</v>
      </c>
      <c r="D829" s="708">
        <f t="shared" si="43"/>
        <v>0</v>
      </c>
      <c r="E829" s="708">
        <f t="shared" si="44"/>
        <v>0</v>
      </c>
      <c r="G829" s="708">
        <v>353</v>
      </c>
      <c r="H829" s="708">
        <f t="shared" si="45"/>
        <v>0</v>
      </c>
      <c r="I829" s="708">
        <f t="shared" si="46"/>
        <v>0</v>
      </c>
      <c r="J829" s="708">
        <f t="shared" si="47"/>
        <v>0</v>
      </c>
      <c r="K829" s="708">
        <f t="shared" si="48"/>
        <v>0</v>
      </c>
    </row>
    <row r="830" spans="1:12">
      <c r="A830" s="708">
        <v>354</v>
      </c>
      <c r="B830" s="708">
        <f t="shared" si="41"/>
        <v>0</v>
      </c>
      <c r="C830" s="708">
        <f t="shared" si="42"/>
        <v>0</v>
      </c>
      <c r="D830" s="708">
        <f t="shared" si="43"/>
        <v>0</v>
      </c>
      <c r="E830" s="708">
        <f t="shared" si="44"/>
        <v>0</v>
      </c>
      <c r="G830" s="708">
        <v>354</v>
      </c>
      <c r="H830" s="708">
        <f t="shared" si="45"/>
        <v>0</v>
      </c>
      <c r="I830" s="708">
        <f t="shared" si="46"/>
        <v>0</v>
      </c>
      <c r="J830" s="708">
        <f t="shared" si="47"/>
        <v>0</v>
      </c>
      <c r="K830" s="708">
        <f t="shared" si="48"/>
        <v>0</v>
      </c>
    </row>
    <row r="831" spans="1:12">
      <c r="A831" s="708">
        <v>355</v>
      </c>
      <c r="B831" s="708">
        <f t="shared" si="41"/>
        <v>0</v>
      </c>
      <c r="C831" s="708">
        <f t="shared" si="42"/>
        <v>0</v>
      </c>
      <c r="D831" s="708">
        <f t="shared" si="43"/>
        <v>0</v>
      </c>
      <c r="E831" s="708">
        <f t="shared" si="44"/>
        <v>0</v>
      </c>
      <c r="G831" s="708">
        <v>355</v>
      </c>
      <c r="H831" s="708">
        <f t="shared" si="45"/>
        <v>0</v>
      </c>
      <c r="I831" s="708">
        <f t="shared" si="46"/>
        <v>0</v>
      </c>
      <c r="J831" s="708">
        <f t="shared" si="47"/>
        <v>0</v>
      </c>
      <c r="K831" s="708">
        <f t="shared" si="48"/>
        <v>0</v>
      </c>
    </row>
    <row r="832" spans="1:12">
      <c r="A832" s="708">
        <v>356</v>
      </c>
      <c r="B832" s="708">
        <f t="shared" si="41"/>
        <v>0</v>
      </c>
      <c r="C832" s="708">
        <f t="shared" si="42"/>
        <v>0</v>
      </c>
      <c r="D832" s="708">
        <f t="shared" si="43"/>
        <v>0</v>
      </c>
      <c r="E832" s="708">
        <f t="shared" si="44"/>
        <v>0</v>
      </c>
      <c r="G832" s="708">
        <v>356</v>
      </c>
      <c r="H832" s="708">
        <f t="shared" si="45"/>
        <v>0</v>
      </c>
      <c r="I832" s="708">
        <f t="shared" si="46"/>
        <v>0</v>
      </c>
      <c r="J832" s="708">
        <f t="shared" si="47"/>
        <v>0</v>
      </c>
      <c r="K832" s="708">
        <f t="shared" si="48"/>
        <v>0</v>
      </c>
    </row>
    <row r="833" spans="1:12">
      <c r="A833" s="708">
        <v>357</v>
      </c>
      <c r="B833" s="708">
        <f t="shared" si="41"/>
        <v>0</v>
      </c>
      <c r="C833" s="708">
        <f t="shared" si="42"/>
        <v>0</v>
      </c>
      <c r="D833" s="708">
        <f t="shared" si="43"/>
        <v>0</v>
      </c>
      <c r="E833" s="708">
        <f t="shared" si="44"/>
        <v>0</v>
      </c>
      <c r="G833" s="708">
        <v>357</v>
      </c>
      <c r="H833" s="708">
        <f t="shared" si="45"/>
        <v>0</v>
      </c>
      <c r="I833" s="708">
        <f t="shared" si="46"/>
        <v>0</v>
      </c>
      <c r="J833" s="708">
        <f t="shared" si="47"/>
        <v>0</v>
      </c>
      <c r="K833" s="708">
        <f t="shared" si="48"/>
        <v>0</v>
      </c>
    </row>
    <row r="834" spans="1:12">
      <c r="A834" s="708">
        <v>358</v>
      </c>
      <c r="B834" s="708">
        <f t="shared" si="41"/>
        <v>0</v>
      </c>
      <c r="C834" s="708">
        <f t="shared" si="42"/>
        <v>0</v>
      </c>
      <c r="D834" s="708">
        <f t="shared" si="43"/>
        <v>0</v>
      </c>
      <c r="E834" s="708">
        <f t="shared" si="44"/>
        <v>0</v>
      </c>
      <c r="G834" s="708">
        <v>358</v>
      </c>
      <c r="H834" s="708">
        <f t="shared" si="45"/>
        <v>0</v>
      </c>
      <c r="I834" s="708">
        <f t="shared" si="46"/>
        <v>0</v>
      </c>
      <c r="J834" s="708">
        <f t="shared" si="47"/>
        <v>0</v>
      </c>
      <c r="K834" s="708">
        <f t="shared" si="48"/>
        <v>0</v>
      </c>
    </row>
    <row r="835" spans="1:12">
      <c r="A835" s="708">
        <v>359</v>
      </c>
      <c r="B835" s="708">
        <f t="shared" si="41"/>
        <v>0</v>
      </c>
      <c r="C835" s="708">
        <f t="shared" si="42"/>
        <v>0</v>
      </c>
      <c r="D835" s="708">
        <f t="shared" si="43"/>
        <v>0</v>
      </c>
      <c r="E835" s="708">
        <f t="shared" si="44"/>
        <v>0</v>
      </c>
      <c r="G835" s="708">
        <v>359</v>
      </c>
      <c r="H835" s="708">
        <f t="shared" si="45"/>
        <v>0</v>
      </c>
      <c r="I835" s="708">
        <f t="shared" si="46"/>
        <v>0</v>
      </c>
      <c r="J835" s="708">
        <f t="shared" si="47"/>
        <v>0</v>
      </c>
      <c r="K835" s="708">
        <f t="shared" si="48"/>
        <v>0</v>
      </c>
    </row>
    <row r="836" spans="1:12">
      <c r="A836" s="708">
        <v>360</v>
      </c>
      <c r="B836" s="708">
        <f t="shared" si="41"/>
        <v>0</v>
      </c>
      <c r="C836" s="708">
        <f t="shared" si="42"/>
        <v>0</v>
      </c>
      <c r="D836" s="708">
        <f t="shared" si="43"/>
        <v>0</v>
      </c>
      <c r="E836" s="708">
        <f t="shared" si="44"/>
        <v>0</v>
      </c>
      <c r="F836" s="708">
        <v>30</v>
      </c>
      <c r="G836" s="708">
        <v>360</v>
      </c>
      <c r="H836" s="708">
        <f t="shared" si="45"/>
        <v>0</v>
      </c>
      <c r="I836" s="708">
        <f t="shared" si="46"/>
        <v>0</v>
      </c>
      <c r="J836" s="708">
        <f t="shared" si="47"/>
        <v>0</v>
      </c>
      <c r="K836" s="708">
        <f t="shared" si="48"/>
        <v>0</v>
      </c>
      <c r="L836" s="708">
        <v>30</v>
      </c>
    </row>
    <row r="837" spans="1:12">
      <c r="A837" s="708">
        <v>361</v>
      </c>
      <c r="B837" s="708">
        <f t="shared" si="41"/>
        <v>0</v>
      </c>
      <c r="C837" s="708">
        <f t="shared" si="42"/>
        <v>0</v>
      </c>
      <c r="D837" s="708">
        <f t="shared" si="43"/>
        <v>0</v>
      </c>
      <c r="E837" s="708">
        <f t="shared" si="44"/>
        <v>0</v>
      </c>
      <c r="G837" s="708">
        <v>361</v>
      </c>
      <c r="H837" s="708">
        <f t="shared" si="45"/>
        <v>0</v>
      </c>
      <c r="I837" s="708">
        <f t="shared" si="46"/>
        <v>0</v>
      </c>
      <c r="J837" s="708">
        <f t="shared" si="47"/>
        <v>0</v>
      </c>
      <c r="K837" s="708">
        <f t="shared" si="48"/>
        <v>0</v>
      </c>
    </row>
    <row r="838" spans="1:12">
      <c r="A838" s="708">
        <v>362</v>
      </c>
      <c r="B838" s="708">
        <f t="shared" si="41"/>
        <v>0</v>
      </c>
      <c r="C838" s="708">
        <f t="shared" si="42"/>
        <v>0</v>
      </c>
      <c r="D838" s="708">
        <f t="shared" si="43"/>
        <v>0</v>
      </c>
      <c r="E838" s="708">
        <f t="shared" si="44"/>
        <v>0</v>
      </c>
      <c r="G838" s="708">
        <v>362</v>
      </c>
      <c r="H838" s="708">
        <f t="shared" si="45"/>
        <v>0</v>
      </c>
      <c r="I838" s="708">
        <f t="shared" si="46"/>
        <v>0</v>
      </c>
      <c r="J838" s="708">
        <f t="shared" si="47"/>
        <v>0</v>
      </c>
      <c r="K838" s="708">
        <f t="shared" si="48"/>
        <v>0</v>
      </c>
    </row>
    <row r="839" spans="1:12">
      <c r="A839" s="708">
        <v>363</v>
      </c>
      <c r="B839" s="708">
        <f t="shared" si="41"/>
        <v>0</v>
      </c>
      <c r="C839" s="708">
        <f t="shared" si="42"/>
        <v>0</v>
      </c>
      <c r="D839" s="708">
        <f t="shared" si="43"/>
        <v>0</v>
      </c>
      <c r="E839" s="708">
        <f t="shared" si="44"/>
        <v>0</v>
      </c>
      <c r="G839" s="708">
        <v>363</v>
      </c>
      <c r="H839" s="708">
        <f t="shared" si="45"/>
        <v>0</v>
      </c>
      <c r="I839" s="708">
        <f t="shared" si="46"/>
        <v>0</v>
      </c>
      <c r="J839" s="708">
        <f t="shared" si="47"/>
        <v>0</v>
      </c>
      <c r="K839" s="708">
        <f t="shared" si="48"/>
        <v>0</v>
      </c>
    </row>
    <row r="840" spans="1:12">
      <c r="A840" s="708">
        <v>364</v>
      </c>
      <c r="B840" s="708">
        <f t="shared" si="41"/>
        <v>0</v>
      </c>
      <c r="C840" s="708">
        <f t="shared" si="42"/>
        <v>0</v>
      </c>
      <c r="D840" s="708">
        <f t="shared" si="43"/>
        <v>0</v>
      </c>
      <c r="E840" s="708">
        <f t="shared" si="44"/>
        <v>0</v>
      </c>
      <c r="G840" s="708">
        <v>364</v>
      </c>
      <c r="H840" s="708">
        <f t="shared" si="45"/>
        <v>0</v>
      </c>
      <c r="I840" s="708">
        <f t="shared" si="46"/>
        <v>0</v>
      </c>
      <c r="J840" s="708">
        <f t="shared" si="47"/>
        <v>0</v>
      </c>
      <c r="K840" s="708">
        <f t="shared" si="48"/>
        <v>0</v>
      </c>
    </row>
    <row r="841" spans="1:12">
      <c r="A841" s="708">
        <v>365</v>
      </c>
      <c r="B841" s="708">
        <f t="shared" si="41"/>
        <v>0</v>
      </c>
      <c r="C841" s="708">
        <f t="shared" si="42"/>
        <v>0</v>
      </c>
      <c r="D841" s="708">
        <f t="shared" si="43"/>
        <v>0</v>
      </c>
      <c r="E841" s="708">
        <f t="shared" si="44"/>
        <v>0</v>
      </c>
      <c r="G841" s="708">
        <v>365</v>
      </c>
      <c r="H841" s="708">
        <f t="shared" si="45"/>
        <v>0</v>
      </c>
      <c r="I841" s="708">
        <f t="shared" si="46"/>
        <v>0</v>
      </c>
      <c r="J841" s="708">
        <f t="shared" si="47"/>
        <v>0</v>
      </c>
      <c r="K841" s="708">
        <f t="shared" si="48"/>
        <v>0</v>
      </c>
    </row>
    <row r="842" spans="1:12">
      <c r="A842" s="708">
        <v>366</v>
      </c>
      <c r="B842" s="708">
        <f t="shared" si="41"/>
        <v>0</v>
      </c>
      <c r="C842" s="708">
        <f t="shared" si="42"/>
        <v>0</v>
      </c>
      <c r="D842" s="708">
        <f t="shared" si="43"/>
        <v>0</v>
      </c>
      <c r="E842" s="708">
        <f t="shared" si="44"/>
        <v>0</v>
      </c>
      <c r="G842" s="708">
        <v>366</v>
      </c>
      <c r="H842" s="708">
        <f t="shared" si="45"/>
        <v>0</v>
      </c>
      <c r="I842" s="708">
        <f t="shared" si="46"/>
        <v>0</v>
      </c>
      <c r="J842" s="708">
        <f t="shared" si="47"/>
        <v>0</v>
      </c>
      <c r="K842" s="708">
        <f t="shared" si="48"/>
        <v>0</v>
      </c>
    </row>
    <row r="843" spans="1:12">
      <c r="A843" s="708">
        <v>367</v>
      </c>
      <c r="B843" s="708">
        <f t="shared" si="41"/>
        <v>0</v>
      </c>
      <c r="C843" s="708">
        <f t="shared" si="42"/>
        <v>0</v>
      </c>
      <c r="D843" s="708">
        <f t="shared" si="43"/>
        <v>0</v>
      </c>
      <c r="E843" s="708">
        <f t="shared" si="44"/>
        <v>0</v>
      </c>
      <c r="G843" s="708">
        <v>367</v>
      </c>
      <c r="H843" s="708">
        <f t="shared" si="45"/>
        <v>0</v>
      </c>
      <c r="I843" s="708">
        <f t="shared" si="46"/>
        <v>0</v>
      </c>
      <c r="J843" s="708">
        <f t="shared" si="47"/>
        <v>0</v>
      </c>
      <c r="K843" s="708">
        <f t="shared" si="48"/>
        <v>0</v>
      </c>
    </row>
    <row r="844" spans="1:12">
      <c r="A844" s="708">
        <v>368</v>
      </c>
      <c r="B844" s="708">
        <f t="shared" si="41"/>
        <v>0</v>
      </c>
      <c r="C844" s="708">
        <f t="shared" si="42"/>
        <v>0</v>
      </c>
      <c r="D844" s="708">
        <f t="shared" si="43"/>
        <v>0</v>
      </c>
      <c r="E844" s="708">
        <f t="shared" si="44"/>
        <v>0</v>
      </c>
      <c r="G844" s="708">
        <v>368</v>
      </c>
      <c r="H844" s="708">
        <f t="shared" si="45"/>
        <v>0</v>
      </c>
      <c r="I844" s="708">
        <f t="shared" si="46"/>
        <v>0</v>
      </c>
      <c r="J844" s="708">
        <f t="shared" si="47"/>
        <v>0</v>
      </c>
      <c r="K844" s="708">
        <f t="shared" si="48"/>
        <v>0</v>
      </c>
    </row>
    <row r="845" spans="1:12">
      <c r="A845" s="708">
        <v>369</v>
      </c>
      <c r="B845" s="708">
        <f t="shared" si="41"/>
        <v>0</v>
      </c>
      <c r="C845" s="708">
        <f t="shared" si="42"/>
        <v>0</v>
      </c>
      <c r="D845" s="708">
        <f t="shared" si="43"/>
        <v>0</v>
      </c>
      <c r="E845" s="708">
        <f t="shared" si="44"/>
        <v>0</v>
      </c>
      <c r="G845" s="708">
        <v>369</v>
      </c>
      <c r="H845" s="708">
        <f t="shared" si="45"/>
        <v>0</v>
      </c>
      <c r="I845" s="708">
        <f t="shared" si="46"/>
        <v>0</v>
      </c>
      <c r="J845" s="708">
        <f t="shared" si="47"/>
        <v>0</v>
      </c>
      <c r="K845" s="708">
        <f t="shared" si="48"/>
        <v>0</v>
      </c>
    </row>
    <row r="846" spans="1:12">
      <c r="A846" s="708">
        <v>370</v>
      </c>
      <c r="B846" s="708">
        <f t="shared" si="41"/>
        <v>0</v>
      </c>
      <c r="C846" s="708">
        <f t="shared" si="42"/>
        <v>0</v>
      </c>
      <c r="D846" s="708">
        <f t="shared" si="43"/>
        <v>0</v>
      </c>
      <c r="E846" s="708">
        <f t="shared" si="44"/>
        <v>0</v>
      </c>
      <c r="G846" s="708">
        <v>370</v>
      </c>
      <c r="H846" s="708">
        <f t="shared" si="45"/>
        <v>0</v>
      </c>
      <c r="I846" s="708">
        <f t="shared" si="46"/>
        <v>0</v>
      </c>
      <c r="J846" s="708">
        <f t="shared" si="47"/>
        <v>0</v>
      </c>
      <c r="K846" s="708">
        <f t="shared" si="48"/>
        <v>0</v>
      </c>
    </row>
    <row r="847" spans="1:12">
      <c r="A847" s="708">
        <v>371</v>
      </c>
      <c r="B847" s="708">
        <f t="shared" si="41"/>
        <v>0</v>
      </c>
      <c r="C847" s="708">
        <f t="shared" si="42"/>
        <v>0</v>
      </c>
      <c r="D847" s="708">
        <f t="shared" si="43"/>
        <v>0</v>
      </c>
      <c r="E847" s="708">
        <f t="shared" si="44"/>
        <v>0</v>
      </c>
      <c r="G847" s="708">
        <v>371</v>
      </c>
      <c r="H847" s="708">
        <f t="shared" si="45"/>
        <v>0</v>
      </c>
      <c r="I847" s="708">
        <f t="shared" si="46"/>
        <v>0</v>
      </c>
      <c r="J847" s="708">
        <f t="shared" si="47"/>
        <v>0</v>
      </c>
      <c r="K847" s="708">
        <f t="shared" si="48"/>
        <v>0</v>
      </c>
    </row>
    <row r="848" spans="1:12">
      <c r="A848" s="708">
        <v>372</v>
      </c>
      <c r="B848" s="708">
        <f t="shared" si="41"/>
        <v>0</v>
      </c>
      <c r="C848" s="708">
        <f t="shared" si="42"/>
        <v>0</v>
      </c>
      <c r="D848" s="708">
        <f t="shared" si="43"/>
        <v>0</v>
      </c>
      <c r="E848" s="708">
        <f t="shared" si="44"/>
        <v>0</v>
      </c>
      <c r="F848" s="708">
        <v>31</v>
      </c>
      <c r="G848" s="708">
        <v>372</v>
      </c>
      <c r="H848" s="708">
        <f t="shared" si="45"/>
        <v>0</v>
      </c>
      <c r="I848" s="708">
        <f t="shared" si="46"/>
        <v>0</v>
      </c>
      <c r="J848" s="708">
        <f t="shared" si="47"/>
        <v>0</v>
      </c>
      <c r="K848" s="708">
        <f t="shared" si="48"/>
        <v>0</v>
      </c>
      <c r="L848" s="708">
        <v>31</v>
      </c>
    </row>
    <row r="849" spans="1:12">
      <c r="A849" s="708">
        <v>373</v>
      </c>
      <c r="B849" s="708">
        <f t="shared" si="41"/>
        <v>0</v>
      </c>
      <c r="C849" s="708">
        <f t="shared" si="42"/>
        <v>0</v>
      </c>
      <c r="D849" s="708">
        <f t="shared" si="43"/>
        <v>0</v>
      </c>
      <c r="E849" s="708">
        <f t="shared" si="44"/>
        <v>0</v>
      </c>
      <c r="G849" s="708">
        <v>373</v>
      </c>
      <c r="H849" s="708">
        <f t="shared" si="45"/>
        <v>0</v>
      </c>
      <c r="I849" s="708">
        <f t="shared" si="46"/>
        <v>0</v>
      </c>
      <c r="J849" s="708">
        <f t="shared" si="47"/>
        <v>0</v>
      </c>
      <c r="K849" s="708">
        <f t="shared" si="48"/>
        <v>0</v>
      </c>
    </row>
    <row r="850" spans="1:12">
      <c r="A850" s="708">
        <v>374</v>
      </c>
      <c r="B850" s="708">
        <f t="shared" si="41"/>
        <v>0</v>
      </c>
      <c r="C850" s="708">
        <f t="shared" si="42"/>
        <v>0</v>
      </c>
      <c r="D850" s="708">
        <f t="shared" si="43"/>
        <v>0</v>
      </c>
      <c r="E850" s="708">
        <f t="shared" si="44"/>
        <v>0</v>
      </c>
      <c r="G850" s="708">
        <v>374</v>
      </c>
      <c r="H850" s="708">
        <f t="shared" si="45"/>
        <v>0</v>
      </c>
      <c r="I850" s="708">
        <f t="shared" si="46"/>
        <v>0</v>
      </c>
      <c r="J850" s="708">
        <f t="shared" si="47"/>
        <v>0</v>
      </c>
      <c r="K850" s="708">
        <f t="shared" si="48"/>
        <v>0</v>
      </c>
    </row>
    <row r="851" spans="1:12">
      <c r="A851" s="708">
        <v>375</v>
      </c>
      <c r="B851" s="708">
        <f t="shared" si="41"/>
        <v>0</v>
      </c>
      <c r="C851" s="708">
        <f t="shared" si="42"/>
        <v>0</v>
      </c>
      <c r="D851" s="708">
        <f t="shared" si="43"/>
        <v>0</v>
      </c>
      <c r="E851" s="708">
        <f t="shared" si="44"/>
        <v>0</v>
      </c>
      <c r="G851" s="708">
        <v>375</v>
      </c>
      <c r="H851" s="708">
        <f t="shared" si="45"/>
        <v>0</v>
      </c>
      <c r="I851" s="708">
        <f t="shared" si="46"/>
        <v>0</v>
      </c>
      <c r="J851" s="708">
        <f t="shared" si="47"/>
        <v>0</v>
      </c>
      <c r="K851" s="708">
        <f t="shared" si="48"/>
        <v>0</v>
      </c>
    </row>
    <row r="852" spans="1:12">
      <c r="A852" s="708">
        <v>376</v>
      </c>
      <c r="B852" s="708">
        <f t="shared" si="41"/>
        <v>0</v>
      </c>
      <c r="C852" s="708">
        <f t="shared" si="42"/>
        <v>0</v>
      </c>
      <c r="D852" s="708">
        <f t="shared" si="43"/>
        <v>0</v>
      </c>
      <c r="E852" s="708">
        <f t="shared" si="44"/>
        <v>0</v>
      </c>
      <c r="G852" s="708">
        <v>376</v>
      </c>
      <c r="H852" s="708">
        <f t="shared" si="45"/>
        <v>0</v>
      </c>
      <c r="I852" s="708">
        <f t="shared" si="46"/>
        <v>0</v>
      </c>
      <c r="J852" s="708">
        <f t="shared" si="47"/>
        <v>0</v>
      </c>
      <c r="K852" s="708">
        <f t="shared" si="48"/>
        <v>0</v>
      </c>
    </row>
    <row r="853" spans="1:12">
      <c r="A853" s="708">
        <v>377</v>
      </c>
      <c r="B853" s="708">
        <f t="shared" si="41"/>
        <v>0</v>
      </c>
      <c r="C853" s="708">
        <f t="shared" si="42"/>
        <v>0</v>
      </c>
      <c r="D853" s="708">
        <f t="shared" si="43"/>
        <v>0</v>
      </c>
      <c r="E853" s="708">
        <f t="shared" si="44"/>
        <v>0</v>
      </c>
      <c r="G853" s="708">
        <v>377</v>
      </c>
      <c r="H853" s="708">
        <f t="shared" si="45"/>
        <v>0</v>
      </c>
      <c r="I853" s="708">
        <f t="shared" si="46"/>
        <v>0</v>
      </c>
      <c r="J853" s="708">
        <f t="shared" si="47"/>
        <v>0</v>
      </c>
      <c r="K853" s="708">
        <f t="shared" si="48"/>
        <v>0</v>
      </c>
    </row>
    <row r="854" spans="1:12">
      <c r="A854" s="708">
        <v>378</v>
      </c>
      <c r="B854" s="708">
        <f t="shared" si="41"/>
        <v>0</v>
      </c>
      <c r="C854" s="708">
        <f t="shared" si="42"/>
        <v>0</v>
      </c>
      <c r="D854" s="708">
        <f t="shared" si="43"/>
        <v>0</v>
      </c>
      <c r="E854" s="708">
        <f t="shared" si="44"/>
        <v>0</v>
      </c>
      <c r="G854" s="708">
        <v>378</v>
      </c>
      <c r="H854" s="708">
        <f t="shared" si="45"/>
        <v>0</v>
      </c>
      <c r="I854" s="708">
        <f t="shared" si="46"/>
        <v>0</v>
      </c>
      <c r="J854" s="708">
        <f t="shared" si="47"/>
        <v>0</v>
      </c>
      <c r="K854" s="708">
        <f t="shared" si="48"/>
        <v>0</v>
      </c>
    </row>
    <row r="855" spans="1:12">
      <c r="A855" s="708">
        <v>379</v>
      </c>
      <c r="B855" s="708">
        <f t="shared" si="41"/>
        <v>0</v>
      </c>
      <c r="C855" s="708">
        <f t="shared" si="42"/>
        <v>0</v>
      </c>
      <c r="D855" s="708">
        <f t="shared" si="43"/>
        <v>0</v>
      </c>
      <c r="E855" s="708">
        <f t="shared" si="44"/>
        <v>0</v>
      </c>
      <c r="G855" s="708">
        <v>379</v>
      </c>
      <c r="H855" s="708">
        <f t="shared" si="45"/>
        <v>0</v>
      </c>
      <c r="I855" s="708">
        <f t="shared" si="46"/>
        <v>0</v>
      </c>
      <c r="J855" s="708">
        <f t="shared" si="47"/>
        <v>0</v>
      </c>
      <c r="K855" s="708">
        <f t="shared" si="48"/>
        <v>0</v>
      </c>
    </row>
    <row r="856" spans="1:12">
      <c r="A856" s="708">
        <v>380</v>
      </c>
      <c r="B856" s="708">
        <f t="shared" si="41"/>
        <v>0</v>
      </c>
      <c r="C856" s="708">
        <f t="shared" si="42"/>
        <v>0</v>
      </c>
      <c r="D856" s="708">
        <f t="shared" si="43"/>
        <v>0</v>
      </c>
      <c r="E856" s="708">
        <f t="shared" si="44"/>
        <v>0</v>
      </c>
      <c r="G856" s="708">
        <v>380</v>
      </c>
      <c r="H856" s="708">
        <f t="shared" si="45"/>
        <v>0</v>
      </c>
      <c r="I856" s="708">
        <f t="shared" si="46"/>
        <v>0</v>
      </c>
      <c r="J856" s="708">
        <f t="shared" si="47"/>
        <v>0</v>
      </c>
      <c r="K856" s="708">
        <f t="shared" si="48"/>
        <v>0</v>
      </c>
    </row>
    <row r="857" spans="1:12">
      <c r="A857" s="708">
        <v>381</v>
      </c>
      <c r="B857" s="708">
        <f t="shared" si="41"/>
        <v>0</v>
      </c>
      <c r="C857" s="708">
        <f t="shared" si="42"/>
        <v>0</v>
      </c>
      <c r="D857" s="708">
        <f t="shared" si="43"/>
        <v>0</v>
      </c>
      <c r="E857" s="708">
        <f t="shared" si="44"/>
        <v>0</v>
      </c>
      <c r="G857" s="708">
        <v>381</v>
      </c>
      <c r="H857" s="708">
        <f t="shared" si="45"/>
        <v>0</v>
      </c>
      <c r="I857" s="708">
        <f t="shared" si="46"/>
        <v>0</v>
      </c>
      <c r="J857" s="708">
        <f t="shared" si="47"/>
        <v>0</v>
      </c>
      <c r="K857" s="708">
        <f t="shared" si="48"/>
        <v>0</v>
      </c>
    </row>
    <row r="858" spans="1:12">
      <c r="A858" s="708">
        <v>382</v>
      </c>
      <c r="B858" s="708">
        <f t="shared" si="41"/>
        <v>0</v>
      </c>
      <c r="C858" s="708">
        <f t="shared" si="42"/>
        <v>0</v>
      </c>
      <c r="D858" s="708">
        <f t="shared" si="43"/>
        <v>0</v>
      </c>
      <c r="E858" s="708">
        <f t="shared" si="44"/>
        <v>0</v>
      </c>
      <c r="G858" s="708">
        <v>382</v>
      </c>
      <c r="H858" s="708">
        <f t="shared" si="45"/>
        <v>0</v>
      </c>
      <c r="I858" s="708">
        <f t="shared" si="46"/>
        <v>0</v>
      </c>
      <c r="J858" s="708">
        <f t="shared" si="47"/>
        <v>0</v>
      </c>
      <c r="K858" s="708">
        <f t="shared" si="48"/>
        <v>0</v>
      </c>
    </row>
    <row r="859" spans="1:12">
      <c r="A859" s="708">
        <v>383</v>
      </c>
      <c r="B859" s="708">
        <f t="shared" si="41"/>
        <v>0</v>
      </c>
      <c r="C859" s="708">
        <f t="shared" si="42"/>
        <v>0</v>
      </c>
      <c r="D859" s="708">
        <f t="shared" si="43"/>
        <v>0</v>
      </c>
      <c r="E859" s="708">
        <f t="shared" si="44"/>
        <v>0</v>
      </c>
      <c r="G859" s="708">
        <v>383</v>
      </c>
      <c r="H859" s="708">
        <f t="shared" si="45"/>
        <v>0</v>
      </c>
      <c r="I859" s="708">
        <f t="shared" si="46"/>
        <v>0</v>
      </c>
      <c r="J859" s="708">
        <f t="shared" si="47"/>
        <v>0</v>
      </c>
      <c r="K859" s="708">
        <f t="shared" si="48"/>
        <v>0</v>
      </c>
    </row>
    <row r="860" spans="1:12">
      <c r="A860" s="708">
        <v>384</v>
      </c>
      <c r="B860" s="708">
        <f t="shared" si="41"/>
        <v>0</v>
      </c>
      <c r="C860" s="708">
        <f t="shared" si="42"/>
        <v>0</v>
      </c>
      <c r="D860" s="708">
        <f t="shared" si="43"/>
        <v>0</v>
      </c>
      <c r="E860" s="708">
        <f t="shared" si="44"/>
        <v>0</v>
      </c>
      <c r="F860" s="708">
        <v>32</v>
      </c>
      <c r="G860" s="708">
        <v>384</v>
      </c>
      <c r="H860" s="708">
        <f t="shared" si="45"/>
        <v>0</v>
      </c>
      <c r="I860" s="708">
        <f t="shared" si="46"/>
        <v>0</v>
      </c>
      <c r="J860" s="708">
        <f t="shared" si="47"/>
        <v>0</v>
      </c>
      <c r="K860" s="708">
        <f t="shared" si="48"/>
        <v>0</v>
      </c>
      <c r="L860" s="708">
        <v>32</v>
      </c>
    </row>
    <row r="861" spans="1:12">
      <c r="A861" s="708">
        <v>385</v>
      </c>
      <c r="B861" s="708">
        <f t="shared" ref="B861:B924" si="49">IF(A861&gt;12*$C$9,0,IF($C$5&gt;1500000,$D$12,$C$12))</f>
        <v>0</v>
      </c>
      <c r="C861" s="708">
        <f t="shared" ref="C861:C924" si="50">IF(A861&gt;12*$C$9,0,E860*$C$7/12)</f>
        <v>0</v>
      </c>
      <c r="D861" s="708">
        <f t="shared" ref="D861:D924" si="51">IF(A861&gt;12*$C$9,0,B861-C861)</f>
        <v>0</v>
      </c>
      <c r="E861" s="708">
        <f t="shared" ref="E861:E924" si="52">IF(A861&gt;12*$C$9,0,E860-D861)</f>
        <v>0</v>
      </c>
      <c r="G861" s="708">
        <v>385</v>
      </c>
      <c r="H861" s="708">
        <f t="shared" ref="H861:H924" si="53">IF(G861&gt;12*$C$9,0,IF($C$5&gt;1500000,$E$12,0))</f>
        <v>0</v>
      </c>
      <c r="I861" s="708">
        <f t="shared" ref="I861:I924" si="54">IF(G861&gt;12*$C$9,0,K860*$C$7/12)</f>
        <v>0</v>
      </c>
      <c r="J861" s="708">
        <f t="shared" ref="J861:J924" si="55">IF(G861&gt;12*$C$9,0,H861-I861)</f>
        <v>0</v>
      </c>
      <c r="K861" s="708">
        <f t="shared" ref="K861:K924" si="56">IF(G861&gt;12*$C$9,0,K860-J861)</f>
        <v>0</v>
      </c>
    </row>
    <row r="862" spans="1:12">
      <c r="A862" s="708">
        <v>386</v>
      </c>
      <c r="B862" s="708">
        <f t="shared" si="49"/>
        <v>0</v>
      </c>
      <c r="C862" s="708">
        <f t="shared" si="50"/>
        <v>0</v>
      </c>
      <c r="D862" s="708">
        <f t="shared" si="51"/>
        <v>0</v>
      </c>
      <c r="E862" s="708">
        <f t="shared" si="52"/>
        <v>0</v>
      </c>
      <c r="G862" s="708">
        <v>386</v>
      </c>
      <c r="H862" s="708">
        <f t="shared" si="53"/>
        <v>0</v>
      </c>
      <c r="I862" s="708">
        <f t="shared" si="54"/>
        <v>0</v>
      </c>
      <c r="J862" s="708">
        <f t="shared" si="55"/>
        <v>0</v>
      </c>
      <c r="K862" s="708">
        <f t="shared" si="56"/>
        <v>0</v>
      </c>
    </row>
    <row r="863" spans="1:12">
      <c r="A863" s="708">
        <v>387</v>
      </c>
      <c r="B863" s="708">
        <f t="shared" si="49"/>
        <v>0</v>
      </c>
      <c r="C863" s="708">
        <f t="shared" si="50"/>
        <v>0</v>
      </c>
      <c r="D863" s="708">
        <f t="shared" si="51"/>
        <v>0</v>
      </c>
      <c r="E863" s="708">
        <f t="shared" si="52"/>
        <v>0</v>
      </c>
      <c r="G863" s="708">
        <v>387</v>
      </c>
      <c r="H863" s="708">
        <f t="shared" si="53"/>
        <v>0</v>
      </c>
      <c r="I863" s="708">
        <f t="shared" si="54"/>
        <v>0</v>
      </c>
      <c r="J863" s="708">
        <f t="shared" si="55"/>
        <v>0</v>
      </c>
      <c r="K863" s="708">
        <f t="shared" si="56"/>
        <v>0</v>
      </c>
    </row>
    <row r="864" spans="1:12">
      <c r="A864" s="708">
        <v>388</v>
      </c>
      <c r="B864" s="708">
        <f t="shared" si="49"/>
        <v>0</v>
      </c>
      <c r="C864" s="708">
        <f t="shared" si="50"/>
        <v>0</v>
      </c>
      <c r="D864" s="708">
        <f t="shared" si="51"/>
        <v>0</v>
      </c>
      <c r="E864" s="708">
        <f t="shared" si="52"/>
        <v>0</v>
      </c>
      <c r="G864" s="708">
        <v>388</v>
      </c>
      <c r="H864" s="708">
        <f t="shared" si="53"/>
        <v>0</v>
      </c>
      <c r="I864" s="708">
        <f t="shared" si="54"/>
        <v>0</v>
      </c>
      <c r="J864" s="708">
        <f t="shared" si="55"/>
        <v>0</v>
      </c>
      <c r="K864" s="708">
        <f t="shared" si="56"/>
        <v>0</v>
      </c>
    </row>
    <row r="865" spans="1:12">
      <c r="A865" s="708">
        <v>389</v>
      </c>
      <c r="B865" s="708">
        <f t="shared" si="49"/>
        <v>0</v>
      </c>
      <c r="C865" s="708">
        <f t="shared" si="50"/>
        <v>0</v>
      </c>
      <c r="D865" s="708">
        <f t="shared" si="51"/>
        <v>0</v>
      </c>
      <c r="E865" s="708">
        <f t="shared" si="52"/>
        <v>0</v>
      </c>
      <c r="G865" s="708">
        <v>389</v>
      </c>
      <c r="H865" s="708">
        <f t="shared" si="53"/>
        <v>0</v>
      </c>
      <c r="I865" s="708">
        <f t="shared" si="54"/>
        <v>0</v>
      </c>
      <c r="J865" s="708">
        <f t="shared" si="55"/>
        <v>0</v>
      </c>
      <c r="K865" s="708">
        <f t="shared" si="56"/>
        <v>0</v>
      </c>
    </row>
    <row r="866" spans="1:12">
      <c r="A866" s="708">
        <v>390</v>
      </c>
      <c r="B866" s="708">
        <f t="shared" si="49"/>
        <v>0</v>
      </c>
      <c r="C866" s="708">
        <f t="shared" si="50"/>
        <v>0</v>
      </c>
      <c r="D866" s="708">
        <f t="shared" si="51"/>
        <v>0</v>
      </c>
      <c r="E866" s="708">
        <f t="shared" si="52"/>
        <v>0</v>
      </c>
      <c r="G866" s="708">
        <v>390</v>
      </c>
      <c r="H866" s="708">
        <f t="shared" si="53"/>
        <v>0</v>
      </c>
      <c r="I866" s="708">
        <f t="shared" si="54"/>
        <v>0</v>
      </c>
      <c r="J866" s="708">
        <f t="shared" si="55"/>
        <v>0</v>
      </c>
      <c r="K866" s="708">
        <f t="shared" si="56"/>
        <v>0</v>
      </c>
    </row>
    <row r="867" spans="1:12">
      <c r="A867" s="708">
        <v>391</v>
      </c>
      <c r="B867" s="708">
        <f t="shared" si="49"/>
        <v>0</v>
      </c>
      <c r="C867" s="708">
        <f t="shared" si="50"/>
        <v>0</v>
      </c>
      <c r="D867" s="708">
        <f t="shared" si="51"/>
        <v>0</v>
      </c>
      <c r="E867" s="708">
        <f t="shared" si="52"/>
        <v>0</v>
      </c>
      <c r="G867" s="708">
        <v>391</v>
      </c>
      <c r="H867" s="708">
        <f t="shared" si="53"/>
        <v>0</v>
      </c>
      <c r="I867" s="708">
        <f t="shared" si="54"/>
        <v>0</v>
      </c>
      <c r="J867" s="708">
        <f t="shared" si="55"/>
        <v>0</v>
      </c>
      <c r="K867" s="708">
        <f t="shared" si="56"/>
        <v>0</v>
      </c>
    </row>
    <row r="868" spans="1:12">
      <c r="A868" s="708">
        <v>392</v>
      </c>
      <c r="B868" s="708">
        <f t="shared" si="49"/>
        <v>0</v>
      </c>
      <c r="C868" s="708">
        <f t="shared" si="50"/>
        <v>0</v>
      </c>
      <c r="D868" s="708">
        <f t="shared" si="51"/>
        <v>0</v>
      </c>
      <c r="E868" s="708">
        <f t="shared" si="52"/>
        <v>0</v>
      </c>
      <c r="G868" s="708">
        <v>392</v>
      </c>
      <c r="H868" s="708">
        <f t="shared" si="53"/>
        <v>0</v>
      </c>
      <c r="I868" s="708">
        <f t="shared" si="54"/>
        <v>0</v>
      </c>
      <c r="J868" s="708">
        <f t="shared" si="55"/>
        <v>0</v>
      </c>
      <c r="K868" s="708">
        <f t="shared" si="56"/>
        <v>0</v>
      </c>
    </row>
    <row r="869" spans="1:12">
      <c r="A869" s="708">
        <v>393</v>
      </c>
      <c r="B869" s="708">
        <f t="shared" si="49"/>
        <v>0</v>
      </c>
      <c r="C869" s="708">
        <f t="shared" si="50"/>
        <v>0</v>
      </c>
      <c r="D869" s="708">
        <f t="shared" si="51"/>
        <v>0</v>
      </c>
      <c r="E869" s="708">
        <f t="shared" si="52"/>
        <v>0</v>
      </c>
      <c r="G869" s="708">
        <v>393</v>
      </c>
      <c r="H869" s="708">
        <f t="shared" si="53"/>
        <v>0</v>
      </c>
      <c r="I869" s="708">
        <f t="shared" si="54"/>
        <v>0</v>
      </c>
      <c r="J869" s="708">
        <f t="shared" si="55"/>
        <v>0</v>
      </c>
      <c r="K869" s="708">
        <f t="shared" si="56"/>
        <v>0</v>
      </c>
    </row>
    <row r="870" spans="1:12">
      <c r="A870" s="708">
        <v>394</v>
      </c>
      <c r="B870" s="708">
        <f t="shared" si="49"/>
        <v>0</v>
      </c>
      <c r="C870" s="708">
        <f t="shared" si="50"/>
        <v>0</v>
      </c>
      <c r="D870" s="708">
        <f t="shared" si="51"/>
        <v>0</v>
      </c>
      <c r="E870" s="708">
        <f t="shared" si="52"/>
        <v>0</v>
      </c>
      <c r="G870" s="708">
        <v>394</v>
      </c>
      <c r="H870" s="708">
        <f t="shared" si="53"/>
        <v>0</v>
      </c>
      <c r="I870" s="708">
        <f t="shared" si="54"/>
        <v>0</v>
      </c>
      <c r="J870" s="708">
        <f t="shared" si="55"/>
        <v>0</v>
      </c>
      <c r="K870" s="708">
        <f t="shared" si="56"/>
        <v>0</v>
      </c>
    </row>
    <row r="871" spans="1:12">
      <c r="A871" s="708">
        <v>395</v>
      </c>
      <c r="B871" s="708">
        <f t="shared" si="49"/>
        <v>0</v>
      </c>
      <c r="C871" s="708">
        <f t="shared" si="50"/>
        <v>0</v>
      </c>
      <c r="D871" s="708">
        <f t="shared" si="51"/>
        <v>0</v>
      </c>
      <c r="E871" s="708">
        <f t="shared" si="52"/>
        <v>0</v>
      </c>
      <c r="G871" s="708">
        <v>395</v>
      </c>
      <c r="H871" s="708">
        <f t="shared" si="53"/>
        <v>0</v>
      </c>
      <c r="I871" s="708">
        <f t="shared" si="54"/>
        <v>0</v>
      </c>
      <c r="J871" s="708">
        <f t="shared" si="55"/>
        <v>0</v>
      </c>
      <c r="K871" s="708">
        <f t="shared" si="56"/>
        <v>0</v>
      </c>
    </row>
    <row r="872" spans="1:12">
      <c r="A872" s="708">
        <v>396</v>
      </c>
      <c r="B872" s="708">
        <f t="shared" si="49"/>
        <v>0</v>
      </c>
      <c r="C872" s="708">
        <f t="shared" si="50"/>
        <v>0</v>
      </c>
      <c r="D872" s="708">
        <f t="shared" si="51"/>
        <v>0</v>
      </c>
      <c r="E872" s="708">
        <f t="shared" si="52"/>
        <v>0</v>
      </c>
      <c r="F872" s="708">
        <v>33</v>
      </c>
      <c r="G872" s="708">
        <v>396</v>
      </c>
      <c r="H872" s="708">
        <f t="shared" si="53"/>
        <v>0</v>
      </c>
      <c r="I872" s="708">
        <f t="shared" si="54"/>
        <v>0</v>
      </c>
      <c r="J872" s="708">
        <f t="shared" si="55"/>
        <v>0</v>
      </c>
      <c r="K872" s="708">
        <f t="shared" si="56"/>
        <v>0</v>
      </c>
      <c r="L872" s="708">
        <v>33</v>
      </c>
    </row>
    <row r="873" spans="1:12">
      <c r="A873" s="708">
        <v>397</v>
      </c>
      <c r="B873" s="708">
        <f t="shared" si="49"/>
        <v>0</v>
      </c>
      <c r="C873" s="708">
        <f t="shared" si="50"/>
        <v>0</v>
      </c>
      <c r="D873" s="708">
        <f t="shared" si="51"/>
        <v>0</v>
      </c>
      <c r="E873" s="708">
        <f t="shared" si="52"/>
        <v>0</v>
      </c>
      <c r="G873" s="708">
        <v>397</v>
      </c>
      <c r="H873" s="708">
        <f t="shared" si="53"/>
        <v>0</v>
      </c>
      <c r="I873" s="708">
        <f t="shared" si="54"/>
        <v>0</v>
      </c>
      <c r="J873" s="708">
        <f t="shared" si="55"/>
        <v>0</v>
      </c>
      <c r="K873" s="708">
        <f t="shared" si="56"/>
        <v>0</v>
      </c>
    </row>
    <row r="874" spans="1:12">
      <c r="A874" s="708">
        <v>398</v>
      </c>
      <c r="B874" s="708">
        <f t="shared" si="49"/>
        <v>0</v>
      </c>
      <c r="C874" s="708">
        <f t="shared" si="50"/>
        <v>0</v>
      </c>
      <c r="D874" s="708">
        <f t="shared" si="51"/>
        <v>0</v>
      </c>
      <c r="E874" s="708">
        <f t="shared" si="52"/>
        <v>0</v>
      </c>
      <c r="G874" s="708">
        <v>398</v>
      </c>
      <c r="H874" s="708">
        <f t="shared" si="53"/>
        <v>0</v>
      </c>
      <c r="I874" s="708">
        <f t="shared" si="54"/>
        <v>0</v>
      </c>
      <c r="J874" s="708">
        <f t="shared" si="55"/>
        <v>0</v>
      </c>
      <c r="K874" s="708">
        <f t="shared" si="56"/>
        <v>0</v>
      </c>
    </row>
    <row r="875" spans="1:12">
      <c r="A875" s="708">
        <v>399</v>
      </c>
      <c r="B875" s="708">
        <f t="shared" si="49"/>
        <v>0</v>
      </c>
      <c r="C875" s="708">
        <f t="shared" si="50"/>
        <v>0</v>
      </c>
      <c r="D875" s="708">
        <f t="shared" si="51"/>
        <v>0</v>
      </c>
      <c r="E875" s="708">
        <f t="shared" si="52"/>
        <v>0</v>
      </c>
      <c r="G875" s="708">
        <v>399</v>
      </c>
      <c r="H875" s="708">
        <f t="shared" si="53"/>
        <v>0</v>
      </c>
      <c r="I875" s="708">
        <f t="shared" si="54"/>
        <v>0</v>
      </c>
      <c r="J875" s="708">
        <f t="shared" si="55"/>
        <v>0</v>
      </c>
      <c r="K875" s="708">
        <f t="shared" si="56"/>
        <v>0</v>
      </c>
    </row>
    <row r="876" spans="1:12">
      <c r="A876" s="708">
        <v>400</v>
      </c>
      <c r="B876" s="708">
        <f t="shared" si="49"/>
        <v>0</v>
      </c>
      <c r="C876" s="708">
        <f t="shared" si="50"/>
        <v>0</v>
      </c>
      <c r="D876" s="708">
        <f t="shared" si="51"/>
        <v>0</v>
      </c>
      <c r="E876" s="708">
        <f t="shared" si="52"/>
        <v>0</v>
      </c>
      <c r="G876" s="708">
        <v>400</v>
      </c>
      <c r="H876" s="708">
        <f t="shared" si="53"/>
        <v>0</v>
      </c>
      <c r="I876" s="708">
        <f t="shared" si="54"/>
        <v>0</v>
      </c>
      <c r="J876" s="708">
        <f t="shared" si="55"/>
        <v>0</v>
      </c>
      <c r="K876" s="708">
        <f t="shared" si="56"/>
        <v>0</v>
      </c>
    </row>
    <row r="877" spans="1:12">
      <c r="A877" s="708">
        <v>401</v>
      </c>
      <c r="B877" s="708">
        <f t="shared" si="49"/>
        <v>0</v>
      </c>
      <c r="C877" s="708">
        <f t="shared" si="50"/>
        <v>0</v>
      </c>
      <c r="D877" s="708">
        <f t="shared" si="51"/>
        <v>0</v>
      </c>
      <c r="E877" s="708">
        <f t="shared" si="52"/>
        <v>0</v>
      </c>
      <c r="G877" s="708">
        <v>401</v>
      </c>
      <c r="H877" s="708">
        <f t="shared" si="53"/>
        <v>0</v>
      </c>
      <c r="I877" s="708">
        <f t="shared" si="54"/>
        <v>0</v>
      </c>
      <c r="J877" s="708">
        <f t="shared" si="55"/>
        <v>0</v>
      </c>
      <c r="K877" s="708">
        <f t="shared" si="56"/>
        <v>0</v>
      </c>
    </row>
    <row r="878" spans="1:12">
      <c r="A878" s="708">
        <v>402</v>
      </c>
      <c r="B878" s="708">
        <f t="shared" si="49"/>
        <v>0</v>
      </c>
      <c r="C878" s="708">
        <f t="shared" si="50"/>
        <v>0</v>
      </c>
      <c r="D878" s="708">
        <f t="shared" si="51"/>
        <v>0</v>
      </c>
      <c r="E878" s="708">
        <f t="shared" si="52"/>
        <v>0</v>
      </c>
      <c r="G878" s="708">
        <v>402</v>
      </c>
      <c r="H878" s="708">
        <f t="shared" si="53"/>
        <v>0</v>
      </c>
      <c r="I878" s="708">
        <f t="shared" si="54"/>
        <v>0</v>
      </c>
      <c r="J878" s="708">
        <f t="shared" si="55"/>
        <v>0</v>
      </c>
      <c r="K878" s="708">
        <f t="shared" si="56"/>
        <v>0</v>
      </c>
    </row>
    <row r="879" spans="1:12">
      <c r="A879" s="708">
        <v>403</v>
      </c>
      <c r="B879" s="708">
        <f t="shared" si="49"/>
        <v>0</v>
      </c>
      <c r="C879" s="708">
        <f t="shared" si="50"/>
        <v>0</v>
      </c>
      <c r="D879" s="708">
        <f t="shared" si="51"/>
        <v>0</v>
      </c>
      <c r="E879" s="708">
        <f t="shared" si="52"/>
        <v>0</v>
      </c>
      <c r="G879" s="708">
        <v>403</v>
      </c>
      <c r="H879" s="708">
        <f t="shared" si="53"/>
        <v>0</v>
      </c>
      <c r="I879" s="708">
        <f t="shared" si="54"/>
        <v>0</v>
      </c>
      <c r="J879" s="708">
        <f t="shared" si="55"/>
        <v>0</v>
      </c>
      <c r="K879" s="708">
        <f t="shared" si="56"/>
        <v>0</v>
      </c>
    </row>
    <row r="880" spans="1:12">
      <c r="A880" s="708">
        <v>404</v>
      </c>
      <c r="B880" s="708">
        <f t="shared" si="49"/>
        <v>0</v>
      </c>
      <c r="C880" s="708">
        <f t="shared" si="50"/>
        <v>0</v>
      </c>
      <c r="D880" s="708">
        <f t="shared" si="51"/>
        <v>0</v>
      </c>
      <c r="E880" s="708">
        <f t="shared" si="52"/>
        <v>0</v>
      </c>
      <c r="G880" s="708">
        <v>404</v>
      </c>
      <c r="H880" s="708">
        <f t="shared" si="53"/>
        <v>0</v>
      </c>
      <c r="I880" s="708">
        <f t="shared" si="54"/>
        <v>0</v>
      </c>
      <c r="J880" s="708">
        <f t="shared" si="55"/>
        <v>0</v>
      </c>
      <c r="K880" s="708">
        <f t="shared" si="56"/>
        <v>0</v>
      </c>
    </row>
    <row r="881" spans="1:12">
      <c r="A881" s="708">
        <v>405</v>
      </c>
      <c r="B881" s="708">
        <f t="shared" si="49"/>
        <v>0</v>
      </c>
      <c r="C881" s="708">
        <f t="shared" si="50"/>
        <v>0</v>
      </c>
      <c r="D881" s="708">
        <f t="shared" si="51"/>
        <v>0</v>
      </c>
      <c r="E881" s="708">
        <f t="shared" si="52"/>
        <v>0</v>
      </c>
      <c r="G881" s="708">
        <v>405</v>
      </c>
      <c r="H881" s="708">
        <f t="shared" si="53"/>
        <v>0</v>
      </c>
      <c r="I881" s="708">
        <f t="shared" si="54"/>
        <v>0</v>
      </c>
      <c r="J881" s="708">
        <f t="shared" si="55"/>
        <v>0</v>
      </c>
      <c r="K881" s="708">
        <f t="shared" si="56"/>
        <v>0</v>
      </c>
    </row>
    <row r="882" spans="1:12">
      <c r="A882" s="708">
        <v>406</v>
      </c>
      <c r="B882" s="708">
        <f t="shared" si="49"/>
        <v>0</v>
      </c>
      <c r="C882" s="708">
        <f t="shared" si="50"/>
        <v>0</v>
      </c>
      <c r="D882" s="708">
        <f t="shared" si="51"/>
        <v>0</v>
      </c>
      <c r="E882" s="708">
        <f t="shared" si="52"/>
        <v>0</v>
      </c>
      <c r="G882" s="708">
        <v>406</v>
      </c>
      <c r="H882" s="708">
        <f t="shared" si="53"/>
        <v>0</v>
      </c>
      <c r="I882" s="708">
        <f t="shared" si="54"/>
        <v>0</v>
      </c>
      <c r="J882" s="708">
        <f t="shared" si="55"/>
        <v>0</v>
      </c>
      <c r="K882" s="708">
        <f t="shared" si="56"/>
        <v>0</v>
      </c>
    </row>
    <row r="883" spans="1:12">
      <c r="A883" s="708">
        <v>407</v>
      </c>
      <c r="B883" s="708">
        <f t="shared" si="49"/>
        <v>0</v>
      </c>
      <c r="C883" s="708">
        <f t="shared" si="50"/>
        <v>0</v>
      </c>
      <c r="D883" s="708">
        <f t="shared" si="51"/>
        <v>0</v>
      </c>
      <c r="E883" s="708">
        <f t="shared" si="52"/>
        <v>0</v>
      </c>
      <c r="G883" s="708">
        <v>407</v>
      </c>
      <c r="H883" s="708">
        <f t="shared" si="53"/>
        <v>0</v>
      </c>
      <c r="I883" s="708">
        <f t="shared" si="54"/>
        <v>0</v>
      </c>
      <c r="J883" s="708">
        <f t="shared" si="55"/>
        <v>0</v>
      </c>
      <c r="K883" s="708">
        <f t="shared" si="56"/>
        <v>0</v>
      </c>
    </row>
    <row r="884" spans="1:12">
      <c r="A884" s="708">
        <v>408</v>
      </c>
      <c r="B884" s="708">
        <f t="shared" si="49"/>
        <v>0</v>
      </c>
      <c r="C884" s="708">
        <f t="shared" si="50"/>
        <v>0</v>
      </c>
      <c r="D884" s="708">
        <f t="shared" si="51"/>
        <v>0</v>
      </c>
      <c r="E884" s="708">
        <f t="shared" si="52"/>
        <v>0</v>
      </c>
      <c r="F884" s="708">
        <v>34</v>
      </c>
      <c r="G884" s="708">
        <v>408</v>
      </c>
      <c r="H884" s="708">
        <f t="shared" si="53"/>
        <v>0</v>
      </c>
      <c r="I884" s="708">
        <f t="shared" si="54"/>
        <v>0</v>
      </c>
      <c r="J884" s="708">
        <f t="shared" si="55"/>
        <v>0</v>
      </c>
      <c r="K884" s="708">
        <f t="shared" si="56"/>
        <v>0</v>
      </c>
      <c r="L884" s="708">
        <v>34</v>
      </c>
    </row>
    <row r="885" spans="1:12">
      <c r="A885" s="708">
        <v>409</v>
      </c>
      <c r="B885" s="708">
        <f t="shared" si="49"/>
        <v>0</v>
      </c>
      <c r="C885" s="708">
        <f t="shared" si="50"/>
        <v>0</v>
      </c>
      <c r="D885" s="708">
        <f t="shared" si="51"/>
        <v>0</v>
      </c>
      <c r="E885" s="708">
        <f t="shared" si="52"/>
        <v>0</v>
      </c>
      <c r="G885" s="708">
        <v>409</v>
      </c>
      <c r="H885" s="708">
        <f t="shared" si="53"/>
        <v>0</v>
      </c>
      <c r="I885" s="708">
        <f t="shared" si="54"/>
        <v>0</v>
      </c>
      <c r="J885" s="708">
        <f t="shared" si="55"/>
        <v>0</v>
      </c>
      <c r="K885" s="708">
        <f t="shared" si="56"/>
        <v>0</v>
      </c>
    </row>
    <row r="886" spans="1:12">
      <c r="A886" s="708">
        <v>410</v>
      </c>
      <c r="B886" s="708">
        <f t="shared" si="49"/>
        <v>0</v>
      </c>
      <c r="C886" s="708">
        <f t="shared" si="50"/>
        <v>0</v>
      </c>
      <c r="D886" s="708">
        <f t="shared" si="51"/>
        <v>0</v>
      </c>
      <c r="E886" s="708">
        <f t="shared" si="52"/>
        <v>0</v>
      </c>
      <c r="G886" s="708">
        <v>410</v>
      </c>
      <c r="H886" s="708">
        <f t="shared" si="53"/>
        <v>0</v>
      </c>
      <c r="I886" s="708">
        <f t="shared" si="54"/>
        <v>0</v>
      </c>
      <c r="J886" s="708">
        <f t="shared" si="55"/>
        <v>0</v>
      </c>
      <c r="K886" s="708">
        <f t="shared" si="56"/>
        <v>0</v>
      </c>
    </row>
    <row r="887" spans="1:12">
      <c r="A887" s="708">
        <v>411</v>
      </c>
      <c r="B887" s="708">
        <f t="shared" si="49"/>
        <v>0</v>
      </c>
      <c r="C887" s="708">
        <f t="shared" si="50"/>
        <v>0</v>
      </c>
      <c r="D887" s="708">
        <f t="shared" si="51"/>
        <v>0</v>
      </c>
      <c r="E887" s="708">
        <f t="shared" si="52"/>
        <v>0</v>
      </c>
      <c r="G887" s="708">
        <v>411</v>
      </c>
      <c r="H887" s="708">
        <f t="shared" si="53"/>
        <v>0</v>
      </c>
      <c r="I887" s="708">
        <f t="shared" si="54"/>
        <v>0</v>
      </c>
      <c r="J887" s="708">
        <f t="shared" si="55"/>
        <v>0</v>
      </c>
      <c r="K887" s="708">
        <f t="shared" si="56"/>
        <v>0</v>
      </c>
    </row>
    <row r="888" spans="1:12">
      <c r="A888" s="708">
        <v>412</v>
      </c>
      <c r="B888" s="708">
        <f t="shared" si="49"/>
        <v>0</v>
      </c>
      <c r="C888" s="708">
        <f t="shared" si="50"/>
        <v>0</v>
      </c>
      <c r="D888" s="708">
        <f t="shared" si="51"/>
        <v>0</v>
      </c>
      <c r="E888" s="708">
        <f t="shared" si="52"/>
        <v>0</v>
      </c>
      <c r="G888" s="708">
        <v>412</v>
      </c>
      <c r="H888" s="708">
        <f t="shared" si="53"/>
        <v>0</v>
      </c>
      <c r="I888" s="708">
        <f t="shared" si="54"/>
        <v>0</v>
      </c>
      <c r="J888" s="708">
        <f t="shared" si="55"/>
        <v>0</v>
      </c>
      <c r="K888" s="708">
        <f t="shared" si="56"/>
        <v>0</v>
      </c>
    </row>
    <row r="889" spans="1:12">
      <c r="A889" s="708">
        <v>413</v>
      </c>
      <c r="B889" s="708">
        <f t="shared" si="49"/>
        <v>0</v>
      </c>
      <c r="C889" s="708">
        <f t="shared" si="50"/>
        <v>0</v>
      </c>
      <c r="D889" s="708">
        <f t="shared" si="51"/>
        <v>0</v>
      </c>
      <c r="E889" s="708">
        <f t="shared" si="52"/>
        <v>0</v>
      </c>
      <c r="G889" s="708">
        <v>413</v>
      </c>
      <c r="H889" s="708">
        <f t="shared" si="53"/>
        <v>0</v>
      </c>
      <c r="I889" s="708">
        <f t="shared" si="54"/>
        <v>0</v>
      </c>
      <c r="J889" s="708">
        <f t="shared" si="55"/>
        <v>0</v>
      </c>
      <c r="K889" s="708">
        <f t="shared" si="56"/>
        <v>0</v>
      </c>
    </row>
    <row r="890" spans="1:12">
      <c r="A890" s="708">
        <v>414</v>
      </c>
      <c r="B890" s="708">
        <f t="shared" si="49"/>
        <v>0</v>
      </c>
      <c r="C890" s="708">
        <f t="shared" si="50"/>
        <v>0</v>
      </c>
      <c r="D890" s="708">
        <f t="shared" si="51"/>
        <v>0</v>
      </c>
      <c r="E890" s="708">
        <f t="shared" si="52"/>
        <v>0</v>
      </c>
      <c r="G890" s="708">
        <v>414</v>
      </c>
      <c r="H890" s="708">
        <f t="shared" si="53"/>
        <v>0</v>
      </c>
      <c r="I890" s="708">
        <f t="shared" si="54"/>
        <v>0</v>
      </c>
      <c r="J890" s="708">
        <f t="shared" si="55"/>
        <v>0</v>
      </c>
      <c r="K890" s="708">
        <f t="shared" si="56"/>
        <v>0</v>
      </c>
    </row>
    <row r="891" spans="1:12">
      <c r="A891" s="708">
        <v>415</v>
      </c>
      <c r="B891" s="708">
        <f t="shared" si="49"/>
        <v>0</v>
      </c>
      <c r="C891" s="708">
        <f t="shared" si="50"/>
        <v>0</v>
      </c>
      <c r="D891" s="708">
        <f t="shared" si="51"/>
        <v>0</v>
      </c>
      <c r="E891" s="708">
        <f t="shared" si="52"/>
        <v>0</v>
      </c>
      <c r="G891" s="708">
        <v>415</v>
      </c>
      <c r="H891" s="708">
        <f t="shared" si="53"/>
        <v>0</v>
      </c>
      <c r="I891" s="708">
        <f t="shared" si="54"/>
        <v>0</v>
      </c>
      <c r="J891" s="708">
        <f t="shared" si="55"/>
        <v>0</v>
      </c>
      <c r="K891" s="708">
        <f t="shared" si="56"/>
        <v>0</v>
      </c>
    </row>
    <row r="892" spans="1:12">
      <c r="A892" s="708">
        <v>416</v>
      </c>
      <c r="B892" s="708">
        <f t="shared" si="49"/>
        <v>0</v>
      </c>
      <c r="C892" s="708">
        <f t="shared" si="50"/>
        <v>0</v>
      </c>
      <c r="D892" s="708">
        <f t="shared" si="51"/>
        <v>0</v>
      </c>
      <c r="E892" s="708">
        <f t="shared" si="52"/>
        <v>0</v>
      </c>
      <c r="G892" s="708">
        <v>416</v>
      </c>
      <c r="H892" s="708">
        <f t="shared" si="53"/>
        <v>0</v>
      </c>
      <c r="I892" s="708">
        <f t="shared" si="54"/>
        <v>0</v>
      </c>
      <c r="J892" s="708">
        <f t="shared" si="55"/>
        <v>0</v>
      </c>
      <c r="K892" s="708">
        <f t="shared" si="56"/>
        <v>0</v>
      </c>
    </row>
    <row r="893" spans="1:12">
      <c r="A893" s="708">
        <v>417</v>
      </c>
      <c r="B893" s="708">
        <f t="shared" si="49"/>
        <v>0</v>
      </c>
      <c r="C893" s="708">
        <f t="shared" si="50"/>
        <v>0</v>
      </c>
      <c r="D893" s="708">
        <f t="shared" si="51"/>
        <v>0</v>
      </c>
      <c r="E893" s="708">
        <f t="shared" si="52"/>
        <v>0</v>
      </c>
      <c r="G893" s="708">
        <v>417</v>
      </c>
      <c r="H893" s="708">
        <f t="shared" si="53"/>
        <v>0</v>
      </c>
      <c r="I893" s="708">
        <f t="shared" si="54"/>
        <v>0</v>
      </c>
      <c r="J893" s="708">
        <f t="shared" si="55"/>
        <v>0</v>
      </c>
      <c r="K893" s="708">
        <f t="shared" si="56"/>
        <v>0</v>
      </c>
    </row>
    <row r="894" spans="1:12">
      <c r="A894" s="708">
        <v>418</v>
      </c>
      <c r="B894" s="708">
        <f t="shared" si="49"/>
        <v>0</v>
      </c>
      <c r="C894" s="708">
        <f t="shared" si="50"/>
        <v>0</v>
      </c>
      <c r="D894" s="708">
        <f t="shared" si="51"/>
        <v>0</v>
      </c>
      <c r="E894" s="708">
        <f t="shared" si="52"/>
        <v>0</v>
      </c>
      <c r="G894" s="708">
        <v>418</v>
      </c>
      <c r="H894" s="708">
        <f t="shared" si="53"/>
        <v>0</v>
      </c>
      <c r="I894" s="708">
        <f t="shared" si="54"/>
        <v>0</v>
      </c>
      <c r="J894" s="708">
        <f t="shared" si="55"/>
        <v>0</v>
      </c>
      <c r="K894" s="708">
        <f t="shared" si="56"/>
        <v>0</v>
      </c>
    </row>
    <row r="895" spans="1:12">
      <c r="A895" s="708">
        <v>419</v>
      </c>
      <c r="B895" s="708">
        <f t="shared" si="49"/>
        <v>0</v>
      </c>
      <c r="C895" s="708">
        <f t="shared" si="50"/>
        <v>0</v>
      </c>
      <c r="D895" s="708">
        <f t="shared" si="51"/>
        <v>0</v>
      </c>
      <c r="E895" s="708">
        <f t="shared" si="52"/>
        <v>0</v>
      </c>
      <c r="G895" s="708">
        <v>419</v>
      </c>
      <c r="H895" s="708">
        <f t="shared" si="53"/>
        <v>0</v>
      </c>
      <c r="I895" s="708">
        <f t="shared" si="54"/>
        <v>0</v>
      </c>
      <c r="J895" s="708">
        <f t="shared" si="55"/>
        <v>0</v>
      </c>
      <c r="K895" s="708">
        <f t="shared" si="56"/>
        <v>0</v>
      </c>
    </row>
    <row r="896" spans="1:12">
      <c r="A896" s="708">
        <v>420</v>
      </c>
      <c r="B896" s="708">
        <f t="shared" si="49"/>
        <v>0</v>
      </c>
      <c r="C896" s="708">
        <f t="shared" si="50"/>
        <v>0</v>
      </c>
      <c r="D896" s="708">
        <f t="shared" si="51"/>
        <v>0</v>
      </c>
      <c r="E896" s="708">
        <f t="shared" si="52"/>
        <v>0</v>
      </c>
      <c r="F896" s="708">
        <v>35</v>
      </c>
      <c r="G896" s="708">
        <v>420</v>
      </c>
      <c r="H896" s="708">
        <f t="shared" si="53"/>
        <v>0</v>
      </c>
      <c r="I896" s="708">
        <f t="shared" si="54"/>
        <v>0</v>
      </c>
      <c r="J896" s="708">
        <f t="shared" si="55"/>
        <v>0</v>
      </c>
      <c r="K896" s="708">
        <f t="shared" si="56"/>
        <v>0</v>
      </c>
      <c r="L896" s="708">
        <v>35</v>
      </c>
    </row>
    <row r="897" spans="1:12">
      <c r="A897" s="708">
        <v>421</v>
      </c>
      <c r="B897" s="708">
        <f t="shared" si="49"/>
        <v>0</v>
      </c>
      <c r="C897" s="708">
        <f t="shared" si="50"/>
        <v>0</v>
      </c>
      <c r="D897" s="708">
        <f t="shared" si="51"/>
        <v>0</v>
      </c>
      <c r="E897" s="708">
        <f t="shared" si="52"/>
        <v>0</v>
      </c>
      <c r="G897" s="708">
        <v>421</v>
      </c>
      <c r="H897" s="708">
        <f t="shared" si="53"/>
        <v>0</v>
      </c>
      <c r="I897" s="708">
        <f t="shared" si="54"/>
        <v>0</v>
      </c>
      <c r="J897" s="708">
        <f t="shared" si="55"/>
        <v>0</v>
      </c>
      <c r="K897" s="708">
        <f t="shared" si="56"/>
        <v>0</v>
      </c>
    </row>
    <row r="898" spans="1:12">
      <c r="A898" s="708">
        <v>422</v>
      </c>
      <c r="B898" s="708">
        <f t="shared" si="49"/>
        <v>0</v>
      </c>
      <c r="C898" s="708">
        <f t="shared" si="50"/>
        <v>0</v>
      </c>
      <c r="D898" s="708">
        <f t="shared" si="51"/>
        <v>0</v>
      </c>
      <c r="E898" s="708">
        <f t="shared" si="52"/>
        <v>0</v>
      </c>
      <c r="G898" s="708">
        <v>422</v>
      </c>
      <c r="H898" s="708">
        <f t="shared" si="53"/>
        <v>0</v>
      </c>
      <c r="I898" s="708">
        <f t="shared" si="54"/>
        <v>0</v>
      </c>
      <c r="J898" s="708">
        <f t="shared" si="55"/>
        <v>0</v>
      </c>
      <c r="K898" s="708">
        <f t="shared" si="56"/>
        <v>0</v>
      </c>
    </row>
    <row r="899" spans="1:12">
      <c r="A899" s="708">
        <v>423</v>
      </c>
      <c r="B899" s="708">
        <f t="shared" si="49"/>
        <v>0</v>
      </c>
      <c r="C899" s="708">
        <f t="shared" si="50"/>
        <v>0</v>
      </c>
      <c r="D899" s="708">
        <f t="shared" si="51"/>
        <v>0</v>
      </c>
      <c r="E899" s="708">
        <f t="shared" si="52"/>
        <v>0</v>
      </c>
      <c r="G899" s="708">
        <v>423</v>
      </c>
      <c r="H899" s="708">
        <f t="shared" si="53"/>
        <v>0</v>
      </c>
      <c r="I899" s="708">
        <f t="shared" si="54"/>
        <v>0</v>
      </c>
      <c r="J899" s="708">
        <f t="shared" si="55"/>
        <v>0</v>
      </c>
      <c r="K899" s="708">
        <f t="shared" si="56"/>
        <v>0</v>
      </c>
    </row>
    <row r="900" spans="1:12">
      <c r="A900" s="708">
        <v>424</v>
      </c>
      <c r="B900" s="708">
        <f t="shared" si="49"/>
        <v>0</v>
      </c>
      <c r="C900" s="708">
        <f t="shared" si="50"/>
        <v>0</v>
      </c>
      <c r="D900" s="708">
        <f t="shared" si="51"/>
        <v>0</v>
      </c>
      <c r="E900" s="708">
        <f t="shared" si="52"/>
        <v>0</v>
      </c>
      <c r="G900" s="708">
        <v>424</v>
      </c>
      <c r="H900" s="708">
        <f t="shared" si="53"/>
        <v>0</v>
      </c>
      <c r="I900" s="708">
        <f t="shared" si="54"/>
        <v>0</v>
      </c>
      <c r="J900" s="708">
        <f t="shared" si="55"/>
        <v>0</v>
      </c>
      <c r="K900" s="708">
        <f t="shared" si="56"/>
        <v>0</v>
      </c>
    </row>
    <row r="901" spans="1:12">
      <c r="A901" s="708">
        <v>425</v>
      </c>
      <c r="B901" s="708">
        <f t="shared" si="49"/>
        <v>0</v>
      </c>
      <c r="C901" s="708">
        <f t="shared" si="50"/>
        <v>0</v>
      </c>
      <c r="D901" s="708">
        <f t="shared" si="51"/>
        <v>0</v>
      </c>
      <c r="E901" s="708">
        <f t="shared" si="52"/>
        <v>0</v>
      </c>
      <c r="G901" s="708">
        <v>425</v>
      </c>
      <c r="H901" s="708">
        <f t="shared" si="53"/>
        <v>0</v>
      </c>
      <c r="I901" s="708">
        <f t="shared" si="54"/>
        <v>0</v>
      </c>
      <c r="J901" s="708">
        <f t="shared" si="55"/>
        <v>0</v>
      </c>
      <c r="K901" s="708">
        <f t="shared" si="56"/>
        <v>0</v>
      </c>
    </row>
    <row r="902" spans="1:12">
      <c r="A902" s="708">
        <v>426</v>
      </c>
      <c r="B902" s="708">
        <f t="shared" si="49"/>
        <v>0</v>
      </c>
      <c r="C902" s="708">
        <f t="shared" si="50"/>
        <v>0</v>
      </c>
      <c r="D902" s="708">
        <f t="shared" si="51"/>
        <v>0</v>
      </c>
      <c r="E902" s="708">
        <f t="shared" si="52"/>
        <v>0</v>
      </c>
      <c r="G902" s="708">
        <v>426</v>
      </c>
      <c r="H902" s="708">
        <f t="shared" si="53"/>
        <v>0</v>
      </c>
      <c r="I902" s="708">
        <f t="shared" si="54"/>
        <v>0</v>
      </c>
      <c r="J902" s="708">
        <f t="shared" si="55"/>
        <v>0</v>
      </c>
      <c r="K902" s="708">
        <f t="shared" si="56"/>
        <v>0</v>
      </c>
    </row>
    <row r="903" spans="1:12">
      <c r="A903" s="708">
        <v>427</v>
      </c>
      <c r="B903" s="708">
        <f t="shared" si="49"/>
        <v>0</v>
      </c>
      <c r="C903" s="708">
        <f t="shared" si="50"/>
        <v>0</v>
      </c>
      <c r="D903" s="708">
        <f t="shared" si="51"/>
        <v>0</v>
      </c>
      <c r="E903" s="708">
        <f t="shared" si="52"/>
        <v>0</v>
      </c>
      <c r="G903" s="708">
        <v>427</v>
      </c>
      <c r="H903" s="708">
        <f t="shared" si="53"/>
        <v>0</v>
      </c>
      <c r="I903" s="708">
        <f t="shared" si="54"/>
        <v>0</v>
      </c>
      <c r="J903" s="708">
        <f t="shared" si="55"/>
        <v>0</v>
      </c>
      <c r="K903" s="708">
        <f t="shared" si="56"/>
        <v>0</v>
      </c>
    </row>
    <row r="904" spans="1:12">
      <c r="A904" s="708">
        <v>428</v>
      </c>
      <c r="B904" s="708">
        <f t="shared" si="49"/>
        <v>0</v>
      </c>
      <c r="C904" s="708">
        <f t="shared" si="50"/>
        <v>0</v>
      </c>
      <c r="D904" s="708">
        <f t="shared" si="51"/>
        <v>0</v>
      </c>
      <c r="E904" s="708">
        <f t="shared" si="52"/>
        <v>0</v>
      </c>
      <c r="G904" s="708">
        <v>428</v>
      </c>
      <c r="H904" s="708">
        <f t="shared" si="53"/>
        <v>0</v>
      </c>
      <c r="I904" s="708">
        <f t="shared" si="54"/>
        <v>0</v>
      </c>
      <c r="J904" s="708">
        <f t="shared" si="55"/>
        <v>0</v>
      </c>
      <c r="K904" s="708">
        <f t="shared" si="56"/>
        <v>0</v>
      </c>
    </row>
    <row r="905" spans="1:12">
      <c r="A905" s="708">
        <v>429</v>
      </c>
      <c r="B905" s="708">
        <f t="shared" si="49"/>
        <v>0</v>
      </c>
      <c r="C905" s="708">
        <f t="shared" si="50"/>
        <v>0</v>
      </c>
      <c r="D905" s="708">
        <f t="shared" si="51"/>
        <v>0</v>
      </c>
      <c r="E905" s="708">
        <f t="shared" si="52"/>
        <v>0</v>
      </c>
      <c r="G905" s="708">
        <v>429</v>
      </c>
      <c r="H905" s="708">
        <f t="shared" si="53"/>
        <v>0</v>
      </c>
      <c r="I905" s="708">
        <f t="shared" si="54"/>
        <v>0</v>
      </c>
      <c r="J905" s="708">
        <f t="shared" si="55"/>
        <v>0</v>
      </c>
      <c r="K905" s="708">
        <f t="shared" si="56"/>
        <v>0</v>
      </c>
    </row>
    <row r="906" spans="1:12">
      <c r="A906" s="708">
        <v>430</v>
      </c>
      <c r="B906" s="708">
        <f t="shared" si="49"/>
        <v>0</v>
      </c>
      <c r="C906" s="708">
        <f t="shared" si="50"/>
        <v>0</v>
      </c>
      <c r="D906" s="708">
        <f t="shared" si="51"/>
        <v>0</v>
      </c>
      <c r="E906" s="708">
        <f t="shared" si="52"/>
        <v>0</v>
      </c>
      <c r="G906" s="708">
        <v>430</v>
      </c>
      <c r="H906" s="708">
        <f t="shared" si="53"/>
        <v>0</v>
      </c>
      <c r="I906" s="708">
        <f t="shared" si="54"/>
        <v>0</v>
      </c>
      <c r="J906" s="708">
        <f t="shared" si="55"/>
        <v>0</v>
      </c>
      <c r="K906" s="708">
        <f t="shared" si="56"/>
        <v>0</v>
      </c>
    </row>
    <row r="907" spans="1:12">
      <c r="A907" s="708">
        <v>431</v>
      </c>
      <c r="B907" s="708">
        <f t="shared" si="49"/>
        <v>0</v>
      </c>
      <c r="C907" s="708">
        <f t="shared" si="50"/>
        <v>0</v>
      </c>
      <c r="D907" s="708">
        <f t="shared" si="51"/>
        <v>0</v>
      </c>
      <c r="E907" s="708">
        <f t="shared" si="52"/>
        <v>0</v>
      </c>
      <c r="G907" s="708">
        <v>431</v>
      </c>
      <c r="H907" s="708">
        <f t="shared" si="53"/>
        <v>0</v>
      </c>
      <c r="I907" s="708">
        <f t="shared" si="54"/>
        <v>0</v>
      </c>
      <c r="J907" s="708">
        <f t="shared" si="55"/>
        <v>0</v>
      </c>
      <c r="K907" s="708">
        <f t="shared" si="56"/>
        <v>0</v>
      </c>
    </row>
    <row r="908" spans="1:12">
      <c r="A908" s="708">
        <v>432</v>
      </c>
      <c r="B908" s="708">
        <f t="shared" si="49"/>
        <v>0</v>
      </c>
      <c r="C908" s="708">
        <f t="shared" si="50"/>
        <v>0</v>
      </c>
      <c r="D908" s="708">
        <f t="shared" si="51"/>
        <v>0</v>
      </c>
      <c r="E908" s="708">
        <f t="shared" si="52"/>
        <v>0</v>
      </c>
      <c r="F908" s="708">
        <v>36</v>
      </c>
      <c r="G908" s="708">
        <v>432</v>
      </c>
      <c r="H908" s="708">
        <f t="shared" si="53"/>
        <v>0</v>
      </c>
      <c r="I908" s="708">
        <f t="shared" si="54"/>
        <v>0</v>
      </c>
      <c r="J908" s="708">
        <f t="shared" si="55"/>
        <v>0</v>
      </c>
      <c r="K908" s="708">
        <f t="shared" si="56"/>
        <v>0</v>
      </c>
      <c r="L908" s="708">
        <v>36</v>
      </c>
    </row>
    <row r="909" spans="1:12">
      <c r="A909" s="708">
        <v>433</v>
      </c>
      <c r="B909" s="708">
        <f t="shared" si="49"/>
        <v>0</v>
      </c>
      <c r="C909" s="708">
        <f t="shared" si="50"/>
        <v>0</v>
      </c>
      <c r="D909" s="708">
        <f t="shared" si="51"/>
        <v>0</v>
      </c>
      <c r="E909" s="708">
        <f t="shared" si="52"/>
        <v>0</v>
      </c>
      <c r="G909" s="708">
        <v>433</v>
      </c>
      <c r="H909" s="708">
        <f t="shared" si="53"/>
        <v>0</v>
      </c>
      <c r="I909" s="708">
        <f t="shared" si="54"/>
        <v>0</v>
      </c>
      <c r="J909" s="708">
        <f t="shared" si="55"/>
        <v>0</v>
      </c>
      <c r="K909" s="708">
        <f t="shared" si="56"/>
        <v>0</v>
      </c>
    </row>
    <row r="910" spans="1:12">
      <c r="A910" s="708">
        <v>434</v>
      </c>
      <c r="B910" s="708">
        <f t="shared" si="49"/>
        <v>0</v>
      </c>
      <c r="C910" s="708">
        <f t="shared" si="50"/>
        <v>0</v>
      </c>
      <c r="D910" s="708">
        <f t="shared" si="51"/>
        <v>0</v>
      </c>
      <c r="E910" s="708">
        <f t="shared" si="52"/>
        <v>0</v>
      </c>
      <c r="G910" s="708">
        <v>434</v>
      </c>
      <c r="H910" s="708">
        <f t="shared" si="53"/>
        <v>0</v>
      </c>
      <c r="I910" s="708">
        <f t="shared" si="54"/>
        <v>0</v>
      </c>
      <c r="J910" s="708">
        <f t="shared" si="55"/>
        <v>0</v>
      </c>
      <c r="K910" s="708">
        <f t="shared" si="56"/>
        <v>0</v>
      </c>
    </row>
    <row r="911" spans="1:12">
      <c r="A911" s="708">
        <v>435</v>
      </c>
      <c r="B911" s="708">
        <f t="shared" si="49"/>
        <v>0</v>
      </c>
      <c r="C911" s="708">
        <f t="shared" si="50"/>
        <v>0</v>
      </c>
      <c r="D911" s="708">
        <f t="shared" si="51"/>
        <v>0</v>
      </c>
      <c r="E911" s="708">
        <f t="shared" si="52"/>
        <v>0</v>
      </c>
      <c r="G911" s="708">
        <v>435</v>
      </c>
      <c r="H911" s="708">
        <f t="shared" si="53"/>
        <v>0</v>
      </c>
      <c r="I911" s="708">
        <f t="shared" si="54"/>
        <v>0</v>
      </c>
      <c r="J911" s="708">
        <f t="shared" si="55"/>
        <v>0</v>
      </c>
      <c r="K911" s="708">
        <f t="shared" si="56"/>
        <v>0</v>
      </c>
    </row>
    <row r="912" spans="1:12">
      <c r="A912" s="708">
        <v>436</v>
      </c>
      <c r="B912" s="708">
        <f t="shared" si="49"/>
        <v>0</v>
      </c>
      <c r="C912" s="708">
        <f t="shared" si="50"/>
        <v>0</v>
      </c>
      <c r="D912" s="708">
        <f t="shared" si="51"/>
        <v>0</v>
      </c>
      <c r="E912" s="708">
        <f t="shared" si="52"/>
        <v>0</v>
      </c>
      <c r="G912" s="708">
        <v>436</v>
      </c>
      <c r="H912" s="708">
        <f t="shared" si="53"/>
        <v>0</v>
      </c>
      <c r="I912" s="708">
        <f t="shared" si="54"/>
        <v>0</v>
      </c>
      <c r="J912" s="708">
        <f t="shared" si="55"/>
        <v>0</v>
      </c>
      <c r="K912" s="708">
        <f t="shared" si="56"/>
        <v>0</v>
      </c>
    </row>
    <row r="913" spans="1:12">
      <c r="A913" s="708">
        <v>437</v>
      </c>
      <c r="B913" s="708">
        <f t="shared" si="49"/>
        <v>0</v>
      </c>
      <c r="C913" s="708">
        <f t="shared" si="50"/>
        <v>0</v>
      </c>
      <c r="D913" s="708">
        <f t="shared" si="51"/>
        <v>0</v>
      </c>
      <c r="E913" s="708">
        <f t="shared" si="52"/>
        <v>0</v>
      </c>
      <c r="G913" s="708">
        <v>437</v>
      </c>
      <c r="H913" s="708">
        <f t="shared" si="53"/>
        <v>0</v>
      </c>
      <c r="I913" s="708">
        <f t="shared" si="54"/>
        <v>0</v>
      </c>
      <c r="J913" s="708">
        <f t="shared" si="55"/>
        <v>0</v>
      </c>
      <c r="K913" s="708">
        <f t="shared" si="56"/>
        <v>0</v>
      </c>
    </row>
    <row r="914" spans="1:12">
      <c r="A914" s="708">
        <v>438</v>
      </c>
      <c r="B914" s="708">
        <f t="shared" si="49"/>
        <v>0</v>
      </c>
      <c r="C914" s="708">
        <f t="shared" si="50"/>
        <v>0</v>
      </c>
      <c r="D914" s="708">
        <f t="shared" si="51"/>
        <v>0</v>
      </c>
      <c r="E914" s="708">
        <f t="shared" si="52"/>
        <v>0</v>
      </c>
      <c r="G914" s="708">
        <v>438</v>
      </c>
      <c r="H914" s="708">
        <f t="shared" si="53"/>
        <v>0</v>
      </c>
      <c r="I914" s="708">
        <f t="shared" si="54"/>
        <v>0</v>
      </c>
      <c r="J914" s="708">
        <f t="shared" si="55"/>
        <v>0</v>
      </c>
      <c r="K914" s="708">
        <f t="shared" si="56"/>
        <v>0</v>
      </c>
    </row>
    <row r="915" spans="1:12">
      <c r="A915" s="708">
        <v>439</v>
      </c>
      <c r="B915" s="708">
        <f t="shared" si="49"/>
        <v>0</v>
      </c>
      <c r="C915" s="708">
        <f t="shared" si="50"/>
        <v>0</v>
      </c>
      <c r="D915" s="708">
        <f t="shared" si="51"/>
        <v>0</v>
      </c>
      <c r="E915" s="708">
        <f t="shared" si="52"/>
        <v>0</v>
      </c>
      <c r="G915" s="708">
        <v>439</v>
      </c>
      <c r="H915" s="708">
        <f t="shared" si="53"/>
        <v>0</v>
      </c>
      <c r="I915" s="708">
        <f t="shared" si="54"/>
        <v>0</v>
      </c>
      <c r="J915" s="708">
        <f t="shared" si="55"/>
        <v>0</v>
      </c>
      <c r="K915" s="708">
        <f t="shared" si="56"/>
        <v>0</v>
      </c>
    </row>
    <row r="916" spans="1:12">
      <c r="A916" s="708">
        <v>440</v>
      </c>
      <c r="B916" s="708">
        <f t="shared" si="49"/>
        <v>0</v>
      </c>
      <c r="C916" s="708">
        <f t="shared" si="50"/>
        <v>0</v>
      </c>
      <c r="D916" s="708">
        <f t="shared" si="51"/>
        <v>0</v>
      </c>
      <c r="E916" s="708">
        <f t="shared" si="52"/>
        <v>0</v>
      </c>
      <c r="G916" s="708">
        <v>440</v>
      </c>
      <c r="H916" s="708">
        <f t="shared" si="53"/>
        <v>0</v>
      </c>
      <c r="I916" s="708">
        <f t="shared" si="54"/>
        <v>0</v>
      </c>
      <c r="J916" s="708">
        <f t="shared" si="55"/>
        <v>0</v>
      </c>
      <c r="K916" s="708">
        <f t="shared" si="56"/>
        <v>0</v>
      </c>
    </row>
    <row r="917" spans="1:12">
      <c r="A917" s="708">
        <v>441</v>
      </c>
      <c r="B917" s="708">
        <f t="shared" si="49"/>
        <v>0</v>
      </c>
      <c r="C917" s="708">
        <f t="shared" si="50"/>
        <v>0</v>
      </c>
      <c r="D917" s="708">
        <f t="shared" si="51"/>
        <v>0</v>
      </c>
      <c r="E917" s="708">
        <f t="shared" si="52"/>
        <v>0</v>
      </c>
      <c r="G917" s="708">
        <v>441</v>
      </c>
      <c r="H917" s="708">
        <f t="shared" si="53"/>
        <v>0</v>
      </c>
      <c r="I917" s="708">
        <f t="shared" si="54"/>
        <v>0</v>
      </c>
      <c r="J917" s="708">
        <f t="shared" si="55"/>
        <v>0</v>
      </c>
      <c r="K917" s="708">
        <f t="shared" si="56"/>
        <v>0</v>
      </c>
    </row>
    <row r="918" spans="1:12">
      <c r="A918" s="708">
        <v>442</v>
      </c>
      <c r="B918" s="708">
        <f t="shared" si="49"/>
        <v>0</v>
      </c>
      <c r="C918" s="708">
        <f t="shared" si="50"/>
        <v>0</v>
      </c>
      <c r="D918" s="708">
        <f t="shared" si="51"/>
        <v>0</v>
      </c>
      <c r="E918" s="708">
        <f t="shared" si="52"/>
        <v>0</v>
      </c>
      <c r="G918" s="708">
        <v>442</v>
      </c>
      <c r="H918" s="708">
        <f t="shared" si="53"/>
        <v>0</v>
      </c>
      <c r="I918" s="708">
        <f t="shared" si="54"/>
        <v>0</v>
      </c>
      <c r="J918" s="708">
        <f t="shared" si="55"/>
        <v>0</v>
      </c>
      <c r="K918" s="708">
        <f t="shared" si="56"/>
        <v>0</v>
      </c>
    </row>
    <row r="919" spans="1:12">
      <c r="A919" s="708">
        <v>443</v>
      </c>
      <c r="B919" s="708">
        <f t="shared" si="49"/>
        <v>0</v>
      </c>
      <c r="C919" s="708">
        <f t="shared" si="50"/>
        <v>0</v>
      </c>
      <c r="D919" s="708">
        <f t="shared" si="51"/>
        <v>0</v>
      </c>
      <c r="E919" s="708">
        <f t="shared" si="52"/>
        <v>0</v>
      </c>
      <c r="G919" s="708">
        <v>443</v>
      </c>
      <c r="H919" s="708">
        <f t="shared" si="53"/>
        <v>0</v>
      </c>
      <c r="I919" s="708">
        <f t="shared" si="54"/>
        <v>0</v>
      </c>
      <c r="J919" s="708">
        <f t="shared" si="55"/>
        <v>0</v>
      </c>
      <c r="K919" s="708">
        <f t="shared" si="56"/>
        <v>0</v>
      </c>
    </row>
    <row r="920" spans="1:12">
      <c r="A920" s="708">
        <v>444</v>
      </c>
      <c r="B920" s="708">
        <f t="shared" si="49"/>
        <v>0</v>
      </c>
      <c r="C920" s="708">
        <f t="shared" si="50"/>
        <v>0</v>
      </c>
      <c r="D920" s="708">
        <f t="shared" si="51"/>
        <v>0</v>
      </c>
      <c r="E920" s="708">
        <f t="shared" si="52"/>
        <v>0</v>
      </c>
      <c r="F920" s="708">
        <v>37</v>
      </c>
      <c r="G920" s="708">
        <v>444</v>
      </c>
      <c r="H920" s="708">
        <f t="shared" si="53"/>
        <v>0</v>
      </c>
      <c r="I920" s="708">
        <f t="shared" si="54"/>
        <v>0</v>
      </c>
      <c r="J920" s="708">
        <f t="shared" si="55"/>
        <v>0</v>
      </c>
      <c r="K920" s="708">
        <f t="shared" si="56"/>
        <v>0</v>
      </c>
      <c r="L920" s="708">
        <v>37</v>
      </c>
    </row>
    <row r="921" spans="1:12">
      <c r="A921" s="708">
        <v>445</v>
      </c>
      <c r="B921" s="708">
        <f t="shared" si="49"/>
        <v>0</v>
      </c>
      <c r="C921" s="708">
        <f t="shared" si="50"/>
        <v>0</v>
      </c>
      <c r="D921" s="708">
        <f t="shared" si="51"/>
        <v>0</v>
      </c>
      <c r="E921" s="708">
        <f t="shared" si="52"/>
        <v>0</v>
      </c>
      <c r="G921" s="708">
        <v>445</v>
      </c>
      <c r="H921" s="708">
        <f t="shared" si="53"/>
        <v>0</v>
      </c>
      <c r="I921" s="708">
        <f t="shared" si="54"/>
        <v>0</v>
      </c>
      <c r="J921" s="708">
        <f t="shared" si="55"/>
        <v>0</v>
      </c>
      <c r="K921" s="708">
        <f t="shared" si="56"/>
        <v>0</v>
      </c>
    </row>
    <row r="922" spans="1:12">
      <c r="A922" s="708">
        <v>446</v>
      </c>
      <c r="B922" s="708">
        <f t="shared" si="49"/>
        <v>0</v>
      </c>
      <c r="C922" s="708">
        <f t="shared" si="50"/>
        <v>0</v>
      </c>
      <c r="D922" s="708">
        <f t="shared" si="51"/>
        <v>0</v>
      </c>
      <c r="E922" s="708">
        <f t="shared" si="52"/>
        <v>0</v>
      </c>
      <c r="G922" s="708">
        <v>446</v>
      </c>
      <c r="H922" s="708">
        <f t="shared" si="53"/>
        <v>0</v>
      </c>
      <c r="I922" s="708">
        <f t="shared" si="54"/>
        <v>0</v>
      </c>
      <c r="J922" s="708">
        <f t="shared" si="55"/>
        <v>0</v>
      </c>
      <c r="K922" s="708">
        <f t="shared" si="56"/>
        <v>0</v>
      </c>
    </row>
    <row r="923" spans="1:12">
      <c r="A923" s="708">
        <v>447</v>
      </c>
      <c r="B923" s="708">
        <f t="shared" si="49"/>
        <v>0</v>
      </c>
      <c r="C923" s="708">
        <f t="shared" si="50"/>
        <v>0</v>
      </c>
      <c r="D923" s="708">
        <f t="shared" si="51"/>
        <v>0</v>
      </c>
      <c r="E923" s="708">
        <f t="shared" si="52"/>
        <v>0</v>
      </c>
      <c r="G923" s="708">
        <v>447</v>
      </c>
      <c r="H923" s="708">
        <f t="shared" si="53"/>
        <v>0</v>
      </c>
      <c r="I923" s="708">
        <f t="shared" si="54"/>
        <v>0</v>
      </c>
      <c r="J923" s="708">
        <f t="shared" si="55"/>
        <v>0</v>
      </c>
      <c r="K923" s="708">
        <f t="shared" si="56"/>
        <v>0</v>
      </c>
    </row>
    <row r="924" spans="1:12">
      <c r="A924" s="708">
        <v>448</v>
      </c>
      <c r="B924" s="708">
        <f t="shared" si="49"/>
        <v>0</v>
      </c>
      <c r="C924" s="708">
        <f t="shared" si="50"/>
        <v>0</v>
      </c>
      <c r="D924" s="708">
        <f t="shared" si="51"/>
        <v>0</v>
      </c>
      <c r="E924" s="708">
        <f t="shared" si="52"/>
        <v>0</v>
      </c>
      <c r="G924" s="708">
        <v>448</v>
      </c>
      <c r="H924" s="708">
        <f t="shared" si="53"/>
        <v>0</v>
      </c>
      <c r="I924" s="708">
        <f t="shared" si="54"/>
        <v>0</v>
      </c>
      <c r="J924" s="708">
        <f t="shared" si="55"/>
        <v>0</v>
      </c>
      <c r="K924" s="708">
        <f t="shared" si="56"/>
        <v>0</v>
      </c>
    </row>
    <row r="925" spans="1:12">
      <c r="A925" s="708">
        <v>449</v>
      </c>
      <c r="B925" s="708">
        <f t="shared" ref="B925:B956" si="57">IF(A925&gt;12*$C$9,0,IF($C$5&gt;1500000,$D$12,$C$12))</f>
        <v>0</v>
      </c>
      <c r="C925" s="708">
        <f t="shared" ref="C925:C956" si="58">IF(A925&gt;12*$C$9,0,E924*$C$7/12)</f>
        <v>0</v>
      </c>
      <c r="D925" s="708">
        <f t="shared" ref="D925:D956" si="59">IF(A925&gt;12*$C$9,0,B925-C925)</f>
        <v>0</v>
      </c>
      <c r="E925" s="708">
        <f t="shared" ref="E925:E956" si="60">IF(A925&gt;12*$C$9,0,E924-D925)</f>
        <v>0</v>
      </c>
      <c r="G925" s="708">
        <v>449</v>
      </c>
      <c r="H925" s="708">
        <f t="shared" ref="H925:H956" si="61">IF(G925&gt;12*$C$9,0,IF($C$5&gt;1500000,$E$12,0))</f>
        <v>0</v>
      </c>
      <c r="I925" s="708">
        <f t="shared" ref="I925:I956" si="62">IF(G925&gt;12*$C$9,0,K924*$C$7/12)</f>
        <v>0</v>
      </c>
      <c r="J925" s="708">
        <f t="shared" ref="J925:J956" si="63">IF(G925&gt;12*$C$9,0,H925-I925)</f>
        <v>0</v>
      </c>
      <c r="K925" s="708">
        <f t="shared" ref="K925:K956" si="64">IF(G925&gt;12*$C$9,0,K924-J925)</f>
        <v>0</v>
      </c>
    </row>
    <row r="926" spans="1:12">
      <c r="A926" s="708">
        <v>450</v>
      </c>
      <c r="B926" s="708">
        <f t="shared" si="57"/>
        <v>0</v>
      </c>
      <c r="C926" s="708">
        <f t="shared" si="58"/>
        <v>0</v>
      </c>
      <c r="D926" s="708">
        <f t="shared" si="59"/>
        <v>0</v>
      </c>
      <c r="E926" s="708">
        <f t="shared" si="60"/>
        <v>0</v>
      </c>
      <c r="G926" s="708">
        <v>450</v>
      </c>
      <c r="H926" s="708">
        <f t="shared" si="61"/>
        <v>0</v>
      </c>
      <c r="I926" s="708">
        <f t="shared" si="62"/>
        <v>0</v>
      </c>
      <c r="J926" s="708">
        <f t="shared" si="63"/>
        <v>0</v>
      </c>
      <c r="K926" s="708">
        <f t="shared" si="64"/>
        <v>0</v>
      </c>
    </row>
    <row r="927" spans="1:12">
      <c r="A927" s="708">
        <v>451</v>
      </c>
      <c r="B927" s="708">
        <f t="shared" si="57"/>
        <v>0</v>
      </c>
      <c r="C927" s="708">
        <f t="shared" si="58"/>
        <v>0</v>
      </c>
      <c r="D927" s="708">
        <f t="shared" si="59"/>
        <v>0</v>
      </c>
      <c r="E927" s="708">
        <f t="shared" si="60"/>
        <v>0</v>
      </c>
      <c r="G927" s="708">
        <v>451</v>
      </c>
      <c r="H927" s="708">
        <f t="shared" si="61"/>
        <v>0</v>
      </c>
      <c r="I927" s="708">
        <f t="shared" si="62"/>
        <v>0</v>
      </c>
      <c r="J927" s="708">
        <f t="shared" si="63"/>
        <v>0</v>
      </c>
      <c r="K927" s="708">
        <f t="shared" si="64"/>
        <v>0</v>
      </c>
    </row>
    <row r="928" spans="1:12">
      <c r="A928" s="708">
        <v>452</v>
      </c>
      <c r="B928" s="708">
        <f t="shared" si="57"/>
        <v>0</v>
      </c>
      <c r="C928" s="708">
        <f t="shared" si="58"/>
        <v>0</v>
      </c>
      <c r="D928" s="708">
        <f t="shared" si="59"/>
        <v>0</v>
      </c>
      <c r="E928" s="708">
        <f t="shared" si="60"/>
        <v>0</v>
      </c>
      <c r="G928" s="708">
        <v>452</v>
      </c>
      <c r="H928" s="708">
        <f t="shared" si="61"/>
        <v>0</v>
      </c>
      <c r="I928" s="708">
        <f t="shared" si="62"/>
        <v>0</v>
      </c>
      <c r="J928" s="708">
        <f t="shared" si="63"/>
        <v>0</v>
      </c>
      <c r="K928" s="708">
        <f t="shared" si="64"/>
        <v>0</v>
      </c>
    </row>
    <row r="929" spans="1:12">
      <c r="A929" s="708">
        <v>453</v>
      </c>
      <c r="B929" s="708">
        <f t="shared" si="57"/>
        <v>0</v>
      </c>
      <c r="C929" s="708">
        <f t="shared" si="58"/>
        <v>0</v>
      </c>
      <c r="D929" s="708">
        <f t="shared" si="59"/>
        <v>0</v>
      </c>
      <c r="E929" s="708">
        <f t="shared" si="60"/>
        <v>0</v>
      </c>
      <c r="G929" s="708">
        <v>453</v>
      </c>
      <c r="H929" s="708">
        <f t="shared" si="61"/>
        <v>0</v>
      </c>
      <c r="I929" s="708">
        <f t="shared" si="62"/>
        <v>0</v>
      </c>
      <c r="J929" s="708">
        <f t="shared" si="63"/>
        <v>0</v>
      </c>
      <c r="K929" s="708">
        <f t="shared" si="64"/>
        <v>0</v>
      </c>
    </row>
    <row r="930" spans="1:12">
      <c r="A930" s="708">
        <v>454</v>
      </c>
      <c r="B930" s="708">
        <f t="shared" si="57"/>
        <v>0</v>
      </c>
      <c r="C930" s="708">
        <f t="shared" si="58"/>
        <v>0</v>
      </c>
      <c r="D930" s="708">
        <f t="shared" si="59"/>
        <v>0</v>
      </c>
      <c r="E930" s="708">
        <f t="shared" si="60"/>
        <v>0</v>
      </c>
      <c r="G930" s="708">
        <v>454</v>
      </c>
      <c r="H930" s="708">
        <f t="shared" si="61"/>
        <v>0</v>
      </c>
      <c r="I930" s="708">
        <f t="shared" si="62"/>
        <v>0</v>
      </c>
      <c r="J930" s="708">
        <f t="shared" si="63"/>
        <v>0</v>
      </c>
      <c r="K930" s="708">
        <f t="shared" si="64"/>
        <v>0</v>
      </c>
    </row>
    <row r="931" spans="1:12">
      <c r="A931" s="708">
        <v>455</v>
      </c>
      <c r="B931" s="708">
        <f t="shared" si="57"/>
        <v>0</v>
      </c>
      <c r="C931" s="708">
        <f t="shared" si="58"/>
        <v>0</v>
      </c>
      <c r="D931" s="708">
        <f t="shared" si="59"/>
        <v>0</v>
      </c>
      <c r="E931" s="708">
        <f t="shared" si="60"/>
        <v>0</v>
      </c>
      <c r="G931" s="708">
        <v>455</v>
      </c>
      <c r="H931" s="708">
        <f t="shared" si="61"/>
        <v>0</v>
      </c>
      <c r="I931" s="708">
        <f t="shared" si="62"/>
        <v>0</v>
      </c>
      <c r="J931" s="708">
        <f t="shared" si="63"/>
        <v>0</v>
      </c>
      <c r="K931" s="708">
        <f t="shared" si="64"/>
        <v>0</v>
      </c>
    </row>
    <row r="932" spans="1:12">
      <c r="A932" s="708">
        <v>456</v>
      </c>
      <c r="B932" s="708">
        <f t="shared" si="57"/>
        <v>0</v>
      </c>
      <c r="C932" s="708">
        <f t="shared" si="58"/>
        <v>0</v>
      </c>
      <c r="D932" s="708">
        <f t="shared" si="59"/>
        <v>0</v>
      </c>
      <c r="E932" s="708">
        <f t="shared" si="60"/>
        <v>0</v>
      </c>
      <c r="F932" s="708">
        <v>38</v>
      </c>
      <c r="G932" s="708">
        <v>456</v>
      </c>
      <c r="H932" s="708">
        <f t="shared" si="61"/>
        <v>0</v>
      </c>
      <c r="I932" s="708">
        <f t="shared" si="62"/>
        <v>0</v>
      </c>
      <c r="J932" s="708">
        <f t="shared" si="63"/>
        <v>0</v>
      </c>
      <c r="K932" s="708">
        <f t="shared" si="64"/>
        <v>0</v>
      </c>
      <c r="L932" s="708">
        <v>38</v>
      </c>
    </row>
    <row r="933" spans="1:12">
      <c r="A933" s="708">
        <v>457</v>
      </c>
      <c r="B933" s="708">
        <f t="shared" si="57"/>
        <v>0</v>
      </c>
      <c r="C933" s="708">
        <f t="shared" si="58"/>
        <v>0</v>
      </c>
      <c r="D933" s="708">
        <f t="shared" si="59"/>
        <v>0</v>
      </c>
      <c r="E933" s="708">
        <f t="shared" si="60"/>
        <v>0</v>
      </c>
      <c r="G933" s="708">
        <v>457</v>
      </c>
      <c r="H933" s="708">
        <f t="shared" si="61"/>
        <v>0</v>
      </c>
      <c r="I933" s="708">
        <f t="shared" si="62"/>
        <v>0</v>
      </c>
      <c r="J933" s="708">
        <f t="shared" si="63"/>
        <v>0</v>
      </c>
      <c r="K933" s="708">
        <f t="shared" si="64"/>
        <v>0</v>
      </c>
    </row>
    <row r="934" spans="1:12">
      <c r="A934" s="708">
        <v>458</v>
      </c>
      <c r="B934" s="708">
        <f t="shared" si="57"/>
        <v>0</v>
      </c>
      <c r="C934" s="708">
        <f t="shared" si="58"/>
        <v>0</v>
      </c>
      <c r="D934" s="708">
        <f t="shared" si="59"/>
        <v>0</v>
      </c>
      <c r="E934" s="708">
        <f t="shared" si="60"/>
        <v>0</v>
      </c>
      <c r="G934" s="708">
        <v>458</v>
      </c>
      <c r="H934" s="708">
        <f t="shared" si="61"/>
        <v>0</v>
      </c>
      <c r="I934" s="708">
        <f t="shared" si="62"/>
        <v>0</v>
      </c>
      <c r="J934" s="708">
        <f t="shared" si="63"/>
        <v>0</v>
      </c>
      <c r="K934" s="708">
        <f t="shared" si="64"/>
        <v>0</v>
      </c>
    </row>
    <row r="935" spans="1:12">
      <c r="A935" s="708">
        <v>459</v>
      </c>
      <c r="B935" s="708">
        <f t="shared" si="57"/>
        <v>0</v>
      </c>
      <c r="C935" s="708">
        <f t="shared" si="58"/>
        <v>0</v>
      </c>
      <c r="D935" s="708">
        <f t="shared" si="59"/>
        <v>0</v>
      </c>
      <c r="E935" s="708">
        <f t="shared" si="60"/>
        <v>0</v>
      </c>
      <c r="G935" s="708">
        <v>459</v>
      </c>
      <c r="H935" s="708">
        <f t="shared" si="61"/>
        <v>0</v>
      </c>
      <c r="I935" s="708">
        <f t="shared" si="62"/>
        <v>0</v>
      </c>
      <c r="J935" s="708">
        <f t="shared" si="63"/>
        <v>0</v>
      </c>
      <c r="K935" s="708">
        <f t="shared" si="64"/>
        <v>0</v>
      </c>
    </row>
    <row r="936" spans="1:12">
      <c r="A936" s="708">
        <v>460</v>
      </c>
      <c r="B936" s="708">
        <f t="shared" si="57"/>
        <v>0</v>
      </c>
      <c r="C936" s="708">
        <f t="shared" si="58"/>
        <v>0</v>
      </c>
      <c r="D936" s="708">
        <f t="shared" si="59"/>
        <v>0</v>
      </c>
      <c r="E936" s="708">
        <f t="shared" si="60"/>
        <v>0</v>
      </c>
      <c r="G936" s="708">
        <v>460</v>
      </c>
      <c r="H936" s="708">
        <f t="shared" si="61"/>
        <v>0</v>
      </c>
      <c r="I936" s="708">
        <f t="shared" si="62"/>
        <v>0</v>
      </c>
      <c r="J936" s="708">
        <f t="shared" si="63"/>
        <v>0</v>
      </c>
      <c r="K936" s="708">
        <f t="shared" si="64"/>
        <v>0</v>
      </c>
    </row>
    <row r="937" spans="1:12">
      <c r="A937" s="708">
        <v>461</v>
      </c>
      <c r="B937" s="708">
        <f t="shared" si="57"/>
        <v>0</v>
      </c>
      <c r="C937" s="708">
        <f t="shared" si="58"/>
        <v>0</v>
      </c>
      <c r="D937" s="708">
        <f t="shared" si="59"/>
        <v>0</v>
      </c>
      <c r="E937" s="708">
        <f t="shared" si="60"/>
        <v>0</v>
      </c>
      <c r="G937" s="708">
        <v>461</v>
      </c>
      <c r="H937" s="708">
        <f t="shared" si="61"/>
        <v>0</v>
      </c>
      <c r="I937" s="708">
        <f t="shared" si="62"/>
        <v>0</v>
      </c>
      <c r="J937" s="708">
        <f t="shared" si="63"/>
        <v>0</v>
      </c>
      <c r="K937" s="708">
        <f t="shared" si="64"/>
        <v>0</v>
      </c>
    </row>
    <row r="938" spans="1:12">
      <c r="A938" s="708">
        <v>462</v>
      </c>
      <c r="B938" s="708">
        <f t="shared" si="57"/>
        <v>0</v>
      </c>
      <c r="C938" s="708">
        <f t="shared" si="58"/>
        <v>0</v>
      </c>
      <c r="D938" s="708">
        <f t="shared" si="59"/>
        <v>0</v>
      </c>
      <c r="E938" s="708">
        <f t="shared" si="60"/>
        <v>0</v>
      </c>
      <c r="G938" s="708">
        <v>462</v>
      </c>
      <c r="H938" s="708">
        <f t="shared" si="61"/>
        <v>0</v>
      </c>
      <c r="I938" s="708">
        <f t="shared" si="62"/>
        <v>0</v>
      </c>
      <c r="J938" s="708">
        <f t="shared" si="63"/>
        <v>0</v>
      </c>
      <c r="K938" s="708">
        <f t="shared" si="64"/>
        <v>0</v>
      </c>
    </row>
    <row r="939" spans="1:12">
      <c r="A939" s="708">
        <v>463</v>
      </c>
      <c r="B939" s="708">
        <f t="shared" si="57"/>
        <v>0</v>
      </c>
      <c r="C939" s="708">
        <f t="shared" si="58"/>
        <v>0</v>
      </c>
      <c r="D939" s="708">
        <f t="shared" si="59"/>
        <v>0</v>
      </c>
      <c r="E939" s="708">
        <f t="shared" si="60"/>
        <v>0</v>
      </c>
      <c r="G939" s="708">
        <v>463</v>
      </c>
      <c r="H939" s="708">
        <f t="shared" si="61"/>
        <v>0</v>
      </c>
      <c r="I939" s="708">
        <f t="shared" si="62"/>
        <v>0</v>
      </c>
      <c r="J939" s="708">
        <f t="shared" si="63"/>
        <v>0</v>
      </c>
      <c r="K939" s="708">
        <f t="shared" si="64"/>
        <v>0</v>
      </c>
    </row>
    <row r="940" spans="1:12">
      <c r="A940" s="708">
        <v>464</v>
      </c>
      <c r="B940" s="708">
        <f t="shared" si="57"/>
        <v>0</v>
      </c>
      <c r="C940" s="708">
        <f t="shared" si="58"/>
        <v>0</v>
      </c>
      <c r="D940" s="708">
        <f t="shared" si="59"/>
        <v>0</v>
      </c>
      <c r="E940" s="708">
        <f t="shared" si="60"/>
        <v>0</v>
      </c>
      <c r="G940" s="708">
        <v>464</v>
      </c>
      <c r="H940" s="708">
        <f t="shared" si="61"/>
        <v>0</v>
      </c>
      <c r="I940" s="708">
        <f t="shared" si="62"/>
        <v>0</v>
      </c>
      <c r="J940" s="708">
        <f t="shared" si="63"/>
        <v>0</v>
      </c>
      <c r="K940" s="708">
        <f t="shared" si="64"/>
        <v>0</v>
      </c>
    </row>
    <row r="941" spans="1:12">
      <c r="A941" s="708">
        <v>465</v>
      </c>
      <c r="B941" s="708">
        <f t="shared" si="57"/>
        <v>0</v>
      </c>
      <c r="C941" s="708">
        <f t="shared" si="58"/>
        <v>0</v>
      </c>
      <c r="D941" s="708">
        <f t="shared" si="59"/>
        <v>0</v>
      </c>
      <c r="E941" s="708">
        <f t="shared" si="60"/>
        <v>0</v>
      </c>
      <c r="G941" s="708">
        <v>465</v>
      </c>
      <c r="H941" s="708">
        <f t="shared" si="61"/>
        <v>0</v>
      </c>
      <c r="I941" s="708">
        <f t="shared" si="62"/>
        <v>0</v>
      </c>
      <c r="J941" s="708">
        <f t="shared" si="63"/>
        <v>0</v>
      </c>
      <c r="K941" s="708">
        <f t="shared" si="64"/>
        <v>0</v>
      </c>
    </row>
    <row r="942" spans="1:12">
      <c r="A942" s="708">
        <v>466</v>
      </c>
      <c r="B942" s="708">
        <f t="shared" si="57"/>
        <v>0</v>
      </c>
      <c r="C942" s="708">
        <f t="shared" si="58"/>
        <v>0</v>
      </c>
      <c r="D942" s="708">
        <f t="shared" si="59"/>
        <v>0</v>
      </c>
      <c r="E942" s="708">
        <f t="shared" si="60"/>
        <v>0</v>
      </c>
      <c r="G942" s="708">
        <v>466</v>
      </c>
      <c r="H942" s="708">
        <f t="shared" si="61"/>
        <v>0</v>
      </c>
      <c r="I942" s="708">
        <f t="shared" si="62"/>
        <v>0</v>
      </c>
      <c r="J942" s="708">
        <f t="shared" si="63"/>
        <v>0</v>
      </c>
      <c r="K942" s="708">
        <f t="shared" si="64"/>
        <v>0</v>
      </c>
    </row>
    <row r="943" spans="1:12">
      <c r="A943" s="708">
        <v>467</v>
      </c>
      <c r="B943" s="708">
        <f t="shared" si="57"/>
        <v>0</v>
      </c>
      <c r="C943" s="708">
        <f t="shared" si="58"/>
        <v>0</v>
      </c>
      <c r="D943" s="708">
        <f t="shared" si="59"/>
        <v>0</v>
      </c>
      <c r="E943" s="708">
        <f t="shared" si="60"/>
        <v>0</v>
      </c>
      <c r="G943" s="708">
        <v>467</v>
      </c>
      <c r="H943" s="708">
        <f t="shared" si="61"/>
        <v>0</v>
      </c>
      <c r="I943" s="708">
        <f t="shared" si="62"/>
        <v>0</v>
      </c>
      <c r="J943" s="708">
        <f t="shared" si="63"/>
        <v>0</v>
      </c>
      <c r="K943" s="708">
        <f t="shared" si="64"/>
        <v>0</v>
      </c>
    </row>
    <row r="944" spans="1:12">
      <c r="A944" s="708">
        <v>468</v>
      </c>
      <c r="B944" s="708">
        <f t="shared" si="57"/>
        <v>0</v>
      </c>
      <c r="C944" s="708">
        <f t="shared" si="58"/>
        <v>0</v>
      </c>
      <c r="D944" s="708">
        <f t="shared" si="59"/>
        <v>0</v>
      </c>
      <c r="E944" s="708">
        <f t="shared" si="60"/>
        <v>0</v>
      </c>
      <c r="F944" s="708">
        <v>39</v>
      </c>
      <c r="G944" s="708">
        <v>468</v>
      </c>
      <c r="H944" s="708">
        <f t="shared" si="61"/>
        <v>0</v>
      </c>
      <c r="I944" s="708">
        <f t="shared" si="62"/>
        <v>0</v>
      </c>
      <c r="J944" s="708">
        <f t="shared" si="63"/>
        <v>0</v>
      </c>
      <c r="K944" s="708">
        <f t="shared" si="64"/>
        <v>0</v>
      </c>
      <c r="L944" s="708">
        <v>39</v>
      </c>
    </row>
    <row r="945" spans="1:12">
      <c r="A945" s="708">
        <v>469</v>
      </c>
      <c r="B945" s="708">
        <f t="shared" si="57"/>
        <v>0</v>
      </c>
      <c r="C945" s="708">
        <f t="shared" si="58"/>
        <v>0</v>
      </c>
      <c r="D945" s="708">
        <f t="shared" si="59"/>
        <v>0</v>
      </c>
      <c r="E945" s="708">
        <f t="shared" si="60"/>
        <v>0</v>
      </c>
      <c r="G945" s="708">
        <v>469</v>
      </c>
      <c r="H945" s="708">
        <f t="shared" si="61"/>
        <v>0</v>
      </c>
      <c r="I945" s="708">
        <f t="shared" si="62"/>
        <v>0</v>
      </c>
      <c r="J945" s="708">
        <f t="shared" si="63"/>
        <v>0</v>
      </c>
      <c r="K945" s="708">
        <f t="shared" si="64"/>
        <v>0</v>
      </c>
    </row>
    <row r="946" spans="1:12">
      <c r="A946" s="708">
        <v>470</v>
      </c>
      <c r="B946" s="708">
        <f t="shared" si="57"/>
        <v>0</v>
      </c>
      <c r="C946" s="708">
        <f t="shared" si="58"/>
        <v>0</v>
      </c>
      <c r="D946" s="708">
        <f t="shared" si="59"/>
        <v>0</v>
      </c>
      <c r="E946" s="708">
        <f t="shared" si="60"/>
        <v>0</v>
      </c>
      <c r="G946" s="708">
        <v>470</v>
      </c>
      <c r="H946" s="708">
        <f t="shared" si="61"/>
        <v>0</v>
      </c>
      <c r="I946" s="708">
        <f t="shared" si="62"/>
        <v>0</v>
      </c>
      <c r="J946" s="708">
        <f t="shared" si="63"/>
        <v>0</v>
      </c>
      <c r="K946" s="708">
        <f t="shared" si="64"/>
        <v>0</v>
      </c>
    </row>
    <row r="947" spans="1:12">
      <c r="A947" s="708">
        <v>471</v>
      </c>
      <c r="B947" s="708">
        <f t="shared" si="57"/>
        <v>0</v>
      </c>
      <c r="C947" s="708">
        <f t="shared" si="58"/>
        <v>0</v>
      </c>
      <c r="D947" s="708">
        <f t="shared" si="59"/>
        <v>0</v>
      </c>
      <c r="E947" s="708">
        <f t="shared" si="60"/>
        <v>0</v>
      </c>
      <c r="G947" s="708">
        <v>471</v>
      </c>
      <c r="H947" s="708">
        <f t="shared" si="61"/>
        <v>0</v>
      </c>
      <c r="I947" s="708">
        <f t="shared" si="62"/>
        <v>0</v>
      </c>
      <c r="J947" s="708">
        <f t="shared" si="63"/>
        <v>0</v>
      </c>
      <c r="K947" s="708">
        <f t="shared" si="64"/>
        <v>0</v>
      </c>
    </row>
    <row r="948" spans="1:12">
      <c r="A948" s="708">
        <v>472</v>
      </c>
      <c r="B948" s="708">
        <f t="shared" si="57"/>
        <v>0</v>
      </c>
      <c r="C948" s="708">
        <f t="shared" si="58"/>
        <v>0</v>
      </c>
      <c r="D948" s="708">
        <f t="shared" si="59"/>
        <v>0</v>
      </c>
      <c r="E948" s="708">
        <f t="shared" si="60"/>
        <v>0</v>
      </c>
      <c r="G948" s="708">
        <v>472</v>
      </c>
      <c r="H948" s="708">
        <f t="shared" si="61"/>
        <v>0</v>
      </c>
      <c r="I948" s="708">
        <f t="shared" si="62"/>
        <v>0</v>
      </c>
      <c r="J948" s="708">
        <f t="shared" si="63"/>
        <v>0</v>
      </c>
      <c r="K948" s="708">
        <f t="shared" si="64"/>
        <v>0</v>
      </c>
    </row>
    <row r="949" spans="1:12">
      <c r="A949" s="708">
        <v>473</v>
      </c>
      <c r="B949" s="708">
        <f t="shared" si="57"/>
        <v>0</v>
      </c>
      <c r="C949" s="708">
        <f t="shared" si="58"/>
        <v>0</v>
      </c>
      <c r="D949" s="708">
        <f t="shared" si="59"/>
        <v>0</v>
      </c>
      <c r="E949" s="708">
        <f t="shared" si="60"/>
        <v>0</v>
      </c>
      <c r="G949" s="708">
        <v>473</v>
      </c>
      <c r="H949" s="708">
        <f t="shared" si="61"/>
        <v>0</v>
      </c>
      <c r="I949" s="708">
        <f t="shared" si="62"/>
        <v>0</v>
      </c>
      <c r="J949" s="708">
        <f t="shared" si="63"/>
        <v>0</v>
      </c>
      <c r="K949" s="708">
        <f t="shared" si="64"/>
        <v>0</v>
      </c>
    </row>
    <row r="950" spans="1:12">
      <c r="A950" s="708">
        <v>474</v>
      </c>
      <c r="B950" s="708">
        <f t="shared" si="57"/>
        <v>0</v>
      </c>
      <c r="C950" s="708">
        <f t="shared" si="58"/>
        <v>0</v>
      </c>
      <c r="D950" s="708">
        <f t="shared" si="59"/>
        <v>0</v>
      </c>
      <c r="E950" s="708">
        <f t="shared" si="60"/>
        <v>0</v>
      </c>
      <c r="G950" s="708">
        <v>474</v>
      </c>
      <c r="H950" s="708">
        <f t="shared" si="61"/>
        <v>0</v>
      </c>
      <c r="I950" s="708">
        <f t="shared" si="62"/>
        <v>0</v>
      </c>
      <c r="J950" s="708">
        <f t="shared" si="63"/>
        <v>0</v>
      </c>
      <c r="K950" s="708">
        <f t="shared" si="64"/>
        <v>0</v>
      </c>
    </row>
    <row r="951" spans="1:12">
      <c r="A951" s="708">
        <v>475</v>
      </c>
      <c r="B951" s="708">
        <f t="shared" si="57"/>
        <v>0</v>
      </c>
      <c r="C951" s="708">
        <f t="shared" si="58"/>
        <v>0</v>
      </c>
      <c r="D951" s="708">
        <f t="shared" si="59"/>
        <v>0</v>
      </c>
      <c r="E951" s="708">
        <f t="shared" si="60"/>
        <v>0</v>
      </c>
      <c r="G951" s="708">
        <v>475</v>
      </c>
      <c r="H951" s="708">
        <f t="shared" si="61"/>
        <v>0</v>
      </c>
      <c r="I951" s="708">
        <f t="shared" si="62"/>
        <v>0</v>
      </c>
      <c r="J951" s="708">
        <f t="shared" si="63"/>
        <v>0</v>
      </c>
      <c r="K951" s="708">
        <f t="shared" si="64"/>
        <v>0</v>
      </c>
    </row>
    <row r="952" spans="1:12">
      <c r="A952" s="708">
        <v>476</v>
      </c>
      <c r="B952" s="708">
        <f t="shared" si="57"/>
        <v>0</v>
      </c>
      <c r="C952" s="708">
        <f t="shared" si="58"/>
        <v>0</v>
      </c>
      <c r="D952" s="708">
        <f t="shared" si="59"/>
        <v>0</v>
      </c>
      <c r="E952" s="708">
        <f t="shared" si="60"/>
        <v>0</v>
      </c>
      <c r="G952" s="708">
        <v>476</v>
      </c>
      <c r="H952" s="708">
        <f t="shared" si="61"/>
        <v>0</v>
      </c>
      <c r="I952" s="708">
        <f t="shared" si="62"/>
        <v>0</v>
      </c>
      <c r="J952" s="708">
        <f t="shared" si="63"/>
        <v>0</v>
      </c>
      <c r="K952" s="708">
        <f t="shared" si="64"/>
        <v>0</v>
      </c>
    </row>
    <row r="953" spans="1:12">
      <c r="A953" s="708">
        <v>477</v>
      </c>
      <c r="B953" s="708">
        <f t="shared" si="57"/>
        <v>0</v>
      </c>
      <c r="C953" s="708">
        <f t="shared" si="58"/>
        <v>0</v>
      </c>
      <c r="D953" s="708">
        <f t="shared" si="59"/>
        <v>0</v>
      </c>
      <c r="E953" s="708">
        <f t="shared" si="60"/>
        <v>0</v>
      </c>
      <c r="G953" s="708">
        <v>477</v>
      </c>
      <c r="H953" s="708">
        <f t="shared" si="61"/>
        <v>0</v>
      </c>
      <c r="I953" s="708">
        <f t="shared" si="62"/>
        <v>0</v>
      </c>
      <c r="J953" s="708">
        <f t="shared" si="63"/>
        <v>0</v>
      </c>
      <c r="K953" s="708">
        <f t="shared" si="64"/>
        <v>0</v>
      </c>
    </row>
    <row r="954" spans="1:12">
      <c r="A954" s="708">
        <v>478</v>
      </c>
      <c r="B954" s="708">
        <f t="shared" si="57"/>
        <v>0</v>
      </c>
      <c r="C954" s="708">
        <f t="shared" si="58"/>
        <v>0</v>
      </c>
      <c r="D954" s="708">
        <f t="shared" si="59"/>
        <v>0</v>
      </c>
      <c r="E954" s="708">
        <f t="shared" si="60"/>
        <v>0</v>
      </c>
      <c r="G954" s="708">
        <v>478</v>
      </c>
      <c r="H954" s="708">
        <f t="shared" si="61"/>
        <v>0</v>
      </c>
      <c r="I954" s="708">
        <f t="shared" si="62"/>
        <v>0</v>
      </c>
      <c r="J954" s="708">
        <f t="shared" si="63"/>
        <v>0</v>
      </c>
      <c r="K954" s="708">
        <f t="shared" si="64"/>
        <v>0</v>
      </c>
    </row>
    <row r="955" spans="1:12">
      <c r="A955" s="708">
        <v>479</v>
      </c>
      <c r="B955" s="708">
        <f t="shared" si="57"/>
        <v>0</v>
      </c>
      <c r="C955" s="708">
        <f t="shared" si="58"/>
        <v>0</v>
      </c>
      <c r="D955" s="708">
        <f t="shared" si="59"/>
        <v>0</v>
      </c>
      <c r="E955" s="708">
        <f t="shared" si="60"/>
        <v>0</v>
      </c>
      <c r="G955" s="708">
        <v>479</v>
      </c>
      <c r="H955" s="708">
        <f t="shared" si="61"/>
        <v>0</v>
      </c>
      <c r="I955" s="708">
        <f t="shared" si="62"/>
        <v>0</v>
      </c>
      <c r="J955" s="708">
        <f t="shared" si="63"/>
        <v>0</v>
      </c>
      <c r="K955" s="708">
        <f t="shared" si="64"/>
        <v>0</v>
      </c>
    </row>
    <row r="956" spans="1:12">
      <c r="A956" s="708">
        <v>480</v>
      </c>
      <c r="B956" s="708">
        <f t="shared" si="57"/>
        <v>0</v>
      </c>
      <c r="C956" s="708">
        <f t="shared" si="58"/>
        <v>0</v>
      </c>
      <c r="D956" s="708">
        <f t="shared" si="59"/>
        <v>0</v>
      </c>
      <c r="E956" s="708">
        <f t="shared" si="60"/>
        <v>0</v>
      </c>
      <c r="F956" s="708">
        <v>40</v>
      </c>
      <c r="G956" s="708">
        <v>480</v>
      </c>
      <c r="H956" s="708">
        <f t="shared" si="61"/>
        <v>0</v>
      </c>
      <c r="I956" s="708">
        <f t="shared" si="62"/>
        <v>0</v>
      </c>
      <c r="J956" s="708">
        <f t="shared" si="63"/>
        <v>0</v>
      </c>
      <c r="K956" s="708">
        <f t="shared" si="64"/>
        <v>0</v>
      </c>
      <c r="L956" s="708">
        <v>40</v>
      </c>
    </row>
    <row r="959" spans="1:12" ht="16.149999999999999" customHeight="1">
      <c r="A959" s="708" t="str">
        <f>CONCATENATE("PART III C  - HUD INSURED LOAN","  -  ",'Part I-Project Information'!$O$4," ",'Part I-Project Information'!$F$22,", ",'Part I-Project Information'!$F$24,", ",'Part I-Project Information'!$J$25," County")</f>
        <v>PART III C  - HUD INSURED LOAN  -  2011-044 Brentwood Place Apartments, Forsyth, Monroe County</v>
      </c>
    </row>
    <row r="961" spans="1:5" ht="15.6" customHeight="1">
      <c r="A961" s="708" t="s">
        <v>278</v>
      </c>
    </row>
    <row r="963" spans="1:5" ht="13.15" customHeight="1">
      <c r="A963" s="708" t="s">
        <v>3386</v>
      </c>
      <c r="D963" s="708">
        <f>'Part III C-HUD Insured Loan'!D5</f>
        <v>0</v>
      </c>
      <c r="E963" s="708" t="s">
        <v>1553</v>
      </c>
    </row>
    <row r="965" spans="1:5">
      <c r="A965" s="708" t="s">
        <v>3735</v>
      </c>
      <c r="C965" s="708" t="s">
        <v>3736</v>
      </c>
      <c r="D965" s="708">
        <f>'Part III C-HUD Insured Loan'!D7</f>
        <v>0</v>
      </c>
    </row>
    <row r="966" spans="1:5">
      <c r="C966" s="708" t="s">
        <v>3737</v>
      </c>
      <c r="D966" s="708">
        <f>'Part III C-HUD Insured Loan'!D8</f>
        <v>0</v>
      </c>
    </row>
    <row r="967" spans="1:5">
      <c r="C967" s="708" t="s">
        <v>3738</v>
      </c>
      <c r="D967" s="708">
        <f>'Part III C-HUD Insured Loan'!D9</f>
        <v>0</v>
      </c>
    </row>
    <row r="968" spans="1:5">
      <c r="C968" s="708" t="s">
        <v>3751</v>
      </c>
      <c r="D968" s="708">
        <f>D965+D966+D967</f>
        <v>0</v>
      </c>
    </row>
    <row r="970" spans="1:5">
      <c r="A970" s="708" t="s">
        <v>2742</v>
      </c>
      <c r="D970" s="708">
        <f>'Part III C-HUD Insured Loan'!D12</f>
        <v>0</v>
      </c>
      <c r="E970" s="708" t="s">
        <v>3231</v>
      </c>
    </row>
    <row r="972" spans="1:5">
      <c r="A972" s="708" t="s">
        <v>3740</v>
      </c>
      <c r="D972" s="708">
        <f>'Part III C-HUD Insured Loan'!D14</f>
        <v>0</v>
      </c>
      <c r="E972" s="708" t="s">
        <v>3741</v>
      </c>
    </row>
    <row r="974" spans="1:5">
      <c r="A974" s="708" t="s">
        <v>3742</v>
      </c>
      <c r="D974" s="708">
        <f>'Part III C-HUD Insured Loan'!D16</f>
        <v>0</v>
      </c>
      <c r="E974" s="708" t="s">
        <v>3741</v>
      </c>
    </row>
    <row r="976" spans="1:5">
      <c r="A976" s="708" t="s">
        <v>1526</v>
      </c>
      <c r="D976" s="708" t="e">
        <f>PMT(D968/12,D974*12,-D963,0,0)*12</f>
        <v>#DIV/0!</v>
      </c>
      <c r="E976" s="708" t="s">
        <v>2246</v>
      </c>
    </row>
    <row r="978" spans="1:6">
      <c r="A978" s="708" t="s">
        <v>2247</v>
      </c>
      <c r="D978" s="708" t="e">
        <f>D976/12</f>
        <v>#DIV/0!</v>
      </c>
      <c r="E978" s="708" t="s">
        <v>2246</v>
      </c>
    </row>
    <row r="982" spans="1:6" ht="18" customHeight="1">
      <c r="A982" s="708" t="s">
        <v>2743</v>
      </c>
    </row>
    <row r="984" spans="1:6">
      <c r="C984" s="708" t="s">
        <v>3385</v>
      </c>
      <c r="F984" s="708" t="s">
        <v>3385</v>
      </c>
    </row>
    <row r="985" spans="1:6">
      <c r="A985" s="708" t="s">
        <v>3753</v>
      </c>
      <c r="B985" s="708" t="s">
        <v>1647</v>
      </c>
      <c r="D985" s="708" t="s">
        <v>3753</v>
      </c>
      <c r="E985" s="708" t="s">
        <v>1647</v>
      </c>
    </row>
    <row r="986" spans="1:6">
      <c r="A986" s="708">
        <v>1</v>
      </c>
      <c r="B986" s="708">
        <f>IF(A986&gt;D972,0,E1013*$D$12)</f>
        <v>0</v>
      </c>
      <c r="C986" s="708">
        <f>IF(A986&gt;$D$14,0,$D$18+B986)</f>
        <v>0</v>
      </c>
      <c r="D986" s="708">
        <v>21</v>
      </c>
      <c r="E986" s="708">
        <f>IF(D986&gt;$D$14,0,E1253*$D$12)</f>
        <v>0</v>
      </c>
      <c r="F986" s="708">
        <f>IF(D986&gt;$D$14,0,$D$18+E986)</f>
        <v>0</v>
      </c>
    </row>
    <row r="987" spans="1:6">
      <c r="A987" s="708">
        <v>2</v>
      </c>
      <c r="B987" s="708">
        <f>IF(A987&gt;D972,0,E1025*$D$12)</f>
        <v>0</v>
      </c>
      <c r="C987" s="708">
        <f t="shared" ref="C987:C1005" si="65">IF(A987&gt;$D$14,0,$D$18+B987)</f>
        <v>0</v>
      </c>
      <c r="D987" s="708">
        <v>22</v>
      </c>
      <c r="E987" s="708">
        <f>IF(D987&gt;$D$14,0,E1265*$D$12)</f>
        <v>0</v>
      </c>
      <c r="F987" s="708">
        <f t="shared" ref="F987:F1005" si="66">IF(D987&gt;$D$14,0,$D$18+E987)</f>
        <v>0</v>
      </c>
    </row>
    <row r="988" spans="1:6">
      <c r="A988" s="708">
        <v>3</v>
      </c>
      <c r="B988" s="708">
        <f>IF(A988&gt;D972,0,E1037*$D$12)</f>
        <v>0</v>
      </c>
      <c r="C988" s="708">
        <f t="shared" si="65"/>
        <v>0</v>
      </c>
      <c r="D988" s="708">
        <v>23</v>
      </c>
      <c r="E988" s="708">
        <f>IF(D988&gt;$D$14,0,E1277*$D$12)</f>
        <v>0</v>
      </c>
      <c r="F988" s="708">
        <f t="shared" si="66"/>
        <v>0</v>
      </c>
    </row>
    <row r="989" spans="1:6">
      <c r="A989" s="708">
        <v>4</v>
      </c>
      <c r="B989" s="708">
        <f>IF(A989&gt;D972,0,E1049*$D$12)</f>
        <v>0</v>
      </c>
      <c r="C989" s="708">
        <f t="shared" si="65"/>
        <v>0</v>
      </c>
      <c r="D989" s="708">
        <v>24</v>
      </c>
      <c r="E989" s="708">
        <f>IF(D989&gt;$D$14,0,E1289*$D$12)</f>
        <v>0</v>
      </c>
      <c r="F989" s="708">
        <f t="shared" si="66"/>
        <v>0</v>
      </c>
    </row>
    <row r="990" spans="1:6">
      <c r="A990" s="708">
        <v>5</v>
      </c>
      <c r="B990" s="708">
        <f>IF(A990&gt;D972,0,E1061*$D$12)</f>
        <v>0</v>
      </c>
      <c r="C990" s="708">
        <f t="shared" si="65"/>
        <v>0</v>
      </c>
      <c r="D990" s="708">
        <v>25</v>
      </c>
      <c r="E990" s="708">
        <f>IF(D990&gt;$D$14,0,E1301*$D$12)</f>
        <v>0</v>
      </c>
      <c r="F990" s="708">
        <f t="shared" si="66"/>
        <v>0</v>
      </c>
    </row>
    <row r="991" spans="1:6">
      <c r="A991" s="708">
        <v>6</v>
      </c>
      <c r="B991" s="708">
        <f>IF(A991&gt;D972,0,E1073*$D$12)</f>
        <v>0</v>
      </c>
      <c r="C991" s="708">
        <f t="shared" si="65"/>
        <v>0</v>
      </c>
      <c r="D991" s="708">
        <v>26</v>
      </c>
      <c r="E991" s="708">
        <f>IF(D991&gt;$D$14,0,E1313*$D$12)</f>
        <v>0</v>
      </c>
      <c r="F991" s="708">
        <f t="shared" si="66"/>
        <v>0</v>
      </c>
    </row>
    <row r="992" spans="1:6">
      <c r="A992" s="708">
        <v>7</v>
      </c>
      <c r="B992" s="708">
        <f>IF(A992&gt;D972,0,E1085*$D$12)</f>
        <v>0</v>
      </c>
      <c r="C992" s="708">
        <f t="shared" si="65"/>
        <v>0</v>
      </c>
      <c r="D992" s="708">
        <v>27</v>
      </c>
      <c r="E992" s="708">
        <f>IF(D992&gt;$D$14,0,E1325*$D$12)</f>
        <v>0</v>
      </c>
      <c r="F992" s="708">
        <f t="shared" si="66"/>
        <v>0</v>
      </c>
    </row>
    <row r="993" spans="1:6">
      <c r="A993" s="708">
        <v>8</v>
      </c>
      <c r="B993" s="708">
        <f>IF(A993&gt;D972,0,E1097*$D$12)</f>
        <v>0</v>
      </c>
      <c r="C993" s="708">
        <f t="shared" si="65"/>
        <v>0</v>
      </c>
      <c r="D993" s="708">
        <v>28</v>
      </c>
      <c r="E993" s="708">
        <f>IF(D993&gt;$D$14,0,E1337*$D$12)</f>
        <v>0</v>
      </c>
      <c r="F993" s="708">
        <f t="shared" si="66"/>
        <v>0</v>
      </c>
    </row>
    <row r="994" spans="1:6">
      <c r="A994" s="708">
        <v>9</v>
      </c>
      <c r="B994" s="708">
        <f>IF(A994&gt;D972,0,E1109*$D$12)</f>
        <v>0</v>
      </c>
      <c r="C994" s="708">
        <f t="shared" si="65"/>
        <v>0</v>
      </c>
      <c r="D994" s="708">
        <v>29</v>
      </c>
      <c r="E994" s="708">
        <f>IF(D994&gt;$D$14,0,E1349*$D$12)</f>
        <v>0</v>
      </c>
      <c r="F994" s="708">
        <f t="shared" si="66"/>
        <v>0</v>
      </c>
    </row>
    <row r="995" spans="1:6">
      <c r="A995" s="708">
        <v>10</v>
      </c>
      <c r="B995" s="708">
        <f>IF(A995&gt;D972,0,E1121*$D$12)</f>
        <v>0</v>
      </c>
      <c r="C995" s="708">
        <f t="shared" si="65"/>
        <v>0</v>
      </c>
      <c r="D995" s="708">
        <v>30</v>
      </c>
      <c r="E995" s="708">
        <f>IF(D995&gt;$D$14,0,E1361*$D$12)</f>
        <v>0</v>
      </c>
      <c r="F995" s="708">
        <f t="shared" si="66"/>
        <v>0</v>
      </c>
    </row>
    <row r="996" spans="1:6">
      <c r="A996" s="708">
        <v>11</v>
      </c>
      <c r="B996" s="708">
        <f>IF(A996&gt;D972,0,E1133*$D$12)</f>
        <v>0</v>
      </c>
      <c r="C996" s="708">
        <f t="shared" si="65"/>
        <v>0</v>
      </c>
      <c r="D996" s="708">
        <v>31</v>
      </c>
      <c r="E996" s="708">
        <f>IF(D996&gt;$D$14,0,E1373*$D$12)</f>
        <v>0</v>
      </c>
      <c r="F996" s="708">
        <f t="shared" si="66"/>
        <v>0</v>
      </c>
    </row>
    <row r="997" spans="1:6">
      <c r="A997" s="708">
        <v>12</v>
      </c>
      <c r="B997" s="708">
        <f>IF(A997&gt;D972,0,E1145*$D$12)</f>
        <v>0</v>
      </c>
      <c r="C997" s="708">
        <f t="shared" si="65"/>
        <v>0</v>
      </c>
      <c r="D997" s="708">
        <v>32</v>
      </c>
      <c r="E997" s="708">
        <f>IF(D997&gt;$D$14,0,E1385*$D$12)</f>
        <v>0</v>
      </c>
      <c r="F997" s="708">
        <f t="shared" si="66"/>
        <v>0</v>
      </c>
    </row>
    <row r="998" spans="1:6">
      <c r="A998" s="708">
        <v>13</v>
      </c>
      <c r="B998" s="708">
        <f>IF(A998&gt;D972,0,E1157*$D$12)</f>
        <v>0</v>
      </c>
      <c r="C998" s="708">
        <f t="shared" si="65"/>
        <v>0</v>
      </c>
      <c r="D998" s="708">
        <v>33</v>
      </c>
      <c r="E998" s="708">
        <f>IF(D998&gt;$D$14,0,E1397*$D$12)</f>
        <v>0</v>
      </c>
      <c r="F998" s="708">
        <f t="shared" si="66"/>
        <v>0</v>
      </c>
    </row>
    <row r="999" spans="1:6">
      <c r="A999" s="708">
        <v>14</v>
      </c>
      <c r="B999" s="708">
        <f>IF(A999&gt;D972,0,E1169*$D$12)</f>
        <v>0</v>
      </c>
      <c r="C999" s="708">
        <f t="shared" si="65"/>
        <v>0</v>
      </c>
      <c r="D999" s="708">
        <v>34</v>
      </c>
      <c r="E999" s="708">
        <f>IF(D999&gt;$D$14,0,E1409*$D$12)</f>
        <v>0</v>
      </c>
      <c r="F999" s="708">
        <f t="shared" si="66"/>
        <v>0</v>
      </c>
    </row>
    <row r="1000" spans="1:6">
      <c r="A1000" s="708">
        <v>15</v>
      </c>
      <c r="B1000" s="708">
        <f>IF(A1000&gt;D972,0,E1181*$D$12)</f>
        <v>0</v>
      </c>
      <c r="C1000" s="708">
        <f t="shared" si="65"/>
        <v>0</v>
      </c>
      <c r="D1000" s="708">
        <v>35</v>
      </c>
      <c r="E1000" s="708">
        <f>IF(D1000&gt;$D$14,0,E1421*$D$12)</f>
        <v>0</v>
      </c>
      <c r="F1000" s="708">
        <f t="shared" si="66"/>
        <v>0</v>
      </c>
    </row>
    <row r="1001" spans="1:6">
      <c r="A1001" s="708">
        <v>16</v>
      </c>
      <c r="B1001" s="708">
        <f>IF(A1001&gt;D972,0,E1193*$D$12)</f>
        <v>0</v>
      </c>
      <c r="C1001" s="708">
        <f t="shared" si="65"/>
        <v>0</v>
      </c>
      <c r="D1001" s="708">
        <v>36</v>
      </c>
      <c r="E1001" s="708">
        <f>IF(D1001&gt;$D$14,0,E1433*$D$12)</f>
        <v>0</v>
      </c>
      <c r="F1001" s="708">
        <f t="shared" si="66"/>
        <v>0</v>
      </c>
    </row>
    <row r="1002" spans="1:6">
      <c r="A1002" s="708">
        <v>17</v>
      </c>
      <c r="B1002" s="708">
        <f>IF(A1002&gt;D972,0,E1205*$D$12)</f>
        <v>0</v>
      </c>
      <c r="C1002" s="708">
        <f t="shared" si="65"/>
        <v>0</v>
      </c>
      <c r="D1002" s="708">
        <v>37</v>
      </c>
      <c r="E1002" s="708">
        <f>IF(D1002&gt;$D$14,0,E1445*$D$12)</f>
        <v>0</v>
      </c>
      <c r="F1002" s="708">
        <f t="shared" si="66"/>
        <v>0</v>
      </c>
    </row>
    <row r="1003" spans="1:6">
      <c r="A1003" s="708">
        <v>18</v>
      </c>
      <c r="B1003" s="708">
        <f>IF(A1003&gt;D972,0,E1217*$D$12)</f>
        <v>0</v>
      </c>
      <c r="C1003" s="708">
        <f t="shared" si="65"/>
        <v>0</v>
      </c>
      <c r="D1003" s="708">
        <v>38</v>
      </c>
      <c r="E1003" s="708">
        <f>IF(D1003&gt;$D$14,0,E1457*$D$12)</f>
        <v>0</v>
      </c>
      <c r="F1003" s="708">
        <f t="shared" si="66"/>
        <v>0</v>
      </c>
    </row>
    <row r="1004" spans="1:6">
      <c r="A1004" s="708">
        <v>19</v>
      </c>
      <c r="B1004" s="708">
        <f>IF(A1004&gt;D972,0,E1229*$D$12)</f>
        <v>0</v>
      </c>
      <c r="C1004" s="708">
        <f t="shared" si="65"/>
        <v>0</v>
      </c>
      <c r="D1004" s="708">
        <v>39</v>
      </c>
      <c r="E1004" s="708">
        <f>IF(D1004&gt;$D$14,0,E1469*$D$12)</f>
        <v>0</v>
      </c>
      <c r="F1004" s="708">
        <f t="shared" si="66"/>
        <v>0</v>
      </c>
    </row>
    <row r="1005" spans="1:6">
      <c r="A1005" s="708">
        <v>20</v>
      </c>
      <c r="B1005" s="708">
        <f>IF(A1005&gt;D972,0,E1241*$D$12)</f>
        <v>0</v>
      </c>
      <c r="C1005" s="708">
        <f t="shared" si="65"/>
        <v>0</v>
      </c>
      <c r="D1005" s="708">
        <v>40</v>
      </c>
      <c r="E1005" s="708">
        <f>IF(D1005&gt;$D$14,0,E1481*$D$12)</f>
        <v>0</v>
      </c>
      <c r="F1005" s="708">
        <f t="shared" si="66"/>
        <v>0</v>
      </c>
    </row>
    <row r="1008" spans="1:6" ht="13.9" customHeight="1">
      <c r="A1008" s="708" t="str">
        <f>CONCATENATE('Part I-Project Information'!$O$4," ",'Part I-Project Information'!$F$22,", ",'Part I-Project Information'!$F$24,", ",'Part I-Project Information'!$J$25," County")</f>
        <v>2011-044 Brentwood Place Apartments, Forsyth, Monroe County</v>
      </c>
    </row>
    <row r="1009" spans="1:6">
      <c r="A1009" s="708" t="s">
        <v>3743</v>
      </c>
    </row>
    <row r="1010" spans="1:6" ht="5.45" customHeight="1"/>
    <row r="1011" spans="1:6">
      <c r="A1011" s="708" t="s">
        <v>3744</v>
      </c>
      <c r="B1011" s="708" t="s">
        <v>3745</v>
      </c>
      <c r="C1011" s="708" t="s">
        <v>1995</v>
      </c>
      <c r="D1011" s="708" t="s">
        <v>3746</v>
      </c>
      <c r="E1011" s="708" t="s">
        <v>3747</v>
      </c>
      <c r="F1011" s="708" t="s">
        <v>3753</v>
      </c>
    </row>
    <row r="1012" spans="1:6" ht="3.6" customHeight="1"/>
    <row r="1013" spans="1:6">
      <c r="A1013" s="708" t="s">
        <v>3748</v>
      </c>
      <c r="E1013" s="708">
        <f>D963</f>
        <v>0</v>
      </c>
    </row>
    <row r="1014" spans="1:6">
      <c r="A1014" s="708">
        <v>1</v>
      </c>
      <c r="B1014" s="708">
        <f t="shared" ref="B1014:B1077" si="67">IF(A1014&gt;12*$D$14,0,$D$20)</f>
        <v>0</v>
      </c>
      <c r="C1014" s="708">
        <f t="shared" ref="C1014:C1077" si="68">IF(A1014&gt;12*$D$14,0,E1013*$D$10/12)</f>
        <v>0</v>
      </c>
      <c r="D1014" s="708">
        <f t="shared" ref="D1014:D1077" si="69">IF(A1014&gt;12*$D$14,0,B1014-C1014)</f>
        <v>0</v>
      </c>
      <c r="E1014" s="708">
        <f t="shared" ref="E1014:E1077" si="70">IF(A1014&gt;12*$D$14,0,E1013-D1014)</f>
        <v>0</v>
      </c>
    </row>
    <row r="1015" spans="1:6">
      <c r="A1015" s="708">
        <v>2</v>
      </c>
      <c r="B1015" s="708">
        <f t="shared" si="67"/>
        <v>0</v>
      </c>
      <c r="C1015" s="708">
        <f t="shared" si="68"/>
        <v>0</v>
      </c>
      <c r="D1015" s="708">
        <f t="shared" si="69"/>
        <v>0</v>
      </c>
      <c r="E1015" s="708">
        <f t="shared" si="70"/>
        <v>0</v>
      </c>
    </row>
    <row r="1016" spans="1:6">
      <c r="A1016" s="708">
        <v>3</v>
      </c>
      <c r="B1016" s="708">
        <f t="shared" si="67"/>
        <v>0</v>
      </c>
      <c r="C1016" s="708">
        <f t="shared" si="68"/>
        <v>0</v>
      </c>
      <c r="D1016" s="708">
        <f t="shared" si="69"/>
        <v>0</v>
      </c>
      <c r="E1016" s="708">
        <f t="shared" si="70"/>
        <v>0</v>
      </c>
    </row>
    <row r="1017" spans="1:6">
      <c r="A1017" s="708">
        <v>4</v>
      </c>
      <c r="B1017" s="708">
        <f t="shared" si="67"/>
        <v>0</v>
      </c>
      <c r="C1017" s="708">
        <f t="shared" si="68"/>
        <v>0</v>
      </c>
      <c r="D1017" s="708">
        <f t="shared" si="69"/>
        <v>0</v>
      </c>
      <c r="E1017" s="708">
        <f t="shared" si="70"/>
        <v>0</v>
      </c>
    </row>
    <row r="1018" spans="1:6">
      <c r="A1018" s="708">
        <v>5</v>
      </c>
      <c r="B1018" s="708">
        <f t="shared" si="67"/>
        <v>0</v>
      </c>
      <c r="C1018" s="708">
        <f t="shared" si="68"/>
        <v>0</v>
      </c>
      <c r="D1018" s="708">
        <f t="shared" si="69"/>
        <v>0</v>
      </c>
      <c r="E1018" s="708">
        <f t="shared" si="70"/>
        <v>0</v>
      </c>
    </row>
    <row r="1019" spans="1:6">
      <c r="A1019" s="708">
        <v>6</v>
      </c>
      <c r="B1019" s="708">
        <f t="shared" si="67"/>
        <v>0</v>
      </c>
      <c r="C1019" s="708">
        <f t="shared" si="68"/>
        <v>0</v>
      </c>
      <c r="D1019" s="708">
        <f t="shared" si="69"/>
        <v>0</v>
      </c>
      <c r="E1019" s="708">
        <f t="shared" si="70"/>
        <v>0</v>
      </c>
    </row>
    <row r="1020" spans="1:6">
      <c r="A1020" s="708">
        <v>7</v>
      </c>
      <c r="B1020" s="708">
        <f t="shared" si="67"/>
        <v>0</v>
      </c>
      <c r="C1020" s="708">
        <f t="shared" si="68"/>
        <v>0</v>
      </c>
      <c r="D1020" s="708">
        <f t="shared" si="69"/>
        <v>0</v>
      </c>
      <c r="E1020" s="708">
        <f t="shared" si="70"/>
        <v>0</v>
      </c>
    </row>
    <row r="1021" spans="1:6">
      <c r="A1021" s="708">
        <v>8</v>
      </c>
      <c r="B1021" s="708">
        <f t="shared" si="67"/>
        <v>0</v>
      </c>
      <c r="C1021" s="708">
        <f t="shared" si="68"/>
        <v>0</v>
      </c>
      <c r="D1021" s="708">
        <f t="shared" si="69"/>
        <v>0</v>
      </c>
      <c r="E1021" s="708">
        <f t="shared" si="70"/>
        <v>0</v>
      </c>
    </row>
    <row r="1022" spans="1:6">
      <c r="A1022" s="708">
        <v>9</v>
      </c>
      <c r="B1022" s="708">
        <f t="shared" si="67"/>
        <v>0</v>
      </c>
      <c r="C1022" s="708">
        <f t="shared" si="68"/>
        <v>0</v>
      </c>
      <c r="D1022" s="708">
        <f t="shared" si="69"/>
        <v>0</v>
      </c>
      <c r="E1022" s="708">
        <f t="shared" si="70"/>
        <v>0</v>
      </c>
    </row>
    <row r="1023" spans="1:6">
      <c r="A1023" s="708">
        <v>10</v>
      </c>
      <c r="B1023" s="708">
        <f t="shared" si="67"/>
        <v>0</v>
      </c>
      <c r="C1023" s="708">
        <f t="shared" si="68"/>
        <v>0</v>
      </c>
      <c r="D1023" s="708">
        <f t="shared" si="69"/>
        <v>0</v>
      </c>
      <c r="E1023" s="708">
        <f t="shared" si="70"/>
        <v>0</v>
      </c>
    </row>
    <row r="1024" spans="1:6">
      <c r="A1024" s="708">
        <v>11</v>
      </c>
      <c r="B1024" s="708">
        <f t="shared" si="67"/>
        <v>0</v>
      </c>
      <c r="C1024" s="708">
        <f t="shared" si="68"/>
        <v>0</v>
      </c>
      <c r="D1024" s="708">
        <f t="shared" si="69"/>
        <v>0</v>
      </c>
      <c r="E1024" s="708">
        <f t="shared" si="70"/>
        <v>0</v>
      </c>
    </row>
    <row r="1025" spans="1:6">
      <c r="A1025" s="708">
        <v>12</v>
      </c>
      <c r="B1025" s="708">
        <f t="shared" si="67"/>
        <v>0</v>
      </c>
      <c r="C1025" s="708">
        <f t="shared" si="68"/>
        <v>0</v>
      </c>
      <c r="D1025" s="708">
        <f t="shared" si="69"/>
        <v>0</v>
      </c>
      <c r="E1025" s="708">
        <f t="shared" si="70"/>
        <v>0</v>
      </c>
      <c r="F1025" s="708">
        <v>1</v>
      </c>
    </row>
    <row r="1026" spans="1:6">
      <c r="A1026" s="708">
        <v>13</v>
      </c>
      <c r="B1026" s="708">
        <f t="shared" si="67"/>
        <v>0</v>
      </c>
      <c r="C1026" s="708">
        <f t="shared" si="68"/>
        <v>0</v>
      </c>
      <c r="D1026" s="708">
        <f t="shared" si="69"/>
        <v>0</v>
      </c>
      <c r="E1026" s="708">
        <f t="shared" si="70"/>
        <v>0</v>
      </c>
    </row>
    <row r="1027" spans="1:6">
      <c r="A1027" s="708">
        <v>14</v>
      </c>
      <c r="B1027" s="708">
        <f t="shared" si="67"/>
        <v>0</v>
      </c>
      <c r="C1027" s="708">
        <f t="shared" si="68"/>
        <v>0</v>
      </c>
      <c r="D1027" s="708">
        <f t="shared" si="69"/>
        <v>0</v>
      </c>
      <c r="E1027" s="708">
        <f t="shared" si="70"/>
        <v>0</v>
      </c>
    </row>
    <row r="1028" spans="1:6">
      <c r="A1028" s="708">
        <v>15</v>
      </c>
      <c r="B1028" s="708">
        <f t="shared" si="67"/>
        <v>0</v>
      </c>
      <c r="C1028" s="708">
        <f t="shared" si="68"/>
        <v>0</v>
      </c>
      <c r="D1028" s="708">
        <f t="shared" si="69"/>
        <v>0</v>
      </c>
      <c r="E1028" s="708">
        <f t="shared" si="70"/>
        <v>0</v>
      </c>
    </row>
    <row r="1029" spans="1:6">
      <c r="A1029" s="708">
        <v>16</v>
      </c>
      <c r="B1029" s="708">
        <f t="shared" si="67"/>
        <v>0</v>
      </c>
      <c r="C1029" s="708">
        <f t="shared" si="68"/>
        <v>0</v>
      </c>
      <c r="D1029" s="708">
        <f t="shared" si="69"/>
        <v>0</v>
      </c>
      <c r="E1029" s="708">
        <f t="shared" si="70"/>
        <v>0</v>
      </c>
    </row>
    <row r="1030" spans="1:6">
      <c r="A1030" s="708">
        <v>17</v>
      </c>
      <c r="B1030" s="708">
        <f t="shared" si="67"/>
        <v>0</v>
      </c>
      <c r="C1030" s="708">
        <f t="shared" si="68"/>
        <v>0</v>
      </c>
      <c r="D1030" s="708">
        <f t="shared" si="69"/>
        <v>0</v>
      </c>
      <c r="E1030" s="708">
        <f t="shared" si="70"/>
        <v>0</v>
      </c>
    </row>
    <row r="1031" spans="1:6">
      <c r="A1031" s="708">
        <v>18</v>
      </c>
      <c r="B1031" s="708">
        <f t="shared" si="67"/>
        <v>0</v>
      </c>
      <c r="C1031" s="708">
        <f t="shared" si="68"/>
        <v>0</v>
      </c>
      <c r="D1031" s="708">
        <f t="shared" si="69"/>
        <v>0</v>
      </c>
      <c r="E1031" s="708">
        <f t="shared" si="70"/>
        <v>0</v>
      </c>
    </row>
    <row r="1032" spans="1:6">
      <c r="A1032" s="708">
        <v>19</v>
      </c>
      <c r="B1032" s="708">
        <f t="shared" si="67"/>
        <v>0</v>
      </c>
      <c r="C1032" s="708">
        <f t="shared" si="68"/>
        <v>0</v>
      </c>
      <c r="D1032" s="708">
        <f t="shared" si="69"/>
        <v>0</v>
      </c>
      <c r="E1032" s="708">
        <f t="shared" si="70"/>
        <v>0</v>
      </c>
    </row>
    <row r="1033" spans="1:6">
      <c r="A1033" s="708">
        <v>20</v>
      </c>
      <c r="B1033" s="708">
        <f t="shared" si="67"/>
        <v>0</v>
      </c>
      <c r="C1033" s="708">
        <f t="shared" si="68"/>
        <v>0</v>
      </c>
      <c r="D1033" s="708">
        <f t="shared" si="69"/>
        <v>0</v>
      </c>
      <c r="E1033" s="708">
        <f t="shared" si="70"/>
        <v>0</v>
      </c>
    </row>
    <row r="1034" spans="1:6">
      <c r="A1034" s="708">
        <v>21</v>
      </c>
      <c r="B1034" s="708">
        <f t="shared" si="67"/>
        <v>0</v>
      </c>
      <c r="C1034" s="708">
        <f t="shared" si="68"/>
        <v>0</v>
      </c>
      <c r="D1034" s="708">
        <f t="shared" si="69"/>
        <v>0</v>
      </c>
      <c r="E1034" s="708">
        <f t="shared" si="70"/>
        <v>0</v>
      </c>
    </row>
    <row r="1035" spans="1:6">
      <c r="A1035" s="708">
        <v>22</v>
      </c>
      <c r="B1035" s="708">
        <f t="shared" si="67"/>
        <v>0</v>
      </c>
      <c r="C1035" s="708">
        <f t="shared" si="68"/>
        <v>0</v>
      </c>
      <c r="D1035" s="708">
        <f t="shared" si="69"/>
        <v>0</v>
      </c>
      <c r="E1035" s="708">
        <f t="shared" si="70"/>
        <v>0</v>
      </c>
    </row>
    <row r="1036" spans="1:6">
      <c r="A1036" s="708">
        <v>23</v>
      </c>
      <c r="B1036" s="708">
        <f t="shared" si="67"/>
        <v>0</v>
      </c>
      <c r="C1036" s="708">
        <f t="shared" si="68"/>
        <v>0</v>
      </c>
      <c r="D1036" s="708">
        <f t="shared" si="69"/>
        <v>0</v>
      </c>
      <c r="E1036" s="708">
        <f t="shared" si="70"/>
        <v>0</v>
      </c>
    </row>
    <row r="1037" spans="1:6">
      <c r="A1037" s="708">
        <v>24</v>
      </c>
      <c r="B1037" s="708">
        <f t="shared" si="67"/>
        <v>0</v>
      </c>
      <c r="C1037" s="708">
        <f t="shared" si="68"/>
        <v>0</v>
      </c>
      <c r="D1037" s="708">
        <f t="shared" si="69"/>
        <v>0</v>
      </c>
      <c r="E1037" s="708">
        <f t="shared" si="70"/>
        <v>0</v>
      </c>
      <c r="F1037" s="708">
        <v>2</v>
      </c>
    </row>
    <row r="1038" spans="1:6">
      <c r="A1038" s="708">
        <v>25</v>
      </c>
      <c r="B1038" s="708">
        <f t="shared" si="67"/>
        <v>0</v>
      </c>
      <c r="C1038" s="708">
        <f t="shared" si="68"/>
        <v>0</v>
      </c>
      <c r="D1038" s="708">
        <f t="shared" si="69"/>
        <v>0</v>
      </c>
      <c r="E1038" s="708">
        <f t="shared" si="70"/>
        <v>0</v>
      </c>
    </row>
    <row r="1039" spans="1:6">
      <c r="A1039" s="708">
        <v>26</v>
      </c>
      <c r="B1039" s="708">
        <f t="shared" si="67"/>
        <v>0</v>
      </c>
      <c r="C1039" s="708">
        <f t="shared" si="68"/>
        <v>0</v>
      </c>
      <c r="D1039" s="708">
        <f t="shared" si="69"/>
        <v>0</v>
      </c>
      <c r="E1039" s="708">
        <f t="shared" si="70"/>
        <v>0</v>
      </c>
    </row>
    <row r="1040" spans="1:6">
      <c r="A1040" s="708">
        <v>27</v>
      </c>
      <c r="B1040" s="708">
        <f t="shared" si="67"/>
        <v>0</v>
      </c>
      <c r="C1040" s="708">
        <f t="shared" si="68"/>
        <v>0</v>
      </c>
      <c r="D1040" s="708">
        <f t="shared" si="69"/>
        <v>0</v>
      </c>
      <c r="E1040" s="708">
        <f t="shared" si="70"/>
        <v>0</v>
      </c>
    </row>
    <row r="1041" spans="1:6">
      <c r="A1041" s="708">
        <v>28</v>
      </c>
      <c r="B1041" s="708">
        <f t="shared" si="67"/>
        <v>0</v>
      </c>
      <c r="C1041" s="708">
        <f t="shared" si="68"/>
        <v>0</v>
      </c>
      <c r="D1041" s="708">
        <f t="shared" si="69"/>
        <v>0</v>
      </c>
      <c r="E1041" s="708">
        <f t="shared" si="70"/>
        <v>0</v>
      </c>
    </row>
    <row r="1042" spans="1:6">
      <c r="A1042" s="708">
        <v>29</v>
      </c>
      <c r="B1042" s="708">
        <f t="shared" si="67"/>
        <v>0</v>
      </c>
      <c r="C1042" s="708">
        <f t="shared" si="68"/>
        <v>0</v>
      </c>
      <c r="D1042" s="708">
        <f t="shared" si="69"/>
        <v>0</v>
      </c>
      <c r="E1042" s="708">
        <f t="shared" si="70"/>
        <v>0</v>
      </c>
    </row>
    <row r="1043" spans="1:6">
      <c r="A1043" s="708">
        <v>30</v>
      </c>
      <c r="B1043" s="708">
        <f t="shared" si="67"/>
        <v>0</v>
      </c>
      <c r="C1043" s="708">
        <f t="shared" si="68"/>
        <v>0</v>
      </c>
      <c r="D1043" s="708">
        <f t="shared" si="69"/>
        <v>0</v>
      </c>
      <c r="E1043" s="708">
        <f t="shared" si="70"/>
        <v>0</v>
      </c>
    </row>
    <row r="1044" spans="1:6">
      <c r="A1044" s="708">
        <v>31</v>
      </c>
      <c r="B1044" s="708">
        <f t="shared" si="67"/>
        <v>0</v>
      </c>
      <c r="C1044" s="708">
        <f t="shared" si="68"/>
        <v>0</v>
      </c>
      <c r="D1044" s="708">
        <f t="shared" si="69"/>
        <v>0</v>
      </c>
      <c r="E1044" s="708">
        <f t="shared" si="70"/>
        <v>0</v>
      </c>
    </row>
    <row r="1045" spans="1:6">
      <c r="A1045" s="708">
        <v>32</v>
      </c>
      <c r="B1045" s="708">
        <f t="shared" si="67"/>
        <v>0</v>
      </c>
      <c r="C1045" s="708">
        <f t="shared" si="68"/>
        <v>0</v>
      </c>
      <c r="D1045" s="708">
        <f t="shared" si="69"/>
        <v>0</v>
      </c>
      <c r="E1045" s="708">
        <f t="shared" si="70"/>
        <v>0</v>
      </c>
    </row>
    <row r="1046" spans="1:6">
      <c r="A1046" s="708">
        <v>33</v>
      </c>
      <c r="B1046" s="708">
        <f t="shared" si="67"/>
        <v>0</v>
      </c>
      <c r="C1046" s="708">
        <f t="shared" si="68"/>
        <v>0</v>
      </c>
      <c r="D1046" s="708">
        <f t="shared" si="69"/>
        <v>0</v>
      </c>
      <c r="E1046" s="708">
        <f t="shared" si="70"/>
        <v>0</v>
      </c>
    </row>
    <row r="1047" spans="1:6">
      <c r="A1047" s="708">
        <v>34</v>
      </c>
      <c r="B1047" s="708">
        <f t="shared" si="67"/>
        <v>0</v>
      </c>
      <c r="C1047" s="708">
        <f t="shared" si="68"/>
        <v>0</v>
      </c>
      <c r="D1047" s="708">
        <f t="shared" si="69"/>
        <v>0</v>
      </c>
      <c r="E1047" s="708">
        <f t="shared" si="70"/>
        <v>0</v>
      </c>
    </row>
    <row r="1048" spans="1:6">
      <c r="A1048" s="708">
        <v>35</v>
      </c>
      <c r="B1048" s="708">
        <f t="shared" si="67"/>
        <v>0</v>
      </c>
      <c r="C1048" s="708">
        <f t="shared" si="68"/>
        <v>0</v>
      </c>
      <c r="D1048" s="708">
        <f t="shared" si="69"/>
        <v>0</v>
      </c>
      <c r="E1048" s="708">
        <f t="shared" si="70"/>
        <v>0</v>
      </c>
    </row>
    <row r="1049" spans="1:6">
      <c r="A1049" s="708">
        <v>36</v>
      </c>
      <c r="B1049" s="708">
        <f t="shared" si="67"/>
        <v>0</v>
      </c>
      <c r="C1049" s="708">
        <f t="shared" si="68"/>
        <v>0</v>
      </c>
      <c r="D1049" s="708">
        <f t="shared" si="69"/>
        <v>0</v>
      </c>
      <c r="E1049" s="708">
        <f t="shared" si="70"/>
        <v>0</v>
      </c>
      <c r="F1049" s="708">
        <v>3</v>
      </c>
    </row>
    <row r="1050" spans="1:6">
      <c r="A1050" s="708">
        <v>37</v>
      </c>
      <c r="B1050" s="708">
        <f t="shared" si="67"/>
        <v>0</v>
      </c>
      <c r="C1050" s="708">
        <f t="shared" si="68"/>
        <v>0</v>
      </c>
      <c r="D1050" s="708">
        <f t="shared" si="69"/>
        <v>0</v>
      </c>
      <c r="E1050" s="708">
        <f t="shared" si="70"/>
        <v>0</v>
      </c>
    </row>
    <row r="1051" spans="1:6">
      <c r="A1051" s="708">
        <v>38</v>
      </c>
      <c r="B1051" s="708">
        <f t="shared" si="67"/>
        <v>0</v>
      </c>
      <c r="C1051" s="708">
        <f t="shared" si="68"/>
        <v>0</v>
      </c>
      <c r="D1051" s="708">
        <f t="shared" si="69"/>
        <v>0</v>
      </c>
      <c r="E1051" s="708">
        <f t="shared" si="70"/>
        <v>0</v>
      </c>
    </row>
    <row r="1052" spans="1:6">
      <c r="A1052" s="708">
        <v>39</v>
      </c>
      <c r="B1052" s="708">
        <f t="shared" si="67"/>
        <v>0</v>
      </c>
      <c r="C1052" s="708">
        <f t="shared" si="68"/>
        <v>0</v>
      </c>
      <c r="D1052" s="708">
        <f t="shared" si="69"/>
        <v>0</v>
      </c>
      <c r="E1052" s="708">
        <f t="shared" si="70"/>
        <v>0</v>
      </c>
    </row>
    <row r="1053" spans="1:6">
      <c r="A1053" s="708">
        <v>40</v>
      </c>
      <c r="B1053" s="708">
        <f t="shared" si="67"/>
        <v>0</v>
      </c>
      <c r="C1053" s="708">
        <f t="shared" si="68"/>
        <v>0</v>
      </c>
      <c r="D1053" s="708">
        <f t="shared" si="69"/>
        <v>0</v>
      </c>
      <c r="E1053" s="708">
        <f t="shared" si="70"/>
        <v>0</v>
      </c>
    </row>
    <row r="1054" spans="1:6">
      <c r="A1054" s="708">
        <v>41</v>
      </c>
      <c r="B1054" s="708">
        <f t="shared" si="67"/>
        <v>0</v>
      </c>
      <c r="C1054" s="708">
        <f t="shared" si="68"/>
        <v>0</v>
      </c>
      <c r="D1054" s="708">
        <f t="shared" si="69"/>
        <v>0</v>
      </c>
      <c r="E1054" s="708">
        <f t="shared" si="70"/>
        <v>0</v>
      </c>
    </row>
    <row r="1055" spans="1:6">
      <c r="A1055" s="708">
        <v>42</v>
      </c>
      <c r="B1055" s="708">
        <f t="shared" si="67"/>
        <v>0</v>
      </c>
      <c r="C1055" s="708">
        <f t="shared" si="68"/>
        <v>0</v>
      </c>
      <c r="D1055" s="708">
        <f t="shared" si="69"/>
        <v>0</v>
      </c>
      <c r="E1055" s="708">
        <f t="shared" si="70"/>
        <v>0</v>
      </c>
    </row>
    <row r="1056" spans="1:6">
      <c r="A1056" s="708">
        <v>43</v>
      </c>
      <c r="B1056" s="708">
        <f t="shared" si="67"/>
        <v>0</v>
      </c>
      <c r="C1056" s="708">
        <f t="shared" si="68"/>
        <v>0</v>
      </c>
      <c r="D1056" s="708">
        <f t="shared" si="69"/>
        <v>0</v>
      </c>
      <c r="E1056" s="708">
        <f t="shared" si="70"/>
        <v>0</v>
      </c>
    </row>
    <row r="1057" spans="1:6">
      <c r="A1057" s="708">
        <v>44</v>
      </c>
      <c r="B1057" s="708">
        <f t="shared" si="67"/>
        <v>0</v>
      </c>
      <c r="C1057" s="708">
        <f t="shared" si="68"/>
        <v>0</v>
      </c>
      <c r="D1057" s="708">
        <f t="shared" si="69"/>
        <v>0</v>
      </c>
      <c r="E1057" s="708">
        <f t="shared" si="70"/>
        <v>0</v>
      </c>
    </row>
    <row r="1058" spans="1:6">
      <c r="A1058" s="708">
        <v>45</v>
      </c>
      <c r="B1058" s="708">
        <f t="shared" si="67"/>
        <v>0</v>
      </c>
      <c r="C1058" s="708">
        <f t="shared" si="68"/>
        <v>0</v>
      </c>
      <c r="D1058" s="708">
        <f t="shared" si="69"/>
        <v>0</v>
      </c>
      <c r="E1058" s="708">
        <f t="shared" si="70"/>
        <v>0</v>
      </c>
    </row>
    <row r="1059" spans="1:6">
      <c r="A1059" s="708">
        <v>46</v>
      </c>
      <c r="B1059" s="708">
        <f t="shared" si="67"/>
        <v>0</v>
      </c>
      <c r="C1059" s="708">
        <f t="shared" si="68"/>
        <v>0</v>
      </c>
      <c r="D1059" s="708">
        <f t="shared" si="69"/>
        <v>0</v>
      </c>
      <c r="E1059" s="708">
        <f t="shared" si="70"/>
        <v>0</v>
      </c>
    </row>
    <row r="1060" spans="1:6">
      <c r="A1060" s="708">
        <v>47</v>
      </c>
      <c r="B1060" s="708">
        <f t="shared" si="67"/>
        <v>0</v>
      </c>
      <c r="C1060" s="708">
        <f t="shared" si="68"/>
        <v>0</v>
      </c>
      <c r="D1060" s="708">
        <f t="shared" si="69"/>
        <v>0</v>
      </c>
      <c r="E1060" s="708">
        <f t="shared" si="70"/>
        <v>0</v>
      </c>
    </row>
    <row r="1061" spans="1:6">
      <c r="A1061" s="708">
        <v>48</v>
      </c>
      <c r="B1061" s="708">
        <f t="shared" si="67"/>
        <v>0</v>
      </c>
      <c r="C1061" s="708">
        <f t="shared" si="68"/>
        <v>0</v>
      </c>
      <c r="D1061" s="708">
        <f t="shared" si="69"/>
        <v>0</v>
      </c>
      <c r="E1061" s="708">
        <f t="shared" si="70"/>
        <v>0</v>
      </c>
      <c r="F1061" s="708">
        <v>4</v>
      </c>
    </row>
    <row r="1062" spans="1:6">
      <c r="A1062" s="708">
        <v>49</v>
      </c>
      <c r="B1062" s="708">
        <f t="shared" si="67"/>
        <v>0</v>
      </c>
      <c r="C1062" s="708">
        <f t="shared" si="68"/>
        <v>0</v>
      </c>
      <c r="D1062" s="708">
        <f t="shared" si="69"/>
        <v>0</v>
      </c>
      <c r="E1062" s="708">
        <f t="shared" si="70"/>
        <v>0</v>
      </c>
    </row>
    <row r="1063" spans="1:6">
      <c r="A1063" s="708">
        <v>50</v>
      </c>
      <c r="B1063" s="708">
        <f t="shared" si="67"/>
        <v>0</v>
      </c>
      <c r="C1063" s="708">
        <f t="shared" si="68"/>
        <v>0</v>
      </c>
      <c r="D1063" s="708">
        <f t="shared" si="69"/>
        <v>0</v>
      </c>
      <c r="E1063" s="708">
        <f t="shared" si="70"/>
        <v>0</v>
      </c>
    </row>
    <row r="1064" spans="1:6">
      <c r="A1064" s="708">
        <v>51</v>
      </c>
      <c r="B1064" s="708">
        <f t="shared" si="67"/>
        <v>0</v>
      </c>
      <c r="C1064" s="708">
        <f t="shared" si="68"/>
        <v>0</v>
      </c>
      <c r="D1064" s="708">
        <f t="shared" si="69"/>
        <v>0</v>
      </c>
      <c r="E1064" s="708">
        <f t="shared" si="70"/>
        <v>0</v>
      </c>
    </row>
    <row r="1065" spans="1:6">
      <c r="A1065" s="708">
        <v>52</v>
      </c>
      <c r="B1065" s="708">
        <f t="shared" si="67"/>
        <v>0</v>
      </c>
      <c r="C1065" s="708">
        <f t="shared" si="68"/>
        <v>0</v>
      </c>
      <c r="D1065" s="708">
        <f t="shared" si="69"/>
        <v>0</v>
      </c>
      <c r="E1065" s="708">
        <f t="shared" si="70"/>
        <v>0</v>
      </c>
    </row>
    <row r="1066" spans="1:6">
      <c r="A1066" s="708">
        <v>53</v>
      </c>
      <c r="B1066" s="708">
        <f t="shared" si="67"/>
        <v>0</v>
      </c>
      <c r="C1066" s="708">
        <f t="shared" si="68"/>
        <v>0</v>
      </c>
      <c r="D1066" s="708">
        <f t="shared" si="69"/>
        <v>0</v>
      </c>
      <c r="E1066" s="708">
        <f t="shared" si="70"/>
        <v>0</v>
      </c>
    </row>
    <row r="1067" spans="1:6">
      <c r="A1067" s="708">
        <v>54</v>
      </c>
      <c r="B1067" s="708">
        <f t="shared" si="67"/>
        <v>0</v>
      </c>
      <c r="C1067" s="708">
        <f t="shared" si="68"/>
        <v>0</v>
      </c>
      <c r="D1067" s="708">
        <f t="shared" si="69"/>
        <v>0</v>
      </c>
      <c r="E1067" s="708">
        <f t="shared" si="70"/>
        <v>0</v>
      </c>
    </row>
    <row r="1068" spans="1:6">
      <c r="A1068" s="708">
        <v>55</v>
      </c>
      <c r="B1068" s="708">
        <f t="shared" si="67"/>
        <v>0</v>
      </c>
      <c r="C1068" s="708">
        <f t="shared" si="68"/>
        <v>0</v>
      </c>
      <c r="D1068" s="708">
        <f t="shared" si="69"/>
        <v>0</v>
      </c>
      <c r="E1068" s="708">
        <f t="shared" si="70"/>
        <v>0</v>
      </c>
    </row>
    <row r="1069" spans="1:6">
      <c r="A1069" s="708">
        <v>56</v>
      </c>
      <c r="B1069" s="708">
        <f t="shared" si="67"/>
        <v>0</v>
      </c>
      <c r="C1069" s="708">
        <f t="shared" si="68"/>
        <v>0</v>
      </c>
      <c r="D1069" s="708">
        <f t="shared" si="69"/>
        <v>0</v>
      </c>
      <c r="E1069" s="708">
        <f t="shared" si="70"/>
        <v>0</v>
      </c>
    </row>
    <row r="1070" spans="1:6">
      <c r="A1070" s="708">
        <v>57</v>
      </c>
      <c r="B1070" s="708">
        <f t="shared" si="67"/>
        <v>0</v>
      </c>
      <c r="C1070" s="708">
        <f t="shared" si="68"/>
        <v>0</v>
      </c>
      <c r="D1070" s="708">
        <f t="shared" si="69"/>
        <v>0</v>
      </c>
      <c r="E1070" s="708">
        <f t="shared" si="70"/>
        <v>0</v>
      </c>
    </row>
    <row r="1071" spans="1:6">
      <c r="A1071" s="708">
        <v>58</v>
      </c>
      <c r="B1071" s="708">
        <f t="shared" si="67"/>
        <v>0</v>
      </c>
      <c r="C1071" s="708">
        <f t="shared" si="68"/>
        <v>0</v>
      </c>
      <c r="D1071" s="708">
        <f t="shared" si="69"/>
        <v>0</v>
      </c>
      <c r="E1071" s="708">
        <f t="shared" si="70"/>
        <v>0</v>
      </c>
    </row>
    <row r="1072" spans="1:6">
      <c r="A1072" s="708">
        <v>59</v>
      </c>
      <c r="B1072" s="708">
        <f t="shared" si="67"/>
        <v>0</v>
      </c>
      <c r="C1072" s="708">
        <f t="shared" si="68"/>
        <v>0</v>
      </c>
      <c r="D1072" s="708">
        <f t="shared" si="69"/>
        <v>0</v>
      </c>
      <c r="E1072" s="708">
        <f t="shared" si="70"/>
        <v>0</v>
      </c>
    </row>
    <row r="1073" spans="1:6">
      <c r="A1073" s="708">
        <v>60</v>
      </c>
      <c r="B1073" s="708">
        <f t="shared" si="67"/>
        <v>0</v>
      </c>
      <c r="C1073" s="708">
        <f t="shared" si="68"/>
        <v>0</v>
      </c>
      <c r="D1073" s="708">
        <f t="shared" si="69"/>
        <v>0</v>
      </c>
      <c r="E1073" s="708">
        <f t="shared" si="70"/>
        <v>0</v>
      </c>
    </row>
    <row r="1074" spans="1:6">
      <c r="A1074" s="708">
        <v>61</v>
      </c>
      <c r="B1074" s="708">
        <f t="shared" si="67"/>
        <v>0</v>
      </c>
      <c r="C1074" s="708">
        <f t="shared" si="68"/>
        <v>0</v>
      </c>
      <c r="D1074" s="708">
        <f t="shared" si="69"/>
        <v>0</v>
      </c>
      <c r="E1074" s="708">
        <f t="shared" si="70"/>
        <v>0</v>
      </c>
    </row>
    <row r="1075" spans="1:6">
      <c r="A1075" s="708">
        <v>62</v>
      </c>
      <c r="B1075" s="708">
        <f t="shared" si="67"/>
        <v>0</v>
      </c>
      <c r="C1075" s="708">
        <f t="shared" si="68"/>
        <v>0</v>
      </c>
      <c r="D1075" s="708">
        <f t="shared" si="69"/>
        <v>0</v>
      </c>
      <c r="E1075" s="708">
        <f t="shared" si="70"/>
        <v>0</v>
      </c>
      <c r="F1075" s="708">
        <v>5</v>
      </c>
    </row>
    <row r="1076" spans="1:6">
      <c r="A1076" s="708">
        <v>63</v>
      </c>
      <c r="B1076" s="708">
        <f t="shared" si="67"/>
        <v>0</v>
      </c>
      <c r="C1076" s="708">
        <f t="shared" si="68"/>
        <v>0</v>
      </c>
      <c r="D1076" s="708">
        <f t="shared" si="69"/>
        <v>0</v>
      </c>
      <c r="E1076" s="708">
        <f t="shared" si="70"/>
        <v>0</v>
      </c>
    </row>
    <row r="1077" spans="1:6">
      <c r="A1077" s="708">
        <v>64</v>
      </c>
      <c r="B1077" s="708">
        <f t="shared" si="67"/>
        <v>0</v>
      </c>
      <c r="C1077" s="708">
        <f t="shared" si="68"/>
        <v>0</v>
      </c>
      <c r="D1077" s="708">
        <f t="shared" si="69"/>
        <v>0</v>
      </c>
      <c r="E1077" s="708">
        <f t="shared" si="70"/>
        <v>0</v>
      </c>
    </row>
    <row r="1078" spans="1:6">
      <c r="A1078" s="708">
        <v>65</v>
      </c>
      <c r="B1078" s="708">
        <f t="shared" ref="B1078:B1141" si="71">IF(A1078&gt;12*$D$14,0,$D$20)</f>
        <v>0</v>
      </c>
      <c r="C1078" s="708">
        <f t="shared" ref="C1078:C1141" si="72">IF(A1078&gt;12*$D$14,0,E1077*$D$10/12)</f>
        <v>0</v>
      </c>
      <c r="D1078" s="708">
        <f t="shared" ref="D1078:D1141" si="73">IF(A1078&gt;12*$D$14,0,B1078-C1078)</f>
        <v>0</v>
      </c>
      <c r="E1078" s="708">
        <f t="shared" ref="E1078:E1141" si="74">IF(A1078&gt;12*$D$14,0,E1077-D1078)</f>
        <v>0</v>
      </c>
    </row>
    <row r="1079" spans="1:6">
      <c r="A1079" s="708">
        <v>66</v>
      </c>
      <c r="B1079" s="708">
        <f t="shared" si="71"/>
        <v>0</v>
      </c>
      <c r="C1079" s="708">
        <f t="shared" si="72"/>
        <v>0</v>
      </c>
      <c r="D1079" s="708">
        <f t="shared" si="73"/>
        <v>0</v>
      </c>
      <c r="E1079" s="708">
        <f t="shared" si="74"/>
        <v>0</v>
      </c>
    </row>
    <row r="1080" spans="1:6">
      <c r="A1080" s="708">
        <v>67</v>
      </c>
      <c r="B1080" s="708">
        <f t="shared" si="71"/>
        <v>0</v>
      </c>
      <c r="C1080" s="708">
        <f t="shared" si="72"/>
        <v>0</v>
      </c>
      <c r="D1080" s="708">
        <f t="shared" si="73"/>
        <v>0</v>
      </c>
      <c r="E1080" s="708">
        <f t="shared" si="74"/>
        <v>0</v>
      </c>
    </row>
    <row r="1081" spans="1:6">
      <c r="A1081" s="708">
        <v>68</v>
      </c>
      <c r="B1081" s="708">
        <f t="shared" si="71"/>
        <v>0</v>
      </c>
      <c r="C1081" s="708">
        <f t="shared" si="72"/>
        <v>0</v>
      </c>
      <c r="D1081" s="708">
        <f t="shared" si="73"/>
        <v>0</v>
      </c>
      <c r="E1081" s="708">
        <f t="shared" si="74"/>
        <v>0</v>
      </c>
    </row>
    <row r="1082" spans="1:6">
      <c r="A1082" s="708">
        <v>69</v>
      </c>
      <c r="B1082" s="708">
        <f t="shared" si="71"/>
        <v>0</v>
      </c>
      <c r="C1082" s="708">
        <f t="shared" si="72"/>
        <v>0</v>
      </c>
      <c r="D1082" s="708">
        <f t="shared" si="73"/>
        <v>0</v>
      </c>
      <c r="E1082" s="708">
        <f t="shared" si="74"/>
        <v>0</v>
      </c>
    </row>
    <row r="1083" spans="1:6">
      <c r="A1083" s="708">
        <v>70</v>
      </c>
      <c r="B1083" s="708">
        <f t="shared" si="71"/>
        <v>0</v>
      </c>
      <c r="C1083" s="708">
        <f t="shared" si="72"/>
        <v>0</v>
      </c>
      <c r="D1083" s="708">
        <f t="shared" si="73"/>
        <v>0</v>
      </c>
      <c r="E1083" s="708">
        <f t="shared" si="74"/>
        <v>0</v>
      </c>
    </row>
    <row r="1084" spans="1:6">
      <c r="A1084" s="708">
        <v>71</v>
      </c>
      <c r="B1084" s="708">
        <f t="shared" si="71"/>
        <v>0</v>
      </c>
      <c r="C1084" s="708">
        <f t="shared" si="72"/>
        <v>0</v>
      </c>
      <c r="D1084" s="708">
        <f t="shared" si="73"/>
        <v>0</v>
      </c>
      <c r="E1084" s="708">
        <f t="shared" si="74"/>
        <v>0</v>
      </c>
    </row>
    <row r="1085" spans="1:6">
      <c r="A1085" s="708">
        <v>72</v>
      </c>
      <c r="B1085" s="708">
        <f t="shared" si="71"/>
        <v>0</v>
      </c>
      <c r="C1085" s="708">
        <f t="shared" si="72"/>
        <v>0</v>
      </c>
      <c r="D1085" s="708">
        <f t="shared" si="73"/>
        <v>0</v>
      </c>
      <c r="E1085" s="708">
        <f t="shared" si="74"/>
        <v>0</v>
      </c>
    </row>
    <row r="1086" spans="1:6">
      <c r="A1086" s="708">
        <v>73</v>
      </c>
      <c r="B1086" s="708">
        <f t="shared" si="71"/>
        <v>0</v>
      </c>
      <c r="C1086" s="708">
        <f t="shared" si="72"/>
        <v>0</v>
      </c>
      <c r="D1086" s="708">
        <f t="shared" si="73"/>
        <v>0</v>
      </c>
      <c r="E1086" s="708">
        <f t="shared" si="74"/>
        <v>0</v>
      </c>
    </row>
    <row r="1087" spans="1:6">
      <c r="A1087" s="708">
        <v>74</v>
      </c>
      <c r="B1087" s="708">
        <f t="shared" si="71"/>
        <v>0</v>
      </c>
      <c r="C1087" s="708">
        <f t="shared" si="72"/>
        <v>0</v>
      </c>
      <c r="D1087" s="708">
        <f t="shared" si="73"/>
        <v>0</v>
      </c>
      <c r="E1087" s="708">
        <f t="shared" si="74"/>
        <v>0</v>
      </c>
      <c r="F1087" s="708">
        <v>6</v>
      </c>
    </row>
    <row r="1088" spans="1:6">
      <c r="A1088" s="708">
        <v>75</v>
      </c>
      <c r="B1088" s="708">
        <f t="shared" si="71"/>
        <v>0</v>
      </c>
      <c r="C1088" s="708">
        <f t="shared" si="72"/>
        <v>0</v>
      </c>
      <c r="D1088" s="708">
        <f t="shared" si="73"/>
        <v>0</v>
      </c>
      <c r="E1088" s="708">
        <f t="shared" si="74"/>
        <v>0</v>
      </c>
    </row>
    <row r="1089" spans="1:6">
      <c r="A1089" s="708">
        <v>76</v>
      </c>
      <c r="B1089" s="708">
        <f t="shared" si="71"/>
        <v>0</v>
      </c>
      <c r="C1089" s="708">
        <f t="shared" si="72"/>
        <v>0</v>
      </c>
      <c r="D1089" s="708">
        <f t="shared" si="73"/>
        <v>0</v>
      </c>
      <c r="E1089" s="708">
        <f t="shared" si="74"/>
        <v>0</v>
      </c>
    </row>
    <row r="1090" spans="1:6">
      <c r="A1090" s="708">
        <v>77</v>
      </c>
      <c r="B1090" s="708">
        <f t="shared" si="71"/>
        <v>0</v>
      </c>
      <c r="C1090" s="708">
        <f t="shared" si="72"/>
        <v>0</v>
      </c>
      <c r="D1090" s="708">
        <f t="shared" si="73"/>
        <v>0</v>
      </c>
      <c r="E1090" s="708">
        <f t="shared" si="74"/>
        <v>0</v>
      </c>
    </row>
    <row r="1091" spans="1:6">
      <c r="A1091" s="708">
        <v>78</v>
      </c>
      <c r="B1091" s="708">
        <f t="shared" si="71"/>
        <v>0</v>
      </c>
      <c r="C1091" s="708">
        <f t="shared" si="72"/>
        <v>0</v>
      </c>
      <c r="D1091" s="708">
        <f t="shared" si="73"/>
        <v>0</v>
      </c>
      <c r="E1091" s="708">
        <f t="shared" si="74"/>
        <v>0</v>
      </c>
    </row>
    <row r="1092" spans="1:6">
      <c r="A1092" s="708">
        <v>79</v>
      </c>
      <c r="B1092" s="708">
        <f t="shared" si="71"/>
        <v>0</v>
      </c>
      <c r="C1092" s="708">
        <f t="shared" si="72"/>
        <v>0</v>
      </c>
      <c r="D1092" s="708">
        <f t="shared" si="73"/>
        <v>0</v>
      </c>
      <c r="E1092" s="708">
        <f t="shared" si="74"/>
        <v>0</v>
      </c>
    </row>
    <row r="1093" spans="1:6">
      <c r="A1093" s="708">
        <v>80</v>
      </c>
      <c r="B1093" s="708">
        <f t="shared" si="71"/>
        <v>0</v>
      </c>
      <c r="C1093" s="708">
        <f t="shared" si="72"/>
        <v>0</v>
      </c>
      <c r="D1093" s="708">
        <f t="shared" si="73"/>
        <v>0</v>
      </c>
      <c r="E1093" s="708">
        <f t="shared" si="74"/>
        <v>0</v>
      </c>
    </row>
    <row r="1094" spans="1:6">
      <c r="A1094" s="708">
        <v>81</v>
      </c>
      <c r="B1094" s="708">
        <f t="shared" si="71"/>
        <v>0</v>
      </c>
      <c r="C1094" s="708">
        <f t="shared" si="72"/>
        <v>0</v>
      </c>
      <c r="D1094" s="708">
        <f t="shared" si="73"/>
        <v>0</v>
      </c>
      <c r="E1094" s="708">
        <f t="shared" si="74"/>
        <v>0</v>
      </c>
    </row>
    <row r="1095" spans="1:6">
      <c r="A1095" s="708">
        <v>82</v>
      </c>
      <c r="B1095" s="708">
        <f t="shared" si="71"/>
        <v>0</v>
      </c>
      <c r="C1095" s="708">
        <f t="shared" si="72"/>
        <v>0</v>
      </c>
      <c r="D1095" s="708">
        <f t="shared" si="73"/>
        <v>0</v>
      </c>
      <c r="E1095" s="708">
        <f t="shared" si="74"/>
        <v>0</v>
      </c>
    </row>
    <row r="1096" spans="1:6">
      <c r="A1096" s="708">
        <v>83</v>
      </c>
      <c r="B1096" s="708">
        <f t="shared" si="71"/>
        <v>0</v>
      </c>
      <c r="C1096" s="708">
        <f t="shared" si="72"/>
        <v>0</v>
      </c>
      <c r="D1096" s="708">
        <f t="shared" si="73"/>
        <v>0</v>
      </c>
      <c r="E1096" s="708">
        <f t="shared" si="74"/>
        <v>0</v>
      </c>
    </row>
    <row r="1097" spans="1:6">
      <c r="A1097" s="708">
        <v>84</v>
      </c>
      <c r="B1097" s="708">
        <f t="shared" si="71"/>
        <v>0</v>
      </c>
      <c r="C1097" s="708">
        <f t="shared" si="72"/>
        <v>0</v>
      </c>
      <c r="D1097" s="708">
        <f t="shared" si="73"/>
        <v>0</v>
      </c>
      <c r="E1097" s="708">
        <f t="shared" si="74"/>
        <v>0</v>
      </c>
      <c r="F1097" s="708">
        <v>7</v>
      </c>
    </row>
    <row r="1098" spans="1:6">
      <c r="A1098" s="708">
        <v>85</v>
      </c>
      <c r="B1098" s="708">
        <f t="shared" si="71"/>
        <v>0</v>
      </c>
      <c r="C1098" s="708">
        <f t="shared" si="72"/>
        <v>0</v>
      </c>
      <c r="D1098" s="708">
        <f t="shared" si="73"/>
        <v>0</v>
      </c>
      <c r="E1098" s="708">
        <f t="shared" si="74"/>
        <v>0</v>
      </c>
    </row>
    <row r="1099" spans="1:6">
      <c r="A1099" s="708">
        <v>86</v>
      </c>
      <c r="B1099" s="708">
        <f t="shared" si="71"/>
        <v>0</v>
      </c>
      <c r="C1099" s="708">
        <f t="shared" si="72"/>
        <v>0</v>
      </c>
      <c r="D1099" s="708">
        <f t="shared" si="73"/>
        <v>0</v>
      </c>
      <c r="E1099" s="708">
        <f t="shared" si="74"/>
        <v>0</v>
      </c>
    </row>
    <row r="1100" spans="1:6">
      <c r="A1100" s="708">
        <v>87</v>
      </c>
      <c r="B1100" s="708">
        <f t="shared" si="71"/>
        <v>0</v>
      </c>
      <c r="C1100" s="708">
        <f t="shared" si="72"/>
        <v>0</v>
      </c>
      <c r="D1100" s="708">
        <f t="shared" si="73"/>
        <v>0</v>
      </c>
      <c r="E1100" s="708">
        <f t="shared" si="74"/>
        <v>0</v>
      </c>
    </row>
    <row r="1101" spans="1:6">
      <c r="A1101" s="708">
        <v>88</v>
      </c>
      <c r="B1101" s="708">
        <f t="shared" si="71"/>
        <v>0</v>
      </c>
      <c r="C1101" s="708">
        <f t="shared" si="72"/>
        <v>0</v>
      </c>
      <c r="D1101" s="708">
        <f t="shared" si="73"/>
        <v>0</v>
      </c>
      <c r="E1101" s="708">
        <f t="shared" si="74"/>
        <v>0</v>
      </c>
    </row>
    <row r="1102" spans="1:6">
      <c r="A1102" s="708">
        <v>89</v>
      </c>
      <c r="B1102" s="708">
        <f t="shared" si="71"/>
        <v>0</v>
      </c>
      <c r="C1102" s="708">
        <f t="shared" si="72"/>
        <v>0</v>
      </c>
      <c r="D1102" s="708">
        <f t="shared" si="73"/>
        <v>0</v>
      </c>
      <c r="E1102" s="708">
        <f t="shared" si="74"/>
        <v>0</v>
      </c>
    </row>
    <row r="1103" spans="1:6">
      <c r="A1103" s="708">
        <v>90</v>
      </c>
      <c r="B1103" s="708">
        <f t="shared" si="71"/>
        <v>0</v>
      </c>
      <c r="C1103" s="708">
        <f t="shared" si="72"/>
        <v>0</v>
      </c>
      <c r="D1103" s="708">
        <f t="shared" si="73"/>
        <v>0</v>
      </c>
      <c r="E1103" s="708">
        <f t="shared" si="74"/>
        <v>0</v>
      </c>
    </row>
    <row r="1104" spans="1:6">
      <c r="A1104" s="708">
        <v>91</v>
      </c>
      <c r="B1104" s="708">
        <f t="shared" si="71"/>
        <v>0</v>
      </c>
      <c r="C1104" s="708">
        <f t="shared" si="72"/>
        <v>0</v>
      </c>
      <c r="D1104" s="708">
        <f t="shared" si="73"/>
        <v>0</v>
      </c>
      <c r="E1104" s="708">
        <f t="shared" si="74"/>
        <v>0</v>
      </c>
    </row>
    <row r="1105" spans="1:6">
      <c r="A1105" s="708">
        <v>92</v>
      </c>
      <c r="B1105" s="708">
        <f t="shared" si="71"/>
        <v>0</v>
      </c>
      <c r="C1105" s="708">
        <f t="shared" si="72"/>
        <v>0</v>
      </c>
      <c r="D1105" s="708">
        <f t="shared" si="73"/>
        <v>0</v>
      </c>
      <c r="E1105" s="708">
        <f t="shared" si="74"/>
        <v>0</v>
      </c>
    </row>
    <row r="1106" spans="1:6">
      <c r="A1106" s="708">
        <v>93</v>
      </c>
      <c r="B1106" s="708">
        <f t="shared" si="71"/>
        <v>0</v>
      </c>
      <c r="C1106" s="708">
        <f t="shared" si="72"/>
        <v>0</v>
      </c>
      <c r="D1106" s="708">
        <f t="shared" si="73"/>
        <v>0</v>
      </c>
      <c r="E1106" s="708">
        <f t="shared" si="74"/>
        <v>0</v>
      </c>
    </row>
    <row r="1107" spans="1:6">
      <c r="A1107" s="708">
        <v>94</v>
      </c>
      <c r="B1107" s="708">
        <f t="shared" si="71"/>
        <v>0</v>
      </c>
      <c r="C1107" s="708">
        <f t="shared" si="72"/>
        <v>0</v>
      </c>
      <c r="D1107" s="708">
        <f t="shared" si="73"/>
        <v>0</v>
      </c>
      <c r="E1107" s="708">
        <f t="shared" si="74"/>
        <v>0</v>
      </c>
    </row>
    <row r="1108" spans="1:6">
      <c r="A1108" s="708">
        <v>95</v>
      </c>
      <c r="B1108" s="708">
        <f t="shared" si="71"/>
        <v>0</v>
      </c>
      <c r="C1108" s="708">
        <f t="shared" si="72"/>
        <v>0</v>
      </c>
      <c r="D1108" s="708">
        <f t="shared" si="73"/>
        <v>0</v>
      </c>
      <c r="E1108" s="708">
        <f t="shared" si="74"/>
        <v>0</v>
      </c>
    </row>
    <row r="1109" spans="1:6">
      <c r="A1109" s="708">
        <v>96</v>
      </c>
      <c r="B1109" s="708">
        <f t="shared" si="71"/>
        <v>0</v>
      </c>
      <c r="C1109" s="708">
        <f t="shared" si="72"/>
        <v>0</v>
      </c>
      <c r="D1109" s="708">
        <f t="shared" si="73"/>
        <v>0</v>
      </c>
      <c r="E1109" s="708">
        <f t="shared" si="74"/>
        <v>0</v>
      </c>
      <c r="F1109" s="708">
        <v>8</v>
      </c>
    </row>
    <row r="1110" spans="1:6">
      <c r="A1110" s="708">
        <v>97</v>
      </c>
      <c r="B1110" s="708">
        <f t="shared" si="71"/>
        <v>0</v>
      </c>
      <c r="C1110" s="708">
        <f t="shared" si="72"/>
        <v>0</v>
      </c>
      <c r="D1110" s="708">
        <f t="shared" si="73"/>
        <v>0</v>
      </c>
      <c r="E1110" s="708">
        <f t="shared" si="74"/>
        <v>0</v>
      </c>
    </row>
    <row r="1111" spans="1:6">
      <c r="A1111" s="708">
        <v>98</v>
      </c>
      <c r="B1111" s="708">
        <f t="shared" si="71"/>
        <v>0</v>
      </c>
      <c r="C1111" s="708">
        <f t="shared" si="72"/>
        <v>0</v>
      </c>
      <c r="D1111" s="708">
        <f t="shared" si="73"/>
        <v>0</v>
      </c>
      <c r="E1111" s="708">
        <f t="shared" si="74"/>
        <v>0</v>
      </c>
    </row>
    <row r="1112" spans="1:6">
      <c r="A1112" s="708">
        <v>99</v>
      </c>
      <c r="B1112" s="708">
        <f t="shared" si="71"/>
        <v>0</v>
      </c>
      <c r="C1112" s="708">
        <f t="shared" si="72"/>
        <v>0</v>
      </c>
      <c r="D1112" s="708">
        <f t="shared" si="73"/>
        <v>0</v>
      </c>
      <c r="E1112" s="708">
        <f t="shared" si="74"/>
        <v>0</v>
      </c>
    </row>
    <row r="1113" spans="1:6">
      <c r="A1113" s="708">
        <v>100</v>
      </c>
      <c r="B1113" s="708">
        <f t="shared" si="71"/>
        <v>0</v>
      </c>
      <c r="C1113" s="708">
        <f t="shared" si="72"/>
        <v>0</v>
      </c>
      <c r="D1113" s="708">
        <f t="shared" si="73"/>
        <v>0</v>
      </c>
      <c r="E1113" s="708">
        <f t="shared" si="74"/>
        <v>0</v>
      </c>
    </row>
    <row r="1114" spans="1:6">
      <c r="A1114" s="708">
        <v>101</v>
      </c>
      <c r="B1114" s="708">
        <f t="shared" si="71"/>
        <v>0</v>
      </c>
      <c r="C1114" s="708">
        <f t="shared" si="72"/>
        <v>0</v>
      </c>
      <c r="D1114" s="708">
        <f t="shared" si="73"/>
        <v>0</v>
      </c>
      <c r="E1114" s="708">
        <f t="shared" si="74"/>
        <v>0</v>
      </c>
    </row>
    <row r="1115" spans="1:6">
      <c r="A1115" s="708">
        <v>102</v>
      </c>
      <c r="B1115" s="708">
        <f t="shared" si="71"/>
        <v>0</v>
      </c>
      <c r="C1115" s="708">
        <f t="shared" si="72"/>
        <v>0</v>
      </c>
      <c r="D1115" s="708">
        <f t="shared" si="73"/>
        <v>0</v>
      </c>
      <c r="E1115" s="708">
        <f t="shared" si="74"/>
        <v>0</v>
      </c>
    </row>
    <row r="1116" spans="1:6">
      <c r="A1116" s="708">
        <v>103</v>
      </c>
      <c r="B1116" s="708">
        <f t="shared" si="71"/>
        <v>0</v>
      </c>
      <c r="C1116" s="708">
        <f t="shared" si="72"/>
        <v>0</v>
      </c>
      <c r="D1116" s="708">
        <f t="shared" si="73"/>
        <v>0</v>
      </c>
      <c r="E1116" s="708">
        <f t="shared" si="74"/>
        <v>0</v>
      </c>
    </row>
    <row r="1117" spans="1:6">
      <c r="A1117" s="708">
        <v>104</v>
      </c>
      <c r="B1117" s="708">
        <f t="shared" si="71"/>
        <v>0</v>
      </c>
      <c r="C1117" s="708">
        <f t="shared" si="72"/>
        <v>0</v>
      </c>
      <c r="D1117" s="708">
        <f t="shared" si="73"/>
        <v>0</v>
      </c>
      <c r="E1117" s="708">
        <f t="shared" si="74"/>
        <v>0</v>
      </c>
    </row>
    <row r="1118" spans="1:6">
      <c r="A1118" s="708">
        <v>105</v>
      </c>
      <c r="B1118" s="708">
        <f t="shared" si="71"/>
        <v>0</v>
      </c>
      <c r="C1118" s="708">
        <f t="shared" si="72"/>
        <v>0</v>
      </c>
      <c r="D1118" s="708">
        <f t="shared" si="73"/>
        <v>0</v>
      </c>
      <c r="E1118" s="708">
        <f t="shared" si="74"/>
        <v>0</v>
      </c>
    </row>
    <row r="1119" spans="1:6">
      <c r="A1119" s="708">
        <v>106</v>
      </c>
      <c r="B1119" s="708">
        <f t="shared" si="71"/>
        <v>0</v>
      </c>
      <c r="C1119" s="708">
        <f t="shared" si="72"/>
        <v>0</v>
      </c>
      <c r="D1119" s="708">
        <f t="shared" si="73"/>
        <v>0</v>
      </c>
      <c r="E1119" s="708">
        <f t="shared" si="74"/>
        <v>0</v>
      </c>
    </row>
    <row r="1120" spans="1:6">
      <c r="A1120" s="708">
        <v>107</v>
      </c>
      <c r="B1120" s="708">
        <f t="shared" si="71"/>
        <v>0</v>
      </c>
      <c r="C1120" s="708">
        <f t="shared" si="72"/>
        <v>0</v>
      </c>
      <c r="D1120" s="708">
        <f t="shared" si="73"/>
        <v>0</v>
      </c>
      <c r="E1120" s="708">
        <f t="shared" si="74"/>
        <v>0</v>
      </c>
    </row>
    <row r="1121" spans="1:6">
      <c r="A1121" s="708">
        <v>108</v>
      </c>
      <c r="B1121" s="708">
        <f t="shared" si="71"/>
        <v>0</v>
      </c>
      <c r="C1121" s="708">
        <f t="shared" si="72"/>
        <v>0</v>
      </c>
      <c r="D1121" s="708">
        <f t="shared" si="73"/>
        <v>0</v>
      </c>
      <c r="E1121" s="708">
        <f t="shared" si="74"/>
        <v>0</v>
      </c>
      <c r="F1121" s="708">
        <v>9</v>
      </c>
    </row>
    <row r="1122" spans="1:6">
      <c r="A1122" s="708">
        <v>109</v>
      </c>
      <c r="B1122" s="708">
        <f t="shared" si="71"/>
        <v>0</v>
      </c>
      <c r="C1122" s="708">
        <f t="shared" si="72"/>
        <v>0</v>
      </c>
      <c r="D1122" s="708">
        <f t="shared" si="73"/>
        <v>0</v>
      </c>
      <c r="E1122" s="708">
        <f t="shared" si="74"/>
        <v>0</v>
      </c>
    </row>
    <row r="1123" spans="1:6">
      <c r="A1123" s="708">
        <v>110</v>
      </c>
      <c r="B1123" s="708">
        <f t="shared" si="71"/>
        <v>0</v>
      </c>
      <c r="C1123" s="708">
        <f t="shared" si="72"/>
        <v>0</v>
      </c>
      <c r="D1123" s="708">
        <f t="shared" si="73"/>
        <v>0</v>
      </c>
      <c r="E1123" s="708">
        <f t="shared" si="74"/>
        <v>0</v>
      </c>
    </row>
    <row r="1124" spans="1:6">
      <c r="A1124" s="708">
        <v>111</v>
      </c>
      <c r="B1124" s="708">
        <f t="shared" si="71"/>
        <v>0</v>
      </c>
      <c r="C1124" s="708">
        <f t="shared" si="72"/>
        <v>0</v>
      </c>
      <c r="D1124" s="708">
        <f t="shared" si="73"/>
        <v>0</v>
      </c>
      <c r="E1124" s="708">
        <f t="shared" si="74"/>
        <v>0</v>
      </c>
    </row>
    <row r="1125" spans="1:6">
      <c r="A1125" s="708">
        <v>112</v>
      </c>
      <c r="B1125" s="708">
        <f t="shared" si="71"/>
        <v>0</v>
      </c>
      <c r="C1125" s="708">
        <f t="shared" si="72"/>
        <v>0</v>
      </c>
      <c r="D1125" s="708">
        <f t="shared" si="73"/>
        <v>0</v>
      </c>
      <c r="E1125" s="708">
        <f t="shared" si="74"/>
        <v>0</v>
      </c>
    </row>
    <row r="1126" spans="1:6">
      <c r="A1126" s="708">
        <v>113</v>
      </c>
      <c r="B1126" s="708">
        <f t="shared" si="71"/>
        <v>0</v>
      </c>
      <c r="C1126" s="708">
        <f t="shared" si="72"/>
        <v>0</v>
      </c>
      <c r="D1126" s="708">
        <f t="shared" si="73"/>
        <v>0</v>
      </c>
      <c r="E1126" s="708">
        <f t="shared" si="74"/>
        <v>0</v>
      </c>
    </row>
    <row r="1127" spans="1:6">
      <c r="A1127" s="708">
        <v>114</v>
      </c>
      <c r="B1127" s="708">
        <f t="shared" si="71"/>
        <v>0</v>
      </c>
      <c r="C1127" s="708">
        <f t="shared" si="72"/>
        <v>0</v>
      </c>
      <c r="D1127" s="708">
        <f t="shared" si="73"/>
        <v>0</v>
      </c>
      <c r="E1127" s="708">
        <f t="shared" si="74"/>
        <v>0</v>
      </c>
    </row>
    <row r="1128" spans="1:6">
      <c r="A1128" s="708">
        <v>115</v>
      </c>
      <c r="B1128" s="708">
        <f t="shared" si="71"/>
        <v>0</v>
      </c>
      <c r="C1128" s="708">
        <f t="shared" si="72"/>
        <v>0</v>
      </c>
      <c r="D1128" s="708">
        <f t="shared" si="73"/>
        <v>0</v>
      </c>
      <c r="E1128" s="708">
        <f t="shared" si="74"/>
        <v>0</v>
      </c>
    </row>
    <row r="1129" spans="1:6">
      <c r="A1129" s="708">
        <v>116</v>
      </c>
      <c r="B1129" s="708">
        <f t="shared" si="71"/>
        <v>0</v>
      </c>
      <c r="C1129" s="708">
        <f t="shared" si="72"/>
        <v>0</v>
      </c>
      <c r="D1129" s="708">
        <f t="shared" si="73"/>
        <v>0</v>
      </c>
      <c r="E1129" s="708">
        <f t="shared" si="74"/>
        <v>0</v>
      </c>
    </row>
    <row r="1130" spans="1:6">
      <c r="A1130" s="708">
        <v>117</v>
      </c>
      <c r="B1130" s="708">
        <f t="shared" si="71"/>
        <v>0</v>
      </c>
      <c r="C1130" s="708">
        <f t="shared" si="72"/>
        <v>0</v>
      </c>
      <c r="D1130" s="708">
        <f t="shared" si="73"/>
        <v>0</v>
      </c>
      <c r="E1130" s="708">
        <f t="shared" si="74"/>
        <v>0</v>
      </c>
    </row>
    <row r="1131" spans="1:6">
      <c r="A1131" s="708">
        <v>118</v>
      </c>
      <c r="B1131" s="708">
        <f t="shared" si="71"/>
        <v>0</v>
      </c>
      <c r="C1131" s="708">
        <f t="shared" si="72"/>
        <v>0</v>
      </c>
      <c r="D1131" s="708">
        <f t="shared" si="73"/>
        <v>0</v>
      </c>
      <c r="E1131" s="708">
        <f t="shared" si="74"/>
        <v>0</v>
      </c>
    </row>
    <row r="1132" spans="1:6">
      <c r="A1132" s="708">
        <v>119</v>
      </c>
      <c r="B1132" s="708">
        <f t="shared" si="71"/>
        <v>0</v>
      </c>
      <c r="C1132" s="708">
        <f t="shared" si="72"/>
        <v>0</v>
      </c>
      <c r="D1132" s="708">
        <f t="shared" si="73"/>
        <v>0</v>
      </c>
      <c r="E1132" s="708">
        <f t="shared" si="74"/>
        <v>0</v>
      </c>
    </row>
    <row r="1133" spans="1:6">
      <c r="A1133" s="708">
        <v>120</v>
      </c>
      <c r="B1133" s="708">
        <f t="shared" si="71"/>
        <v>0</v>
      </c>
      <c r="C1133" s="708">
        <f t="shared" si="72"/>
        <v>0</v>
      </c>
      <c r="D1133" s="708">
        <f t="shared" si="73"/>
        <v>0</v>
      </c>
      <c r="E1133" s="708">
        <f t="shared" si="74"/>
        <v>0</v>
      </c>
      <c r="F1133" s="708">
        <v>10</v>
      </c>
    </row>
    <row r="1134" spans="1:6">
      <c r="A1134" s="708">
        <v>121</v>
      </c>
      <c r="B1134" s="708">
        <f t="shared" si="71"/>
        <v>0</v>
      </c>
      <c r="C1134" s="708">
        <f t="shared" si="72"/>
        <v>0</v>
      </c>
      <c r="D1134" s="708">
        <f t="shared" si="73"/>
        <v>0</v>
      </c>
      <c r="E1134" s="708">
        <f t="shared" si="74"/>
        <v>0</v>
      </c>
    </row>
    <row r="1135" spans="1:6">
      <c r="A1135" s="708">
        <v>122</v>
      </c>
      <c r="B1135" s="708">
        <f t="shared" si="71"/>
        <v>0</v>
      </c>
      <c r="C1135" s="708">
        <f t="shared" si="72"/>
        <v>0</v>
      </c>
      <c r="D1135" s="708">
        <f t="shared" si="73"/>
        <v>0</v>
      </c>
      <c r="E1135" s="708">
        <f t="shared" si="74"/>
        <v>0</v>
      </c>
    </row>
    <row r="1136" spans="1:6">
      <c r="A1136" s="708">
        <v>123</v>
      </c>
      <c r="B1136" s="708">
        <f t="shared" si="71"/>
        <v>0</v>
      </c>
      <c r="C1136" s="708">
        <f t="shared" si="72"/>
        <v>0</v>
      </c>
      <c r="D1136" s="708">
        <f t="shared" si="73"/>
        <v>0</v>
      </c>
      <c r="E1136" s="708">
        <f t="shared" si="74"/>
        <v>0</v>
      </c>
    </row>
    <row r="1137" spans="1:6">
      <c r="A1137" s="708">
        <v>124</v>
      </c>
      <c r="B1137" s="708">
        <f t="shared" si="71"/>
        <v>0</v>
      </c>
      <c r="C1137" s="708">
        <f t="shared" si="72"/>
        <v>0</v>
      </c>
      <c r="D1137" s="708">
        <f t="shared" si="73"/>
        <v>0</v>
      </c>
      <c r="E1137" s="708">
        <f t="shared" si="74"/>
        <v>0</v>
      </c>
    </row>
    <row r="1138" spans="1:6">
      <c r="A1138" s="708">
        <v>125</v>
      </c>
      <c r="B1138" s="708">
        <f t="shared" si="71"/>
        <v>0</v>
      </c>
      <c r="C1138" s="708">
        <f t="shared" si="72"/>
        <v>0</v>
      </c>
      <c r="D1138" s="708">
        <f t="shared" si="73"/>
        <v>0</v>
      </c>
      <c r="E1138" s="708">
        <f t="shared" si="74"/>
        <v>0</v>
      </c>
    </row>
    <row r="1139" spans="1:6">
      <c r="A1139" s="708">
        <v>126</v>
      </c>
      <c r="B1139" s="708">
        <f t="shared" si="71"/>
        <v>0</v>
      </c>
      <c r="C1139" s="708">
        <f t="shared" si="72"/>
        <v>0</v>
      </c>
      <c r="D1139" s="708">
        <f t="shared" si="73"/>
        <v>0</v>
      </c>
      <c r="E1139" s="708">
        <f t="shared" si="74"/>
        <v>0</v>
      </c>
    </row>
    <row r="1140" spans="1:6">
      <c r="A1140" s="708">
        <v>127</v>
      </c>
      <c r="B1140" s="708">
        <f t="shared" si="71"/>
        <v>0</v>
      </c>
      <c r="C1140" s="708">
        <f t="shared" si="72"/>
        <v>0</v>
      </c>
      <c r="D1140" s="708">
        <f t="shared" si="73"/>
        <v>0</v>
      </c>
      <c r="E1140" s="708">
        <f t="shared" si="74"/>
        <v>0</v>
      </c>
    </row>
    <row r="1141" spans="1:6">
      <c r="A1141" s="708">
        <v>128</v>
      </c>
      <c r="B1141" s="708">
        <f t="shared" si="71"/>
        <v>0</v>
      </c>
      <c r="C1141" s="708">
        <f t="shared" si="72"/>
        <v>0</v>
      </c>
      <c r="D1141" s="708">
        <f t="shared" si="73"/>
        <v>0</v>
      </c>
      <c r="E1141" s="708">
        <f t="shared" si="74"/>
        <v>0</v>
      </c>
    </row>
    <row r="1142" spans="1:6">
      <c r="A1142" s="708">
        <v>129</v>
      </c>
      <c r="B1142" s="708">
        <f t="shared" ref="B1142:B1205" si="75">IF(A1142&gt;12*$D$14,0,$D$20)</f>
        <v>0</v>
      </c>
      <c r="C1142" s="708">
        <f t="shared" ref="C1142:C1205" si="76">IF(A1142&gt;12*$D$14,0,E1141*$D$10/12)</f>
        <v>0</v>
      </c>
      <c r="D1142" s="708">
        <f t="shared" ref="D1142:D1205" si="77">IF(A1142&gt;12*$D$14,0,B1142-C1142)</f>
        <v>0</v>
      </c>
      <c r="E1142" s="708">
        <f t="shared" ref="E1142:E1205" si="78">IF(A1142&gt;12*$D$14,0,E1141-D1142)</f>
        <v>0</v>
      </c>
    </row>
    <row r="1143" spans="1:6">
      <c r="A1143" s="708">
        <v>130</v>
      </c>
      <c r="B1143" s="708">
        <f t="shared" si="75"/>
        <v>0</v>
      </c>
      <c r="C1143" s="708">
        <f t="shared" si="76"/>
        <v>0</v>
      </c>
      <c r="D1143" s="708">
        <f t="shared" si="77"/>
        <v>0</v>
      </c>
      <c r="E1143" s="708">
        <f t="shared" si="78"/>
        <v>0</v>
      </c>
    </row>
    <row r="1144" spans="1:6">
      <c r="A1144" s="708">
        <v>131</v>
      </c>
      <c r="B1144" s="708">
        <f t="shared" si="75"/>
        <v>0</v>
      </c>
      <c r="C1144" s="708">
        <f t="shared" si="76"/>
        <v>0</v>
      </c>
      <c r="D1144" s="708">
        <f t="shared" si="77"/>
        <v>0</v>
      </c>
      <c r="E1144" s="708">
        <f t="shared" si="78"/>
        <v>0</v>
      </c>
    </row>
    <row r="1145" spans="1:6">
      <c r="A1145" s="708">
        <v>132</v>
      </c>
      <c r="B1145" s="708">
        <f t="shared" si="75"/>
        <v>0</v>
      </c>
      <c r="C1145" s="708">
        <f t="shared" si="76"/>
        <v>0</v>
      </c>
      <c r="D1145" s="708">
        <f t="shared" si="77"/>
        <v>0</v>
      </c>
      <c r="E1145" s="708">
        <f t="shared" si="78"/>
        <v>0</v>
      </c>
      <c r="F1145" s="708">
        <v>11</v>
      </c>
    </row>
    <row r="1146" spans="1:6">
      <c r="A1146" s="708">
        <v>133</v>
      </c>
      <c r="B1146" s="708">
        <f t="shared" si="75"/>
        <v>0</v>
      </c>
      <c r="C1146" s="708">
        <f t="shared" si="76"/>
        <v>0</v>
      </c>
      <c r="D1146" s="708">
        <f t="shared" si="77"/>
        <v>0</v>
      </c>
      <c r="E1146" s="708">
        <f t="shared" si="78"/>
        <v>0</v>
      </c>
    </row>
    <row r="1147" spans="1:6">
      <c r="A1147" s="708">
        <v>134</v>
      </c>
      <c r="B1147" s="708">
        <f t="shared" si="75"/>
        <v>0</v>
      </c>
      <c r="C1147" s="708">
        <f t="shared" si="76"/>
        <v>0</v>
      </c>
      <c r="D1147" s="708">
        <f t="shared" si="77"/>
        <v>0</v>
      </c>
      <c r="E1147" s="708">
        <f t="shared" si="78"/>
        <v>0</v>
      </c>
    </row>
    <row r="1148" spans="1:6">
      <c r="A1148" s="708">
        <v>135</v>
      </c>
      <c r="B1148" s="708">
        <f t="shared" si="75"/>
        <v>0</v>
      </c>
      <c r="C1148" s="708">
        <f t="shared" si="76"/>
        <v>0</v>
      </c>
      <c r="D1148" s="708">
        <f t="shared" si="77"/>
        <v>0</v>
      </c>
      <c r="E1148" s="708">
        <f t="shared" si="78"/>
        <v>0</v>
      </c>
    </row>
    <row r="1149" spans="1:6">
      <c r="A1149" s="708">
        <v>136</v>
      </c>
      <c r="B1149" s="708">
        <f t="shared" si="75"/>
        <v>0</v>
      </c>
      <c r="C1149" s="708">
        <f t="shared" si="76"/>
        <v>0</v>
      </c>
      <c r="D1149" s="708">
        <f t="shared" si="77"/>
        <v>0</v>
      </c>
      <c r="E1149" s="708">
        <f t="shared" si="78"/>
        <v>0</v>
      </c>
    </row>
    <row r="1150" spans="1:6">
      <c r="A1150" s="708">
        <v>137</v>
      </c>
      <c r="B1150" s="708">
        <f t="shared" si="75"/>
        <v>0</v>
      </c>
      <c r="C1150" s="708">
        <f t="shared" si="76"/>
        <v>0</v>
      </c>
      <c r="D1150" s="708">
        <f t="shared" si="77"/>
        <v>0</v>
      </c>
      <c r="E1150" s="708">
        <f t="shared" si="78"/>
        <v>0</v>
      </c>
    </row>
    <row r="1151" spans="1:6">
      <c r="A1151" s="708">
        <v>138</v>
      </c>
      <c r="B1151" s="708">
        <f t="shared" si="75"/>
        <v>0</v>
      </c>
      <c r="C1151" s="708">
        <f t="shared" si="76"/>
        <v>0</v>
      </c>
      <c r="D1151" s="708">
        <f t="shared" si="77"/>
        <v>0</v>
      </c>
      <c r="E1151" s="708">
        <f t="shared" si="78"/>
        <v>0</v>
      </c>
    </row>
    <row r="1152" spans="1:6">
      <c r="A1152" s="708">
        <v>139</v>
      </c>
      <c r="B1152" s="708">
        <f t="shared" si="75"/>
        <v>0</v>
      </c>
      <c r="C1152" s="708">
        <f t="shared" si="76"/>
        <v>0</v>
      </c>
      <c r="D1152" s="708">
        <f t="shared" si="77"/>
        <v>0</v>
      </c>
      <c r="E1152" s="708">
        <f t="shared" si="78"/>
        <v>0</v>
      </c>
    </row>
    <row r="1153" spans="1:6">
      <c r="A1153" s="708">
        <v>140</v>
      </c>
      <c r="B1153" s="708">
        <f t="shared" si="75"/>
        <v>0</v>
      </c>
      <c r="C1153" s="708">
        <f t="shared" si="76"/>
        <v>0</v>
      </c>
      <c r="D1153" s="708">
        <f t="shared" si="77"/>
        <v>0</v>
      </c>
      <c r="E1153" s="708">
        <f t="shared" si="78"/>
        <v>0</v>
      </c>
    </row>
    <row r="1154" spans="1:6">
      <c r="A1154" s="708">
        <v>141</v>
      </c>
      <c r="B1154" s="708">
        <f t="shared" si="75"/>
        <v>0</v>
      </c>
      <c r="C1154" s="708">
        <f t="shared" si="76"/>
        <v>0</v>
      </c>
      <c r="D1154" s="708">
        <f t="shared" si="77"/>
        <v>0</v>
      </c>
      <c r="E1154" s="708">
        <f t="shared" si="78"/>
        <v>0</v>
      </c>
    </row>
    <row r="1155" spans="1:6">
      <c r="A1155" s="708">
        <v>142</v>
      </c>
      <c r="B1155" s="708">
        <f t="shared" si="75"/>
        <v>0</v>
      </c>
      <c r="C1155" s="708">
        <f t="shared" si="76"/>
        <v>0</v>
      </c>
      <c r="D1155" s="708">
        <f t="shared" si="77"/>
        <v>0</v>
      </c>
      <c r="E1155" s="708">
        <f t="shared" si="78"/>
        <v>0</v>
      </c>
    </row>
    <row r="1156" spans="1:6">
      <c r="A1156" s="708">
        <v>143</v>
      </c>
      <c r="B1156" s="708">
        <f t="shared" si="75"/>
        <v>0</v>
      </c>
      <c r="C1156" s="708">
        <f t="shared" si="76"/>
        <v>0</v>
      </c>
      <c r="D1156" s="708">
        <f t="shared" si="77"/>
        <v>0</v>
      </c>
      <c r="E1156" s="708">
        <f t="shared" si="78"/>
        <v>0</v>
      </c>
    </row>
    <row r="1157" spans="1:6">
      <c r="A1157" s="708">
        <v>144</v>
      </c>
      <c r="B1157" s="708">
        <f t="shared" si="75"/>
        <v>0</v>
      </c>
      <c r="C1157" s="708">
        <f t="shared" si="76"/>
        <v>0</v>
      </c>
      <c r="D1157" s="708">
        <f t="shared" si="77"/>
        <v>0</v>
      </c>
      <c r="E1157" s="708">
        <f t="shared" si="78"/>
        <v>0</v>
      </c>
      <c r="F1157" s="708">
        <v>12</v>
      </c>
    </row>
    <row r="1158" spans="1:6">
      <c r="A1158" s="708">
        <v>145</v>
      </c>
      <c r="B1158" s="708">
        <f t="shared" si="75"/>
        <v>0</v>
      </c>
      <c r="C1158" s="708">
        <f t="shared" si="76"/>
        <v>0</v>
      </c>
      <c r="D1158" s="708">
        <f t="shared" si="77"/>
        <v>0</v>
      </c>
      <c r="E1158" s="708">
        <f t="shared" si="78"/>
        <v>0</v>
      </c>
    </row>
    <row r="1159" spans="1:6">
      <c r="A1159" s="708">
        <v>146</v>
      </c>
      <c r="B1159" s="708">
        <f t="shared" si="75"/>
        <v>0</v>
      </c>
      <c r="C1159" s="708">
        <f t="shared" si="76"/>
        <v>0</v>
      </c>
      <c r="D1159" s="708">
        <f t="shared" si="77"/>
        <v>0</v>
      </c>
      <c r="E1159" s="708">
        <f t="shared" si="78"/>
        <v>0</v>
      </c>
    </row>
    <row r="1160" spans="1:6">
      <c r="A1160" s="708">
        <v>147</v>
      </c>
      <c r="B1160" s="708">
        <f t="shared" si="75"/>
        <v>0</v>
      </c>
      <c r="C1160" s="708">
        <f t="shared" si="76"/>
        <v>0</v>
      </c>
      <c r="D1160" s="708">
        <f t="shared" si="77"/>
        <v>0</v>
      </c>
      <c r="E1160" s="708">
        <f t="shared" si="78"/>
        <v>0</v>
      </c>
    </row>
    <row r="1161" spans="1:6">
      <c r="A1161" s="708">
        <v>148</v>
      </c>
      <c r="B1161" s="708">
        <f t="shared" si="75"/>
        <v>0</v>
      </c>
      <c r="C1161" s="708">
        <f t="shared" si="76"/>
        <v>0</v>
      </c>
      <c r="D1161" s="708">
        <f t="shared" si="77"/>
        <v>0</v>
      </c>
      <c r="E1161" s="708">
        <f t="shared" si="78"/>
        <v>0</v>
      </c>
    </row>
    <row r="1162" spans="1:6">
      <c r="A1162" s="708">
        <v>149</v>
      </c>
      <c r="B1162" s="708">
        <f t="shared" si="75"/>
        <v>0</v>
      </c>
      <c r="C1162" s="708">
        <f t="shared" si="76"/>
        <v>0</v>
      </c>
      <c r="D1162" s="708">
        <f t="shared" si="77"/>
        <v>0</v>
      </c>
      <c r="E1162" s="708">
        <f t="shared" si="78"/>
        <v>0</v>
      </c>
    </row>
    <row r="1163" spans="1:6">
      <c r="A1163" s="708">
        <v>150</v>
      </c>
      <c r="B1163" s="708">
        <f t="shared" si="75"/>
        <v>0</v>
      </c>
      <c r="C1163" s="708">
        <f t="shared" si="76"/>
        <v>0</v>
      </c>
      <c r="D1163" s="708">
        <f t="shared" si="77"/>
        <v>0</v>
      </c>
      <c r="E1163" s="708">
        <f t="shared" si="78"/>
        <v>0</v>
      </c>
    </row>
    <row r="1164" spans="1:6">
      <c r="A1164" s="708">
        <v>151</v>
      </c>
      <c r="B1164" s="708">
        <f t="shared" si="75"/>
        <v>0</v>
      </c>
      <c r="C1164" s="708">
        <f t="shared" si="76"/>
        <v>0</v>
      </c>
      <c r="D1164" s="708">
        <f t="shared" si="77"/>
        <v>0</v>
      </c>
      <c r="E1164" s="708">
        <f t="shared" si="78"/>
        <v>0</v>
      </c>
    </row>
    <row r="1165" spans="1:6">
      <c r="A1165" s="708">
        <v>152</v>
      </c>
      <c r="B1165" s="708">
        <f t="shared" si="75"/>
        <v>0</v>
      </c>
      <c r="C1165" s="708">
        <f t="shared" si="76"/>
        <v>0</v>
      </c>
      <c r="D1165" s="708">
        <f t="shared" si="77"/>
        <v>0</v>
      </c>
      <c r="E1165" s="708">
        <f t="shared" si="78"/>
        <v>0</v>
      </c>
    </row>
    <row r="1166" spans="1:6">
      <c r="A1166" s="708">
        <v>153</v>
      </c>
      <c r="B1166" s="708">
        <f t="shared" si="75"/>
        <v>0</v>
      </c>
      <c r="C1166" s="708">
        <f t="shared" si="76"/>
        <v>0</v>
      </c>
      <c r="D1166" s="708">
        <f t="shared" si="77"/>
        <v>0</v>
      </c>
      <c r="E1166" s="708">
        <f t="shared" si="78"/>
        <v>0</v>
      </c>
    </row>
    <row r="1167" spans="1:6">
      <c r="A1167" s="708">
        <v>154</v>
      </c>
      <c r="B1167" s="708">
        <f t="shared" si="75"/>
        <v>0</v>
      </c>
      <c r="C1167" s="708">
        <f t="shared" si="76"/>
        <v>0</v>
      </c>
      <c r="D1167" s="708">
        <f t="shared" si="77"/>
        <v>0</v>
      </c>
      <c r="E1167" s="708">
        <f t="shared" si="78"/>
        <v>0</v>
      </c>
    </row>
    <row r="1168" spans="1:6">
      <c r="A1168" s="708">
        <v>155</v>
      </c>
      <c r="B1168" s="708">
        <f t="shared" si="75"/>
        <v>0</v>
      </c>
      <c r="C1168" s="708">
        <f t="shared" si="76"/>
        <v>0</v>
      </c>
      <c r="D1168" s="708">
        <f t="shared" si="77"/>
        <v>0</v>
      </c>
      <c r="E1168" s="708">
        <f t="shared" si="78"/>
        <v>0</v>
      </c>
    </row>
    <row r="1169" spans="1:6">
      <c r="A1169" s="708">
        <v>156</v>
      </c>
      <c r="B1169" s="708">
        <f t="shared" si="75"/>
        <v>0</v>
      </c>
      <c r="C1169" s="708">
        <f t="shared" si="76"/>
        <v>0</v>
      </c>
      <c r="D1169" s="708">
        <f t="shared" si="77"/>
        <v>0</v>
      </c>
      <c r="E1169" s="708">
        <f t="shared" si="78"/>
        <v>0</v>
      </c>
      <c r="F1169" s="708">
        <v>13</v>
      </c>
    </row>
    <row r="1170" spans="1:6">
      <c r="A1170" s="708">
        <v>157</v>
      </c>
      <c r="B1170" s="708">
        <f t="shared" si="75"/>
        <v>0</v>
      </c>
      <c r="C1170" s="708">
        <f t="shared" si="76"/>
        <v>0</v>
      </c>
      <c r="D1170" s="708">
        <f t="shared" si="77"/>
        <v>0</v>
      </c>
      <c r="E1170" s="708">
        <f t="shared" si="78"/>
        <v>0</v>
      </c>
    </row>
    <row r="1171" spans="1:6">
      <c r="A1171" s="708">
        <v>158</v>
      </c>
      <c r="B1171" s="708">
        <f t="shared" si="75"/>
        <v>0</v>
      </c>
      <c r="C1171" s="708">
        <f t="shared" si="76"/>
        <v>0</v>
      </c>
      <c r="D1171" s="708">
        <f t="shared" si="77"/>
        <v>0</v>
      </c>
      <c r="E1171" s="708">
        <f t="shared" si="78"/>
        <v>0</v>
      </c>
    </row>
    <row r="1172" spans="1:6">
      <c r="A1172" s="708">
        <v>159</v>
      </c>
      <c r="B1172" s="708">
        <f t="shared" si="75"/>
        <v>0</v>
      </c>
      <c r="C1172" s="708">
        <f t="shared" si="76"/>
        <v>0</v>
      </c>
      <c r="D1172" s="708">
        <f t="shared" si="77"/>
        <v>0</v>
      </c>
      <c r="E1172" s="708">
        <f t="shared" si="78"/>
        <v>0</v>
      </c>
    </row>
    <row r="1173" spans="1:6">
      <c r="A1173" s="708">
        <v>160</v>
      </c>
      <c r="B1173" s="708">
        <f t="shared" si="75"/>
        <v>0</v>
      </c>
      <c r="C1173" s="708">
        <f t="shared" si="76"/>
        <v>0</v>
      </c>
      <c r="D1173" s="708">
        <f t="shared" si="77"/>
        <v>0</v>
      </c>
      <c r="E1173" s="708">
        <f t="shared" si="78"/>
        <v>0</v>
      </c>
    </row>
    <row r="1174" spans="1:6">
      <c r="A1174" s="708">
        <v>161</v>
      </c>
      <c r="B1174" s="708">
        <f t="shared" si="75"/>
        <v>0</v>
      </c>
      <c r="C1174" s="708">
        <f t="shared" si="76"/>
        <v>0</v>
      </c>
      <c r="D1174" s="708">
        <f t="shared" si="77"/>
        <v>0</v>
      </c>
      <c r="E1174" s="708">
        <f t="shared" si="78"/>
        <v>0</v>
      </c>
    </row>
    <row r="1175" spans="1:6">
      <c r="A1175" s="708">
        <v>162</v>
      </c>
      <c r="B1175" s="708">
        <f t="shared" si="75"/>
        <v>0</v>
      </c>
      <c r="C1175" s="708">
        <f t="shared" si="76"/>
        <v>0</v>
      </c>
      <c r="D1175" s="708">
        <f t="shared" si="77"/>
        <v>0</v>
      </c>
      <c r="E1175" s="708">
        <f t="shared" si="78"/>
        <v>0</v>
      </c>
    </row>
    <row r="1176" spans="1:6">
      <c r="A1176" s="708">
        <v>163</v>
      </c>
      <c r="B1176" s="708">
        <f t="shared" si="75"/>
        <v>0</v>
      </c>
      <c r="C1176" s="708">
        <f t="shared" si="76"/>
        <v>0</v>
      </c>
      <c r="D1176" s="708">
        <f t="shared" si="77"/>
        <v>0</v>
      </c>
      <c r="E1176" s="708">
        <f t="shared" si="78"/>
        <v>0</v>
      </c>
    </row>
    <row r="1177" spans="1:6">
      <c r="A1177" s="708">
        <v>164</v>
      </c>
      <c r="B1177" s="708">
        <f t="shared" si="75"/>
        <v>0</v>
      </c>
      <c r="C1177" s="708">
        <f t="shared" si="76"/>
        <v>0</v>
      </c>
      <c r="D1177" s="708">
        <f t="shared" si="77"/>
        <v>0</v>
      </c>
      <c r="E1177" s="708">
        <f t="shared" si="78"/>
        <v>0</v>
      </c>
    </row>
    <row r="1178" spans="1:6">
      <c r="A1178" s="708">
        <v>165</v>
      </c>
      <c r="B1178" s="708">
        <f t="shared" si="75"/>
        <v>0</v>
      </c>
      <c r="C1178" s="708">
        <f t="shared" si="76"/>
        <v>0</v>
      </c>
      <c r="D1178" s="708">
        <f t="shared" si="77"/>
        <v>0</v>
      </c>
      <c r="E1178" s="708">
        <f t="shared" si="78"/>
        <v>0</v>
      </c>
    </row>
    <row r="1179" spans="1:6">
      <c r="A1179" s="708">
        <v>166</v>
      </c>
      <c r="B1179" s="708">
        <f t="shared" si="75"/>
        <v>0</v>
      </c>
      <c r="C1179" s="708">
        <f t="shared" si="76"/>
        <v>0</v>
      </c>
      <c r="D1179" s="708">
        <f t="shared" si="77"/>
        <v>0</v>
      </c>
      <c r="E1179" s="708">
        <f t="shared" si="78"/>
        <v>0</v>
      </c>
    </row>
    <row r="1180" spans="1:6">
      <c r="A1180" s="708">
        <v>167</v>
      </c>
      <c r="B1180" s="708">
        <f t="shared" si="75"/>
        <v>0</v>
      </c>
      <c r="C1180" s="708">
        <f t="shared" si="76"/>
        <v>0</v>
      </c>
      <c r="D1180" s="708">
        <f t="shared" si="77"/>
        <v>0</v>
      </c>
      <c r="E1180" s="708">
        <f t="shared" si="78"/>
        <v>0</v>
      </c>
    </row>
    <row r="1181" spans="1:6">
      <c r="A1181" s="708">
        <v>168</v>
      </c>
      <c r="B1181" s="708">
        <f t="shared" si="75"/>
        <v>0</v>
      </c>
      <c r="C1181" s="708">
        <f t="shared" si="76"/>
        <v>0</v>
      </c>
      <c r="D1181" s="708">
        <f t="shared" si="77"/>
        <v>0</v>
      </c>
      <c r="E1181" s="708">
        <f t="shared" si="78"/>
        <v>0</v>
      </c>
      <c r="F1181" s="708">
        <v>14</v>
      </c>
    </row>
    <row r="1182" spans="1:6">
      <c r="A1182" s="708">
        <v>169</v>
      </c>
      <c r="B1182" s="708">
        <f t="shared" si="75"/>
        <v>0</v>
      </c>
      <c r="C1182" s="708">
        <f t="shared" si="76"/>
        <v>0</v>
      </c>
      <c r="D1182" s="708">
        <f t="shared" si="77"/>
        <v>0</v>
      </c>
      <c r="E1182" s="708">
        <f t="shared" si="78"/>
        <v>0</v>
      </c>
    </row>
    <row r="1183" spans="1:6">
      <c r="A1183" s="708">
        <v>170</v>
      </c>
      <c r="B1183" s="708">
        <f t="shared" si="75"/>
        <v>0</v>
      </c>
      <c r="C1183" s="708">
        <f t="shared" si="76"/>
        <v>0</v>
      </c>
      <c r="D1183" s="708">
        <f t="shared" si="77"/>
        <v>0</v>
      </c>
      <c r="E1183" s="708">
        <f t="shared" si="78"/>
        <v>0</v>
      </c>
    </row>
    <row r="1184" spans="1:6">
      <c r="A1184" s="708">
        <v>171</v>
      </c>
      <c r="B1184" s="708">
        <f t="shared" si="75"/>
        <v>0</v>
      </c>
      <c r="C1184" s="708">
        <f t="shared" si="76"/>
        <v>0</v>
      </c>
      <c r="D1184" s="708">
        <f t="shared" si="77"/>
        <v>0</v>
      </c>
      <c r="E1184" s="708">
        <f t="shared" si="78"/>
        <v>0</v>
      </c>
    </row>
    <row r="1185" spans="1:6">
      <c r="A1185" s="708">
        <v>172</v>
      </c>
      <c r="B1185" s="708">
        <f t="shared" si="75"/>
        <v>0</v>
      </c>
      <c r="C1185" s="708">
        <f t="shared" si="76"/>
        <v>0</v>
      </c>
      <c r="D1185" s="708">
        <f t="shared" si="77"/>
        <v>0</v>
      </c>
      <c r="E1185" s="708">
        <f t="shared" si="78"/>
        <v>0</v>
      </c>
    </row>
    <row r="1186" spans="1:6">
      <c r="A1186" s="708">
        <v>173</v>
      </c>
      <c r="B1186" s="708">
        <f t="shared" si="75"/>
        <v>0</v>
      </c>
      <c r="C1186" s="708">
        <f t="shared" si="76"/>
        <v>0</v>
      </c>
      <c r="D1186" s="708">
        <f t="shared" si="77"/>
        <v>0</v>
      </c>
      <c r="E1186" s="708">
        <f t="shared" si="78"/>
        <v>0</v>
      </c>
    </row>
    <row r="1187" spans="1:6">
      <c r="A1187" s="708">
        <v>174</v>
      </c>
      <c r="B1187" s="708">
        <f t="shared" si="75"/>
        <v>0</v>
      </c>
      <c r="C1187" s="708">
        <f t="shared" si="76"/>
        <v>0</v>
      </c>
      <c r="D1187" s="708">
        <f t="shared" si="77"/>
        <v>0</v>
      </c>
      <c r="E1187" s="708">
        <f t="shared" si="78"/>
        <v>0</v>
      </c>
    </row>
    <row r="1188" spans="1:6">
      <c r="A1188" s="708">
        <v>175</v>
      </c>
      <c r="B1188" s="708">
        <f t="shared" si="75"/>
        <v>0</v>
      </c>
      <c r="C1188" s="708">
        <f t="shared" si="76"/>
        <v>0</v>
      </c>
      <c r="D1188" s="708">
        <f t="shared" si="77"/>
        <v>0</v>
      </c>
      <c r="E1188" s="708">
        <f t="shared" si="78"/>
        <v>0</v>
      </c>
    </row>
    <row r="1189" spans="1:6">
      <c r="A1189" s="708">
        <v>176</v>
      </c>
      <c r="B1189" s="708">
        <f t="shared" si="75"/>
        <v>0</v>
      </c>
      <c r="C1189" s="708">
        <f t="shared" si="76"/>
        <v>0</v>
      </c>
      <c r="D1189" s="708">
        <f t="shared" si="77"/>
        <v>0</v>
      </c>
      <c r="E1189" s="708">
        <f t="shared" si="78"/>
        <v>0</v>
      </c>
    </row>
    <row r="1190" spans="1:6">
      <c r="A1190" s="708">
        <v>177</v>
      </c>
      <c r="B1190" s="708">
        <f t="shared" si="75"/>
        <v>0</v>
      </c>
      <c r="C1190" s="708">
        <f t="shared" si="76"/>
        <v>0</v>
      </c>
      <c r="D1190" s="708">
        <f t="shared" si="77"/>
        <v>0</v>
      </c>
      <c r="E1190" s="708">
        <f t="shared" si="78"/>
        <v>0</v>
      </c>
    </row>
    <row r="1191" spans="1:6">
      <c r="A1191" s="708">
        <v>178</v>
      </c>
      <c r="B1191" s="708">
        <f t="shared" si="75"/>
        <v>0</v>
      </c>
      <c r="C1191" s="708">
        <f t="shared" si="76"/>
        <v>0</v>
      </c>
      <c r="D1191" s="708">
        <f t="shared" si="77"/>
        <v>0</v>
      </c>
      <c r="E1191" s="708">
        <f t="shared" si="78"/>
        <v>0</v>
      </c>
    </row>
    <row r="1192" spans="1:6">
      <c r="A1192" s="708">
        <v>179</v>
      </c>
      <c r="B1192" s="708">
        <f t="shared" si="75"/>
        <v>0</v>
      </c>
      <c r="C1192" s="708">
        <f t="shared" si="76"/>
        <v>0</v>
      </c>
      <c r="D1192" s="708">
        <f t="shared" si="77"/>
        <v>0</v>
      </c>
      <c r="E1192" s="708">
        <f t="shared" si="78"/>
        <v>0</v>
      </c>
    </row>
    <row r="1193" spans="1:6">
      <c r="A1193" s="708">
        <v>180</v>
      </c>
      <c r="B1193" s="708">
        <f t="shared" si="75"/>
        <v>0</v>
      </c>
      <c r="C1193" s="708">
        <f t="shared" si="76"/>
        <v>0</v>
      </c>
      <c r="D1193" s="708">
        <f t="shared" si="77"/>
        <v>0</v>
      </c>
      <c r="E1193" s="708">
        <f t="shared" si="78"/>
        <v>0</v>
      </c>
      <c r="F1193" s="708">
        <v>15</v>
      </c>
    </row>
    <row r="1194" spans="1:6">
      <c r="A1194" s="708">
        <v>181</v>
      </c>
      <c r="B1194" s="708">
        <f t="shared" si="75"/>
        <v>0</v>
      </c>
      <c r="C1194" s="708">
        <f t="shared" si="76"/>
        <v>0</v>
      </c>
      <c r="D1194" s="708">
        <f t="shared" si="77"/>
        <v>0</v>
      </c>
      <c r="E1194" s="708">
        <f t="shared" si="78"/>
        <v>0</v>
      </c>
    </row>
    <row r="1195" spans="1:6">
      <c r="A1195" s="708">
        <v>182</v>
      </c>
      <c r="B1195" s="708">
        <f t="shared" si="75"/>
        <v>0</v>
      </c>
      <c r="C1195" s="708">
        <f t="shared" si="76"/>
        <v>0</v>
      </c>
      <c r="D1195" s="708">
        <f t="shared" si="77"/>
        <v>0</v>
      </c>
      <c r="E1195" s="708">
        <f t="shared" si="78"/>
        <v>0</v>
      </c>
    </row>
    <row r="1196" spans="1:6">
      <c r="A1196" s="708">
        <v>183</v>
      </c>
      <c r="B1196" s="708">
        <f t="shared" si="75"/>
        <v>0</v>
      </c>
      <c r="C1196" s="708">
        <f t="shared" si="76"/>
        <v>0</v>
      </c>
      <c r="D1196" s="708">
        <f t="shared" si="77"/>
        <v>0</v>
      </c>
      <c r="E1196" s="708">
        <f t="shared" si="78"/>
        <v>0</v>
      </c>
    </row>
    <row r="1197" spans="1:6">
      <c r="A1197" s="708">
        <v>184</v>
      </c>
      <c r="B1197" s="708">
        <f t="shared" si="75"/>
        <v>0</v>
      </c>
      <c r="C1197" s="708">
        <f t="shared" si="76"/>
        <v>0</v>
      </c>
      <c r="D1197" s="708">
        <f t="shared" si="77"/>
        <v>0</v>
      </c>
      <c r="E1197" s="708">
        <f t="shared" si="78"/>
        <v>0</v>
      </c>
    </row>
    <row r="1198" spans="1:6">
      <c r="A1198" s="708">
        <v>185</v>
      </c>
      <c r="B1198" s="708">
        <f t="shared" si="75"/>
        <v>0</v>
      </c>
      <c r="C1198" s="708">
        <f t="shared" si="76"/>
        <v>0</v>
      </c>
      <c r="D1198" s="708">
        <f t="shared" si="77"/>
        <v>0</v>
      </c>
      <c r="E1198" s="708">
        <f t="shared" si="78"/>
        <v>0</v>
      </c>
    </row>
    <row r="1199" spans="1:6">
      <c r="A1199" s="708">
        <v>186</v>
      </c>
      <c r="B1199" s="708">
        <f t="shared" si="75"/>
        <v>0</v>
      </c>
      <c r="C1199" s="708">
        <f t="shared" si="76"/>
        <v>0</v>
      </c>
      <c r="D1199" s="708">
        <f t="shared" si="77"/>
        <v>0</v>
      </c>
      <c r="E1199" s="708">
        <f t="shared" si="78"/>
        <v>0</v>
      </c>
    </row>
    <row r="1200" spans="1:6">
      <c r="A1200" s="708">
        <v>187</v>
      </c>
      <c r="B1200" s="708">
        <f t="shared" si="75"/>
        <v>0</v>
      </c>
      <c r="C1200" s="708">
        <f t="shared" si="76"/>
        <v>0</v>
      </c>
      <c r="D1200" s="708">
        <f t="shared" si="77"/>
        <v>0</v>
      </c>
      <c r="E1200" s="708">
        <f t="shared" si="78"/>
        <v>0</v>
      </c>
    </row>
    <row r="1201" spans="1:6">
      <c r="A1201" s="708">
        <v>188</v>
      </c>
      <c r="B1201" s="708">
        <f t="shared" si="75"/>
        <v>0</v>
      </c>
      <c r="C1201" s="708">
        <f t="shared" si="76"/>
        <v>0</v>
      </c>
      <c r="D1201" s="708">
        <f t="shared" si="77"/>
        <v>0</v>
      </c>
      <c r="E1201" s="708">
        <f t="shared" si="78"/>
        <v>0</v>
      </c>
    </row>
    <row r="1202" spans="1:6">
      <c r="A1202" s="708">
        <v>189</v>
      </c>
      <c r="B1202" s="708">
        <f t="shared" si="75"/>
        <v>0</v>
      </c>
      <c r="C1202" s="708">
        <f t="shared" si="76"/>
        <v>0</v>
      </c>
      <c r="D1202" s="708">
        <f t="shared" si="77"/>
        <v>0</v>
      </c>
      <c r="E1202" s="708">
        <f t="shared" si="78"/>
        <v>0</v>
      </c>
    </row>
    <row r="1203" spans="1:6">
      <c r="A1203" s="708">
        <v>190</v>
      </c>
      <c r="B1203" s="708">
        <f t="shared" si="75"/>
        <v>0</v>
      </c>
      <c r="C1203" s="708">
        <f t="shared" si="76"/>
        <v>0</v>
      </c>
      <c r="D1203" s="708">
        <f t="shared" si="77"/>
        <v>0</v>
      </c>
      <c r="E1203" s="708">
        <f t="shared" si="78"/>
        <v>0</v>
      </c>
    </row>
    <row r="1204" spans="1:6">
      <c r="A1204" s="708">
        <v>191</v>
      </c>
      <c r="B1204" s="708">
        <f t="shared" si="75"/>
        <v>0</v>
      </c>
      <c r="C1204" s="708">
        <f t="shared" si="76"/>
        <v>0</v>
      </c>
      <c r="D1204" s="708">
        <f t="shared" si="77"/>
        <v>0</v>
      </c>
      <c r="E1204" s="708">
        <f t="shared" si="78"/>
        <v>0</v>
      </c>
    </row>
    <row r="1205" spans="1:6">
      <c r="A1205" s="708">
        <v>192</v>
      </c>
      <c r="B1205" s="708">
        <f t="shared" si="75"/>
        <v>0</v>
      </c>
      <c r="C1205" s="708">
        <f t="shared" si="76"/>
        <v>0</v>
      </c>
      <c r="D1205" s="708">
        <f t="shared" si="77"/>
        <v>0</v>
      </c>
      <c r="E1205" s="708">
        <f t="shared" si="78"/>
        <v>0</v>
      </c>
      <c r="F1205" s="708">
        <v>16</v>
      </c>
    </row>
    <row r="1206" spans="1:6">
      <c r="A1206" s="708">
        <v>193</v>
      </c>
      <c r="B1206" s="708">
        <f t="shared" ref="B1206:B1269" si="79">IF(A1206&gt;12*$D$14,0,$D$20)</f>
        <v>0</v>
      </c>
      <c r="C1206" s="708">
        <f t="shared" ref="C1206:C1269" si="80">IF(A1206&gt;12*$D$14,0,E1205*$D$10/12)</f>
        <v>0</v>
      </c>
      <c r="D1206" s="708">
        <f t="shared" ref="D1206:D1269" si="81">IF(A1206&gt;12*$D$14,0,B1206-C1206)</f>
        <v>0</v>
      </c>
      <c r="E1206" s="708">
        <f t="shared" ref="E1206:E1269" si="82">IF(A1206&gt;12*$D$14,0,E1205-D1206)</f>
        <v>0</v>
      </c>
    </row>
    <row r="1207" spans="1:6">
      <c r="A1207" s="708">
        <v>194</v>
      </c>
      <c r="B1207" s="708">
        <f t="shared" si="79"/>
        <v>0</v>
      </c>
      <c r="C1207" s="708">
        <f t="shared" si="80"/>
        <v>0</v>
      </c>
      <c r="D1207" s="708">
        <f t="shared" si="81"/>
        <v>0</v>
      </c>
      <c r="E1207" s="708">
        <f t="shared" si="82"/>
        <v>0</v>
      </c>
    </row>
    <row r="1208" spans="1:6">
      <c r="A1208" s="708">
        <v>195</v>
      </c>
      <c r="B1208" s="708">
        <f t="shared" si="79"/>
        <v>0</v>
      </c>
      <c r="C1208" s="708">
        <f t="shared" si="80"/>
        <v>0</v>
      </c>
      <c r="D1208" s="708">
        <f t="shared" si="81"/>
        <v>0</v>
      </c>
      <c r="E1208" s="708">
        <f t="shared" si="82"/>
        <v>0</v>
      </c>
    </row>
    <row r="1209" spans="1:6">
      <c r="A1209" s="708">
        <v>196</v>
      </c>
      <c r="B1209" s="708">
        <f t="shared" si="79"/>
        <v>0</v>
      </c>
      <c r="C1209" s="708">
        <f t="shared" si="80"/>
        <v>0</v>
      </c>
      <c r="D1209" s="708">
        <f t="shared" si="81"/>
        <v>0</v>
      </c>
      <c r="E1209" s="708">
        <f t="shared" si="82"/>
        <v>0</v>
      </c>
    </row>
    <row r="1210" spans="1:6">
      <c r="A1210" s="708">
        <v>197</v>
      </c>
      <c r="B1210" s="708">
        <f t="shared" si="79"/>
        <v>0</v>
      </c>
      <c r="C1210" s="708">
        <f t="shared" si="80"/>
        <v>0</v>
      </c>
      <c r="D1210" s="708">
        <f t="shared" si="81"/>
        <v>0</v>
      </c>
      <c r="E1210" s="708">
        <f t="shared" si="82"/>
        <v>0</v>
      </c>
    </row>
    <row r="1211" spans="1:6">
      <c r="A1211" s="708">
        <v>198</v>
      </c>
      <c r="B1211" s="708">
        <f t="shared" si="79"/>
        <v>0</v>
      </c>
      <c r="C1211" s="708">
        <f t="shared" si="80"/>
        <v>0</v>
      </c>
      <c r="D1211" s="708">
        <f t="shared" si="81"/>
        <v>0</v>
      </c>
      <c r="E1211" s="708">
        <f t="shared" si="82"/>
        <v>0</v>
      </c>
    </row>
    <row r="1212" spans="1:6">
      <c r="A1212" s="708">
        <v>199</v>
      </c>
      <c r="B1212" s="708">
        <f t="shared" si="79"/>
        <v>0</v>
      </c>
      <c r="C1212" s="708">
        <f t="shared" si="80"/>
        <v>0</v>
      </c>
      <c r="D1212" s="708">
        <f t="shared" si="81"/>
        <v>0</v>
      </c>
      <c r="E1212" s="708">
        <f t="shared" si="82"/>
        <v>0</v>
      </c>
    </row>
    <row r="1213" spans="1:6">
      <c r="A1213" s="708">
        <v>200</v>
      </c>
      <c r="B1213" s="708">
        <f t="shared" si="79"/>
        <v>0</v>
      </c>
      <c r="C1213" s="708">
        <f t="shared" si="80"/>
        <v>0</v>
      </c>
      <c r="D1213" s="708">
        <f t="shared" si="81"/>
        <v>0</v>
      </c>
      <c r="E1213" s="708">
        <f t="shared" si="82"/>
        <v>0</v>
      </c>
    </row>
    <row r="1214" spans="1:6">
      <c r="A1214" s="708">
        <v>201</v>
      </c>
      <c r="B1214" s="708">
        <f t="shared" si="79"/>
        <v>0</v>
      </c>
      <c r="C1214" s="708">
        <f t="shared" si="80"/>
        <v>0</v>
      </c>
      <c r="D1214" s="708">
        <f t="shared" si="81"/>
        <v>0</v>
      </c>
      <c r="E1214" s="708">
        <f t="shared" si="82"/>
        <v>0</v>
      </c>
    </row>
    <row r="1215" spans="1:6">
      <c r="A1215" s="708">
        <v>202</v>
      </c>
      <c r="B1215" s="708">
        <f t="shared" si="79"/>
        <v>0</v>
      </c>
      <c r="C1215" s="708">
        <f t="shared" si="80"/>
        <v>0</v>
      </c>
      <c r="D1215" s="708">
        <f t="shared" si="81"/>
        <v>0</v>
      </c>
      <c r="E1215" s="708">
        <f t="shared" si="82"/>
        <v>0</v>
      </c>
    </row>
    <row r="1216" spans="1:6">
      <c r="A1216" s="708">
        <v>203</v>
      </c>
      <c r="B1216" s="708">
        <f t="shared" si="79"/>
        <v>0</v>
      </c>
      <c r="C1216" s="708">
        <f t="shared" si="80"/>
        <v>0</v>
      </c>
      <c r="D1216" s="708">
        <f t="shared" si="81"/>
        <v>0</v>
      </c>
      <c r="E1216" s="708">
        <f t="shared" si="82"/>
        <v>0</v>
      </c>
    </row>
    <row r="1217" spans="1:6">
      <c r="A1217" s="708">
        <v>204</v>
      </c>
      <c r="B1217" s="708">
        <f t="shared" si="79"/>
        <v>0</v>
      </c>
      <c r="C1217" s="708">
        <f t="shared" si="80"/>
        <v>0</v>
      </c>
      <c r="D1217" s="708">
        <f t="shared" si="81"/>
        <v>0</v>
      </c>
      <c r="E1217" s="708">
        <f t="shared" si="82"/>
        <v>0</v>
      </c>
      <c r="F1217" s="708">
        <v>17</v>
      </c>
    </row>
    <row r="1218" spans="1:6">
      <c r="A1218" s="708">
        <v>205</v>
      </c>
      <c r="B1218" s="708">
        <f t="shared" si="79"/>
        <v>0</v>
      </c>
      <c r="C1218" s="708">
        <f t="shared" si="80"/>
        <v>0</v>
      </c>
      <c r="D1218" s="708">
        <f t="shared" si="81"/>
        <v>0</v>
      </c>
      <c r="E1218" s="708">
        <f t="shared" si="82"/>
        <v>0</v>
      </c>
    </row>
    <row r="1219" spans="1:6">
      <c r="A1219" s="708">
        <v>206</v>
      </c>
      <c r="B1219" s="708">
        <f t="shared" si="79"/>
        <v>0</v>
      </c>
      <c r="C1219" s="708">
        <f t="shared" si="80"/>
        <v>0</v>
      </c>
      <c r="D1219" s="708">
        <f t="shared" si="81"/>
        <v>0</v>
      </c>
      <c r="E1219" s="708">
        <f t="shared" si="82"/>
        <v>0</v>
      </c>
    </row>
    <row r="1220" spans="1:6">
      <c r="A1220" s="708">
        <v>207</v>
      </c>
      <c r="B1220" s="708">
        <f t="shared" si="79"/>
        <v>0</v>
      </c>
      <c r="C1220" s="708">
        <f t="shared" si="80"/>
        <v>0</v>
      </c>
      <c r="D1220" s="708">
        <f t="shared" si="81"/>
        <v>0</v>
      </c>
      <c r="E1220" s="708">
        <f t="shared" si="82"/>
        <v>0</v>
      </c>
    </row>
    <row r="1221" spans="1:6">
      <c r="A1221" s="708">
        <v>208</v>
      </c>
      <c r="B1221" s="708">
        <f t="shared" si="79"/>
        <v>0</v>
      </c>
      <c r="C1221" s="708">
        <f t="shared" si="80"/>
        <v>0</v>
      </c>
      <c r="D1221" s="708">
        <f t="shared" si="81"/>
        <v>0</v>
      </c>
      <c r="E1221" s="708">
        <f t="shared" si="82"/>
        <v>0</v>
      </c>
    </row>
    <row r="1222" spans="1:6">
      <c r="A1222" s="708">
        <v>209</v>
      </c>
      <c r="B1222" s="708">
        <f t="shared" si="79"/>
        <v>0</v>
      </c>
      <c r="C1222" s="708">
        <f t="shared" si="80"/>
        <v>0</v>
      </c>
      <c r="D1222" s="708">
        <f t="shared" si="81"/>
        <v>0</v>
      </c>
      <c r="E1222" s="708">
        <f t="shared" si="82"/>
        <v>0</v>
      </c>
    </row>
    <row r="1223" spans="1:6">
      <c r="A1223" s="708">
        <v>210</v>
      </c>
      <c r="B1223" s="708">
        <f t="shared" si="79"/>
        <v>0</v>
      </c>
      <c r="C1223" s="708">
        <f t="shared" si="80"/>
        <v>0</v>
      </c>
      <c r="D1223" s="708">
        <f t="shared" si="81"/>
        <v>0</v>
      </c>
      <c r="E1223" s="708">
        <f t="shared" si="82"/>
        <v>0</v>
      </c>
    </row>
    <row r="1224" spans="1:6">
      <c r="A1224" s="708">
        <v>211</v>
      </c>
      <c r="B1224" s="708">
        <f t="shared" si="79"/>
        <v>0</v>
      </c>
      <c r="C1224" s="708">
        <f t="shared" si="80"/>
        <v>0</v>
      </c>
      <c r="D1224" s="708">
        <f t="shared" si="81"/>
        <v>0</v>
      </c>
      <c r="E1224" s="708">
        <f t="shared" si="82"/>
        <v>0</v>
      </c>
    </row>
    <row r="1225" spans="1:6">
      <c r="A1225" s="708">
        <v>212</v>
      </c>
      <c r="B1225" s="708">
        <f t="shared" si="79"/>
        <v>0</v>
      </c>
      <c r="C1225" s="708">
        <f t="shared" si="80"/>
        <v>0</v>
      </c>
      <c r="D1225" s="708">
        <f t="shared" si="81"/>
        <v>0</v>
      </c>
      <c r="E1225" s="708">
        <f t="shared" si="82"/>
        <v>0</v>
      </c>
    </row>
    <row r="1226" spans="1:6">
      <c r="A1226" s="708">
        <v>213</v>
      </c>
      <c r="B1226" s="708">
        <f t="shared" si="79"/>
        <v>0</v>
      </c>
      <c r="C1226" s="708">
        <f t="shared" si="80"/>
        <v>0</v>
      </c>
      <c r="D1226" s="708">
        <f t="shared" si="81"/>
        <v>0</v>
      </c>
      <c r="E1226" s="708">
        <f t="shared" si="82"/>
        <v>0</v>
      </c>
    </row>
    <row r="1227" spans="1:6">
      <c r="A1227" s="708">
        <v>214</v>
      </c>
      <c r="B1227" s="708">
        <f t="shared" si="79"/>
        <v>0</v>
      </c>
      <c r="C1227" s="708">
        <f t="shared" si="80"/>
        <v>0</v>
      </c>
      <c r="D1227" s="708">
        <f t="shared" si="81"/>
        <v>0</v>
      </c>
      <c r="E1227" s="708">
        <f t="shared" si="82"/>
        <v>0</v>
      </c>
    </row>
    <row r="1228" spans="1:6">
      <c r="A1228" s="708">
        <v>215</v>
      </c>
      <c r="B1228" s="708">
        <f t="shared" si="79"/>
        <v>0</v>
      </c>
      <c r="C1228" s="708">
        <f t="shared" si="80"/>
        <v>0</v>
      </c>
      <c r="D1228" s="708">
        <f t="shared" si="81"/>
        <v>0</v>
      </c>
      <c r="E1228" s="708">
        <f t="shared" si="82"/>
        <v>0</v>
      </c>
    </row>
    <row r="1229" spans="1:6">
      <c r="A1229" s="708">
        <v>216</v>
      </c>
      <c r="B1229" s="708">
        <f t="shared" si="79"/>
        <v>0</v>
      </c>
      <c r="C1229" s="708">
        <f t="shared" si="80"/>
        <v>0</v>
      </c>
      <c r="D1229" s="708">
        <f t="shared" si="81"/>
        <v>0</v>
      </c>
      <c r="E1229" s="708">
        <f t="shared" si="82"/>
        <v>0</v>
      </c>
      <c r="F1229" s="708">
        <v>18</v>
      </c>
    </row>
    <row r="1230" spans="1:6">
      <c r="A1230" s="708">
        <v>217</v>
      </c>
      <c r="B1230" s="708">
        <f t="shared" si="79"/>
        <v>0</v>
      </c>
      <c r="C1230" s="708">
        <f t="shared" si="80"/>
        <v>0</v>
      </c>
      <c r="D1230" s="708">
        <f t="shared" si="81"/>
        <v>0</v>
      </c>
      <c r="E1230" s="708">
        <f t="shared" si="82"/>
        <v>0</v>
      </c>
    </row>
    <row r="1231" spans="1:6">
      <c r="A1231" s="708">
        <v>218</v>
      </c>
      <c r="B1231" s="708">
        <f t="shared" si="79"/>
        <v>0</v>
      </c>
      <c r="C1231" s="708">
        <f t="shared" si="80"/>
        <v>0</v>
      </c>
      <c r="D1231" s="708">
        <f t="shared" si="81"/>
        <v>0</v>
      </c>
      <c r="E1231" s="708">
        <f t="shared" si="82"/>
        <v>0</v>
      </c>
    </row>
    <row r="1232" spans="1:6">
      <c r="A1232" s="708">
        <v>219</v>
      </c>
      <c r="B1232" s="708">
        <f t="shared" si="79"/>
        <v>0</v>
      </c>
      <c r="C1232" s="708">
        <f t="shared" si="80"/>
        <v>0</v>
      </c>
      <c r="D1232" s="708">
        <f t="shared" si="81"/>
        <v>0</v>
      </c>
      <c r="E1232" s="708">
        <f t="shared" si="82"/>
        <v>0</v>
      </c>
    </row>
    <row r="1233" spans="1:6">
      <c r="A1233" s="708">
        <v>220</v>
      </c>
      <c r="B1233" s="708">
        <f t="shared" si="79"/>
        <v>0</v>
      </c>
      <c r="C1233" s="708">
        <f t="shared" si="80"/>
        <v>0</v>
      </c>
      <c r="D1233" s="708">
        <f t="shared" si="81"/>
        <v>0</v>
      </c>
      <c r="E1233" s="708">
        <f t="shared" si="82"/>
        <v>0</v>
      </c>
    </row>
    <row r="1234" spans="1:6">
      <c r="A1234" s="708">
        <v>221</v>
      </c>
      <c r="B1234" s="708">
        <f t="shared" si="79"/>
        <v>0</v>
      </c>
      <c r="C1234" s="708">
        <f t="shared" si="80"/>
        <v>0</v>
      </c>
      <c r="D1234" s="708">
        <f t="shared" si="81"/>
        <v>0</v>
      </c>
      <c r="E1234" s="708">
        <f t="shared" si="82"/>
        <v>0</v>
      </c>
    </row>
    <row r="1235" spans="1:6">
      <c r="A1235" s="708">
        <v>222</v>
      </c>
      <c r="B1235" s="708">
        <f t="shared" si="79"/>
        <v>0</v>
      </c>
      <c r="C1235" s="708">
        <f t="shared" si="80"/>
        <v>0</v>
      </c>
      <c r="D1235" s="708">
        <f t="shared" si="81"/>
        <v>0</v>
      </c>
      <c r="E1235" s="708">
        <f t="shared" si="82"/>
        <v>0</v>
      </c>
    </row>
    <row r="1236" spans="1:6">
      <c r="A1236" s="708">
        <v>223</v>
      </c>
      <c r="B1236" s="708">
        <f t="shared" si="79"/>
        <v>0</v>
      </c>
      <c r="C1236" s="708">
        <f t="shared" si="80"/>
        <v>0</v>
      </c>
      <c r="D1236" s="708">
        <f t="shared" si="81"/>
        <v>0</v>
      </c>
      <c r="E1236" s="708">
        <f t="shared" si="82"/>
        <v>0</v>
      </c>
    </row>
    <row r="1237" spans="1:6">
      <c r="A1237" s="708">
        <v>224</v>
      </c>
      <c r="B1237" s="708">
        <f t="shared" si="79"/>
        <v>0</v>
      </c>
      <c r="C1237" s="708">
        <f t="shared" si="80"/>
        <v>0</v>
      </c>
      <c r="D1237" s="708">
        <f t="shared" si="81"/>
        <v>0</v>
      </c>
      <c r="E1237" s="708">
        <f t="shared" si="82"/>
        <v>0</v>
      </c>
    </row>
    <row r="1238" spans="1:6">
      <c r="A1238" s="708">
        <v>225</v>
      </c>
      <c r="B1238" s="708">
        <f t="shared" si="79"/>
        <v>0</v>
      </c>
      <c r="C1238" s="708">
        <f t="shared" si="80"/>
        <v>0</v>
      </c>
      <c r="D1238" s="708">
        <f t="shared" si="81"/>
        <v>0</v>
      </c>
      <c r="E1238" s="708">
        <f t="shared" si="82"/>
        <v>0</v>
      </c>
    </row>
    <row r="1239" spans="1:6">
      <c r="A1239" s="708">
        <v>226</v>
      </c>
      <c r="B1239" s="708">
        <f t="shared" si="79"/>
        <v>0</v>
      </c>
      <c r="C1239" s="708">
        <f t="shared" si="80"/>
        <v>0</v>
      </c>
      <c r="D1239" s="708">
        <f t="shared" si="81"/>
        <v>0</v>
      </c>
      <c r="E1239" s="708">
        <f t="shared" si="82"/>
        <v>0</v>
      </c>
    </row>
    <row r="1240" spans="1:6">
      <c r="A1240" s="708">
        <v>227</v>
      </c>
      <c r="B1240" s="708">
        <f t="shared" si="79"/>
        <v>0</v>
      </c>
      <c r="C1240" s="708">
        <f t="shared" si="80"/>
        <v>0</v>
      </c>
      <c r="D1240" s="708">
        <f t="shared" si="81"/>
        <v>0</v>
      </c>
      <c r="E1240" s="708">
        <f t="shared" si="82"/>
        <v>0</v>
      </c>
    </row>
    <row r="1241" spans="1:6">
      <c r="A1241" s="708">
        <v>228</v>
      </c>
      <c r="B1241" s="708">
        <f t="shared" si="79"/>
        <v>0</v>
      </c>
      <c r="C1241" s="708">
        <f t="shared" si="80"/>
        <v>0</v>
      </c>
      <c r="D1241" s="708">
        <f t="shared" si="81"/>
        <v>0</v>
      </c>
      <c r="E1241" s="708">
        <f t="shared" si="82"/>
        <v>0</v>
      </c>
      <c r="F1241" s="708">
        <v>19</v>
      </c>
    </row>
    <row r="1242" spans="1:6">
      <c r="A1242" s="708">
        <v>229</v>
      </c>
      <c r="B1242" s="708">
        <f t="shared" si="79"/>
        <v>0</v>
      </c>
      <c r="C1242" s="708">
        <f t="shared" si="80"/>
        <v>0</v>
      </c>
      <c r="D1242" s="708">
        <f t="shared" si="81"/>
        <v>0</v>
      </c>
      <c r="E1242" s="708">
        <f t="shared" si="82"/>
        <v>0</v>
      </c>
    </row>
    <row r="1243" spans="1:6">
      <c r="A1243" s="708">
        <v>230</v>
      </c>
      <c r="B1243" s="708">
        <f t="shared" si="79"/>
        <v>0</v>
      </c>
      <c r="C1243" s="708">
        <f t="shared" si="80"/>
        <v>0</v>
      </c>
      <c r="D1243" s="708">
        <f t="shared" si="81"/>
        <v>0</v>
      </c>
      <c r="E1243" s="708">
        <f t="shared" si="82"/>
        <v>0</v>
      </c>
    </row>
    <row r="1244" spans="1:6">
      <c r="A1244" s="708">
        <v>231</v>
      </c>
      <c r="B1244" s="708">
        <f t="shared" si="79"/>
        <v>0</v>
      </c>
      <c r="C1244" s="708">
        <f t="shared" si="80"/>
        <v>0</v>
      </c>
      <c r="D1244" s="708">
        <f t="shared" si="81"/>
        <v>0</v>
      </c>
      <c r="E1244" s="708">
        <f t="shared" si="82"/>
        <v>0</v>
      </c>
    </row>
    <row r="1245" spans="1:6">
      <c r="A1245" s="708">
        <v>232</v>
      </c>
      <c r="B1245" s="708">
        <f t="shared" si="79"/>
        <v>0</v>
      </c>
      <c r="C1245" s="708">
        <f t="shared" si="80"/>
        <v>0</v>
      </c>
      <c r="D1245" s="708">
        <f t="shared" si="81"/>
        <v>0</v>
      </c>
      <c r="E1245" s="708">
        <f t="shared" si="82"/>
        <v>0</v>
      </c>
    </row>
    <row r="1246" spans="1:6">
      <c r="A1246" s="708">
        <v>233</v>
      </c>
      <c r="B1246" s="708">
        <f t="shared" si="79"/>
        <v>0</v>
      </c>
      <c r="C1246" s="708">
        <f t="shared" si="80"/>
        <v>0</v>
      </c>
      <c r="D1246" s="708">
        <f t="shared" si="81"/>
        <v>0</v>
      </c>
      <c r="E1246" s="708">
        <f t="shared" si="82"/>
        <v>0</v>
      </c>
    </row>
    <row r="1247" spans="1:6">
      <c r="A1247" s="708">
        <v>234</v>
      </c>
      <c r="B1247" s="708">
        <f t="shared" si="79"/>
        <v>0</v>
      </c>
      <c r="C1247" s="708">
        <f t="shared" si="80"/>
        <v>0</v>
      </c>
      <c r="D1247" s="708">
        <f t="shared" si="81"/>
        <v>0</v>
      </c>
      <c r="E1247" s="708">
        <f t="shared" si="82"/>
        <v>0</v>
      </c>
    </row>
    <row r="1248" spans="1:6">
      <c r="A1248" s="708">
        <v>235</v>
      </c>
      <c r="B1248" s="708">
        <f t="shared" si="79"/>
        <v>0</v>
      </c>
      <c r="C1248" s="708">
        <f t="shared" si="80"/>
        <v>0</v>
      </c>
      <c r="D1248" s="708">
        <f t="shared" si="81"/>
        <v>0</v>
      </c>
      <c r="E1248" s="708">
        <f t="shared" si="82"/>
        <v>0</v>
      </c>
    </row>
    <row r="1249" spans="1:6">
      <c r="A1249" s="708">
        <v>236</v>
      </c>
      <c r="B1249" s="708">
        <f t="shared" si="79"/>
        <v>0</v>
      </c>
      <c r="C1249" s="708">
        <f t="shared" si="80"/>
        <v>0</v>
      </c>
      <c r="D1249" s="708">
        <f t="shared" si="81"/>
        <v>0</v>
      </c>
      <c r="E1249" s="708">
        <f t="shared" si="82"/>
        <v>0</v>
      </c>
    </row>
    <row r="1250" spans="1:6">
      <c r="A1250" s="708">
        <v>237</v>
      </c>
      <c r="B1250" s="708">
        <f t="shared" si="79"/>
        <v>0</v>
      </c>
      <c r="C1250" s="708">
        <f t="shared" si="80"/>
        <v>0</v>
      </c>
      <c r="D1250" s="708">
        <f t="shared" si="81"/>
        <v>0</v>
      </c>
      <c r="E1250" s="708">
        <f t="shared" si="82"/>
        <v>0</v>
      </c>
    </row>
    <row r="1251" spans="1:6">
      <c r="A1251" s="708">
        <v>238</v>
      </c>
      <c r="B1251" s="708">
        <f t="shared" si="79"/>
        <v>0</v>
      </c>
      <c r="C1251" s="708">
        <f t="shared" si="80"/>
        <v>0</v>
      </c>
      <c r="D1251" s="708">
        <f t="shared" si="81"/>
        <v>0</v>
      </c>
      <c r="E1251" s="708">
        <f t="shared" si="82"/>
        <v>0</v>
      </c>
    </row>
    <row r="1252" spans="1:6">
      <c r="A1252" s="708">
        <v>239</v>
      </c>
      <c r="B1252" s="708">
        <f t="shared" si="79"/>
        <v>0</v>
      </c>
      <c r="C1252" s="708">
        <f t="shared" si="80"/>
        <v>0</v>
      </c>
      <c r="D1252" s="708">
        <f t="shared" si="81"/>
        <v>0</v>
      </c>
      <c r="E1252" s="708">
        <f t="shared" si="82"/>
        <v>0</v>
      </c>
    </row>
    <row r="1253" spans="1:6">
      <c r="A1253" s="708">
        <v>240</v>
      </c>
      <c r="B1253" s="708">
        <f t="shared" si="79"/>
        <v>0</v>
      </c>
      <c r="C1253" s="708">
        <f t="shared" si="80"/>
        <v>0</v>
      </c>
      <c r="D1253" s="708">
        <f t="shared" si="81"/>
        <v>0</v>
      </c>
      <c r="E1253" s="708">
        <f t="shared" si="82"/>
        <v>0</v>
      </c>
      <c r="F1253" s="708">
        <v>20</v>
      </c>
    </row>
    <row r="1254" spans="1:6">
      <c r="A1254" s="708">
        <v>241</v>
      </c>
      <c r="B1254" s="708">
        <f t="shared" si="79"/>
        <v>0</v>
      </c>
      <c r="C1254" s="708">
        <f t="shared" si="80"/>
        <v>0</v>
      </c>
      <c r="D1254" s="708">
        <f t="shared" si="81"/>
        <v>0</v>
      </c>
      <c r="E1254" s="708">
        <f t="shared" si="82"/>
        <v>0</v>
      </c>
    </row>
    <row r="1255" spans="1:6">
      <c r="A1255" s="708">
        <v>242</v>
      </c>
      <c r="B1255" s="708">
        <f t="shared" si="79"/>
        <v>0</v>
      </c>
      <c r="C1255" s="708">
        <f t="shared" si="80"/>
        <v>0</v>
      </c>
      <c r="D1255" s="708">
        <f t="shared" si="81"/>
        <v>0</v>
      </c>
      <c r="E1255" s="708">
        <f t="shared" si="82"/>
        <v>0</v>
      </c>
    </row>
    <row r="1256" spans="1:6">
      <c r="A1256" s="708">
        <v>243</v>
      </c>
      <c r="B1256" s="708">
        <f t="shared" si="79"/>
        <v>0</v>
      </c>
      <c r="C1256" s="708">
        <f t="shared" si="80"/>
        <v>0</v>
      </c>
      <c r="D1256" s="708">
        <f t="shared" si="81"/>
        <v>0</v>
      </c>
      <c r="E1256" s="708">
        <f t="shared" si="82"/>
        <v>0</v>
      </c>
    </row>
    <row r="1257" spans="1:6">
      <c r="A1257" s="708">
        <v>244</v>
      </c>
      <c r="B1257" s="708">
        <f t="shared" si="79"/>
        <v>0</v>
      </c>
      <c r="C1257" s="708">
        <f t="shared" si="80"/>
        <v>0</v>
      </c>
      <c r="D1257" s="708">
        <f t="shared" si="81"/>
        <v>0</v>
      </c>
      <c r="E1257" s="708">
        <f t="shared" si="82"/>
        <v>0</v>
      </c>
    </row>
    <row r="1258" spans="1:6">
      <c r="A1258" s="708">
        <v>245</v>
      </c>
      <c r="B1258" s="708">
        <f t="shared" si="79"/>
        <v>0</v>
      </c>
      <c r="C1258" s="708">
        <f t="shared" si="80"/>
        <v>0</v>
      </c>
      <c r="D1258" s="708">
        <f t="shared" si="81"/>
        <v>0</v>
      </c>
      <c r="E1258" s="708">
        <f t="shared" si="82"/>
        <v>0</v>
      </c>
    </row>
    <row r="1259" spans="1:6">
      <c r="A1259" s="708">
        <v>246</v>
      </c>
      <c r="B1259" s="708">
        <f t="shared" si="79"/>
        <v>0</v>
      </c>
      <c r="C1259" s="708">
        <f t="shared" si="80"/>
        <v>0</v>
      </c>
      <c r="D1259" s="708">
        <f t="shared" si="81"/>
        <v>0</v>
      </c>
      <c r="E1259" s="708">
        <f t="shared" si="82"/>
        <v>0</v>
      </c>
    </row>
    <row r="1260" spans="1:6">
      <c r="A1260" s="708">
        <v>247</v>
      </c>
      <c r="B1260" s="708">
        <f t="shared" si="79"/>
        <v>0</v>
      </c>
      <c r="C1260" s="708">
        <f t="shared" si="80"/>
        <v>0</v>
      </c>
      <c r="D1260" s="708">
        <f t="shared" si="81"/>
        <v>0</v>
      </c>
      <c r="E1260" s="708">
        <f t="shared" si="82"/>
        <v>0</v>
      </c>
    </row>
    <row r="1261" spans="1:6">
      <c r="A1261" s="708">
        <v>248</v>
      </c>
      <c r="B1261" s="708">
        <f t="shared" si="79"/>
        <v>0</v>
      </c>
      <c r="C1261" s="708">
        <f t="shared" si="80"/>
        <v>0</v>
      </c>
      <c r="D1261" s="708">
        <f t="shared" si="81"/>
        <v>0</v>
      </c>
      <c r="E1261" s="708">
        <f t="shared" si="82"/>
        <v>0</v>
      </c>
    </row>
    <row r="1262" spans="1:6">
      <c r="A1262" s="708">
        <v>249</v>
      </c>
      <c r="B1262" s="708">
        <f t="shared" si="79"/>
        <v>0</v>
      </c>
      <c r="C1262" s="708">
        <f t="shared" si="80"/>
        <v>0</v>
      </c>
      <c r="D1262" s="708">
        <f t="shared" si="81"/>
        <v>0</v>
      </c>
      <c r="E1262" s="708">
        <f t="shared" si="82"/>
        <v>0</v>
      </c>
    </row>
    <row r="1263" spans="1:6">
      <c r="A1263" s="708">
        <v>250</v>
      </c>
      <c r="B1263" s="708">
        <f t="shared" si="79"/>
        <v>0</v>
      </c>
      <c r="C1263" s="708">
        <f t="shared" si="80"/>
        <v>0</v>
      </c>
      <c r="D1263" s="708">
        <f t="shared" si="81"/>
        <v>0</v>
      </c>
      <c r="E1263" s="708">
        <f t="shared" si="82"/>
        <v>0</v>
      </c>
    </row>
    <row r="1264" spans="1:6">
      <c r="A1264" s="708">
        <v>251</v>
      </c>
      <c r="B1264" s="708">
        <f t="shared" si="79"/>
        <v>0</v>
      </c>
      <c r="C1264" s="708">
        <f t="shared" si="80"/>
        <v>0</v>
      </c>
      <c r="D1264" s="708">
        <f t="shared" si="81"/>
        <v>0</v>
      </c>
      <c r="E1264" s="708">
        <f t="shared" si="82"/>
        <v>0</v>
      </c>
    </row>
    <row r="1265" spans="1:6">
      <c r="A1265" s="708">
        <v>252</v>
      </c>
      <c r="B1265" s="708">
        <f t="shared" si="79"/>
        <v>0</v>
      </c>
      <c r="C1265" s="708">
        <f t="shared" si="80"/>
        <v>0</v>
      </c>
      <c r="D1265" s="708">
        <f t="shared" si="81"/>
        <v>0</v>
      </c>
      <c r="E1265" s="708">
        <f t="shared" si="82"/>
        <v>0</v>
      </c>
      <c r="F1265" s="708">
        <v>21</v>
      </c>
    </row>
    <row r="1266" spans="1:6">
      <c r="A1266" s="708">
        <v>253</v>
      </c>
      <c r="B1266" s="708">
        <f t="shared" si="79"/>
        <v>0</v>
      </c>
      <c r="C1266" s="708">
        <f t="shared" si="80"/>
        <v>0</v>
      </c>
      <c r="D1266" s="708">
        <f t="shared" si="81"/>
        <v>0</v>
      </c>
      <c r="E1266" s="708">
        <f t="shared" si="82"/>
        <v>0</v>
      </c>
    </row>
    <row r="1267" spans="1:6">
      <c r="A1267" s="708">
        <v>254</v>
      </c>
      <c r="B1267" s="708">
        <f t="shared" si="79"/>
        <v>0</v>
      </c>
      <c r="C1267" s="708">
        <f t="shared" si="80"/>
        <v>0</v>
      </c>
      <c r="D1267" s="708">
        <f t="shared" si="81"/>
        <v>0</v>
      </c>
      <c r="E1267" s="708">
        <f t="shared" si="82"/>
        <v>0</v>
      </c>
    </row>
    <row r="1268" spans="1:6">
      <c r="A1268" s="708">
        <v>255</v>
      </c>
      <c r="B1268" s="708">
        <f t="shared" si="79"/>
        <v>0</v>
      </c>
      <c r="C1268" s="708">
        <f t="shared" si="80"/>
        <v>0</v>
      </c>
      <c r="D1268" s="708">
        <f t="shared" si="81"/>
        <v>0</v>
      </c>
      <c r="E1268" s="708">
        <f t="shared" si="82"/>
        <v>0</v>
      </c>
    </row>
    <row r="1269" spans="1:6">
      <c r="A1269" s="708">
        <v>256</v>
      </c>
      <c r="B1269" s="708">
        <f t="shared" si="79"/>
        <v>0</v>
      </c>
      <c r="C1269" s="708">
        <f t="shared" si="80"/>
        <v>0</v>
      </c>
      <c r="D1269" s="708">
        <f t="shared" si="81"/>
        <v>0</v>
      </c>
      <c r="E1269" s="708">
        <f t="shared" si="82"/>
        <v>0</v>
      </c>
    </row>
    <row r="1270" spans="1:6">
      <c r="A1270" s="708">
        <v>257</v>
      </c>
      <c r="B1270" s="708">
        <f t="shared" ref="B1270:B1333" si="83">IF(A1270&gt;12*$D$14,0,$D$20)</f>
        <v>0</v>
      </c>
      <c r="C1270" s="708">
        <f t="shared" ref="C1270:C1333" si="84">IF(A1270&gt;12*$D$14,0,E1269*$D$10/12)</f>
        <v>0</v>
      </c>
      <c r="D1270" s="708">
        <f t="shared" ref="D1270:D1333" si="85">IF(A1270&gt;12*$D$14,0,B1270-C1270)</f>
        <v>0</v>
      </c>
      <c r="E1270" s="708">
        <f t="shared" ref="E1270:E1333" si="86">IF(A1270&gt;12*$D$14,0,E1269-D1270)</f>
        <v>0</v>
      </c>
    </row>
    <row r="1271" spans="1:6">
      <c r="A1271" s="708">
        <v>258</v>
      </c>
      <c r="B1271" s="708">
        <f t="shared" si="83"/>
        <v>0</v>
      </c>
      <c r="C1271" s="708">
        <f t="shared" si="84"/>
        <v>0</v>
      </c>
      <c r="D1271" s="708">
        <f t="shared" si="85"/>
        <v>0</v>
      </c>
      <c r="E1271" s="708">
        <f t="shared" si="86"/>
        <v>0</v>
      </c>
    </row>
    <row r="1272" spans="1:6">
      <c r="A1272" s="708">
        <v>259</v>
      </c>
      <c r="B1272" s="708">
        <f t="shared" si="83"/>
        <v>0</v>
      </c>
      <c r="C1272" s="708">
        <f t="shared" si="84"/>
        <v>0</v>
      </c>
      <c r="D1272" s="708">
        <f t="shared" si="85"/>
        <v>0</v>
      </c>
      <c r="E1272" s="708">
        <f t="shared" si="86"/>
        <v>0</v>
      </c>
    </row>
    <row r="1273" spans="1:6">
      <c r="A1273" s="708">
        <v>260</v>
      </c>
      <c r="B1273" s="708">
        <f t="shared" si="83"/>
        <v>0</v>
      </c>
      <c r="C1273" s="708">
        <f t="shared" si="84"/>
        <v>0</v>
      </c>
      <c r="D1273" s="708">
        <f t="shared" si="85"/>
        <v>0</v>
      </c>
      <c r="E1273" s="708">
        <f t="shared" si="86"/>
        <v>0</v>
      </c>
    </row>
    <row r="1274" spans="1:6">
      <c r="A1274" s="708">
        <v>261</v>
      </c>
      <c r="B1274" s="708">
        <f t="shared" si="83"/>
        <v>0</v>
      </c>
      <c r="C1274" s="708">
        <f t="shared" si="84"/>
        <v>0</v>
      </c>
      <c r="D1274" s="708">
        <f t="shared" si="85"/>
        <v>0</v>
      </c>
      <c r="E1274" s="708">
        <f t="shared" si="86"/>
        <v>0</v>
      </c>
    </row>
    <row r="1275" spans="1:6">
      <c r="A1275" s="708">
        <v>262</v>
      </c>
      <c r="B1275" s="708">
        <f t="shared" si="83"/>
        <v>0</v>
      </c>
      <c r="C1275" s="708">
        <f t="shared" si="84"/>
        <v>0</v>
      </c>
      <c r="D1275" s="708">
        <f t="shared" si="85"/>
        <v>0</v>
      </c>
      <c r="E1275" s="708">
        <f t="shared" si="86"/>
        <v>0</v>
      </c>
    </row>
    <row r="1276" spans="1:6">
      <c r="A1276" s="708">
        <v>263</v>
      </c>
      <c r="B1276" s="708">
        <f t="shared" si="83"/>
        <v>0</v>
      </c>
      <c r="C1276" s="708">
        <f t="shared" si="84"/>
        <v>0</v>
      </c>
      <c r="D1276" s="708">
        <f t="shared" si="85"/>
        <v>0</v>
      </c>
      <c r="E1276" s="708">
        <f t="shared" si="86"/>
        <v>0</v>
      </c>
    </row>
    <row r="1277" spans="1:6">
      <c r="A1277" s="708">
        <v>264</v>
      </c>
      <c r="B1277" s="708">
        <f t="shared" si="83"/>
        <v>0</v>
      </c>
      <c r="C1277" s="708">
        <f t="shared" si="84"/>
        <v>0</v>
      </c>
      <c r="D1277" s="708">
        <f t="shared" si="85"/>
        <v>0</v>
      </c>
      <c r="E1277" s="708">
        <f t="shared" si="86"/>
        <v>0</v>
      </c>
      <c r="F1277" s="708">
        <v>22</v>
      </c>
    </row>
    <row r="1278" spans="1:6">
      <c r="A1278" s="708">
        <v>265</v>
      </c>
      <c r="B1278" s="708">
        <f t="shared" si="83"/>
        <v>0</v>
      </c>
      <c r="C1278" s="708">
        <f t="shared" si="84"/>
        <v>0</v>
      </c>
      <c r="D1278" s="708">
        <f t="shared" si="85"/>
        <v>0</v>
      </c>
      <c r="E1278" s="708">
        <f t="shared" si="86"/>
        <v>0</v>
      </c>
    </row>
    <row r="1279" spans="1:6">
      <c r="A1279" s="708">
        <v>266</v>
      </c>
      <c r="B1279" s="708">
        <f t="shared" si="83"/>
        <v>0</v>
      </c>
      <c r="C1279" s="708">
        <f t="shared" si="84"/>
        <v>0</v>
      </c>
      <c r="D1279" s="708">
        <f t="shared" si="85"/>
        <v>0</v>
      </c>
      <c r="E1279" s="708">
        <f t="shared" si="86"/>
        <v>0</v>
      </c>
    </row>
    <row r="1280" spans="1:6">
      <c r="A1280" s="708">
        <v>267</v>
      </c>
      <c r="B1280" s="708">
        <f t="shared" si="83"/>
        <v>0</v>
      </c>
      <c r="C1280" s="708">
        <f t="shared" si="84"/>
        <v>0</v>
      </c>
      <c r="D1280" s="708">
        <f t="shared" si="85"/>
        <v>0</v>
      </c>
      <c r="E1280" s="708">
        <f t="shared" si="86"/>
        <v>0</v>
      </c>
    </row>
    <row r="1281" spans="1:6">
      <c r="A1281" s="708">
        <v>268</v>
      </c>
      <c r="B1281" s="708">
        <f t="shared" si="83"/>
        <v>0</v>
      </c>
      <c r="C1281" s="708">
        <f t="shared" si="84"/>
        <v>0</v>
      </c>
      <c r="D1281" s="708">
        <f t="shared" si="85"/>
        <v>0</v>
      </c>
      <c r="E1281" s="708">
        <f t="shared" si="86"/>
        <v>0</v>
      </c>
    </row>
    <row r="1282" spans="1:6">
      <c r="A1282" s="708">
        <v>269</v>
      </c>
      <c r="B1282" s="708">
        <f t="shared" si="83"/>
        <v>0</v>
      </c>
      <c r="C1282" s="708">
        <f t="shared" si="84"/>
        <v>0</v>
      </c>
      <c r="D1282" s="708">
        <f t="shared" si="85"/>
        <v>0</v>
      </c>
      <c r="E1282" s="708">
        <f t="shared" si="86"/>
        <v>0</v>
      </c>
    </row>
    <row r="1283" spans="1:6">
      <c r="A1283" s="708">
        <v>270</v>
      </c>
      <c r="B1283" s="708">
        <f t="shared" si="83"/>
        <v>0</v>
      </c>
      <c r="C1283" s="708">
        <f t="shared" si="84"/>
        <v>0</v>
      </c>
      <c r="D1283" s="708">
        <f t="shared" si="85"/>
        <v>0</v>
      </c>
      <c r="E1283" s="708">
        <f t="shared" si="86"/>
        <v>0</v>
      </c>
    </row>
    <row r="1284" spans="1:6">
      <c r="A1284" s="708">
        <v>271</v>
      </c>
      <c r="B1284" s="708">
        <f t="shared" si="83"/>
        <v>0</v>
      </c>
      <c r="C1284" s="708">
        <f t="shared" si="84"/>
        <v>0</v>
      </c>
      <c r="D1284" s="708">
        <f t="shared" si="85"/>
        <v>0</v>
      </c>
      <c r="E1284" s="708">
        <f t="shared" si="86"/>
        <v>0</v>
      </c>
    </row>
    <row r="1285" spans="1:6">
      <c r="A1285" s="708">
        <v>272</v>
      </c>
      <c r="B1285" s="708">
        <f t="shared" si="83"/>
        <v>0</v>
      </c>
      <c r="C1285" s="708">
        <f t="shared" si="84"/>
        <v>0</v>
      </c>
      <c r="D1285" s="708">
        <f t="shared" si="85"/>
        <v>0</v>
      </c>
      <c r="E1285" s="708">
        <f t="shared" si="86"/>
        <v>0</v>
      </c>
    </row>
    <row r="1286" spans="1:6">
      <c r="A1286" s="708">
        <v>273</v>
      </c>
      <c r="B1286" s="708">
        <f t="shared" si="83"/>
        <v>0</v>
      </c>
      <c r="C1286" s="708">
        <f t="shared" si="84"/>
        <v>0</v>
      </c>
      <c r="D1286" s="708">
        <f t="shared" si="85"/>
        <v>0</v>
      </c>
      <c r="E1286" s="708">
        <f t="shared" si="86"/>
        <v>0</v>
      </c>
    </row>
    <row r="1287" spans="1:6">
      <c r="A1287" s="708">
        <v>274</v>
      </c>
      <c r="B1287" s="708">
        <f t="shared" si="83"/>
        <v>0</v>
      </c>
      <c r="C1287" s="708">
        <f t="shared" si="84"/>
        <v>0</v>
      </c>
      <c r="D1287" s="708">
        <f t="shared" si="85"/>
        <v>0</v>
      </c>
      <c r="E1287" s="708">
        <f t="shared" si="86"/>
        <v>0</v>
      </c>
    </row>
    <row r="1288" spans="1:6">
      <c r="A1288" s="708">
        <v>275</v>
      </c>
      <c r="B1288" s="708">
        <f t="shared" si="83"/>
        <v>0</v>
      </c>
      <c r="C1288" s="708">
        <f t="shared" si="84"/>
        <v>0</v>
      </c>
      <c r="D1288" s="708">
        <f t="shared" si="85"/>
        <v>0</v>
      </c>
      <c r="E1288" s="708">
        <f t="shared" si="86"/>
        <v>0</v>
      </c>
    </row>
    <row r="1289" spans="1:6">
      <c r="A1289" s="708">
        <v>276</v>
      </c>
      <c r="B1289" s="708">
        <f t="shared" si="83"/>
        <v>0</v>
      </c>
      <c r="C1289" s="708">
        <f t="shared" si="84"/>
        <v>0</v>
      </c>
      <c r="D1289" s="708">
        <f t="shared" si="85"/>
        <v>0</v>
      </c>
      <c r="E1289" s="708">
        <f t="shared" si="86"/>
        <v>0</v>
      </c>
      <c r="F1289" s="708">
        <v>23</v>
      </c>
    </row>
    <row r="1290" spans="1:6">
      <c r="A1290" s="708">
        <v>277</v>
      </c>
      <c r="B1290" s="708">
        <f t="shared" si="83"/>
        <v>0</v>
      </c>
      <c r="C1290" s="708">
        <f t="shared" si="84"/>
        <v>0</v>
      </c>
      <c r="D1290" s="708">
        <f t="shared" si="85"/>
        <v>0</v>
      </c>
      <c r="E1290" s="708">
        <f t="shared" si="86"/>
        <v>0</v>
      </c>
    </row>
    <row r="1291" spans="1:6">
      <c r="A1291" s="708">
        <v>278</v>
      </c>
      <c r="B1291" s="708">
        <f t="shared" si="83"/>
        <v>0</v>
      </c>
      <c r="C1291" s="708">
        <f t="shared" si="84"/>
        <v>0</v>
      </c>
      <c r="D1291" s="708">
        <f t="shared" si="85"/>
        <v>0</v>
      </c>
      <c r="E1291" s="708">
        <f t="shared" si="86"/>
        <v>0</v>
      </c>
    </row>
    <row r="1292" spans="1:6">
      <c r="A1292" s="708">
        <v>279</v>
      </c>
      <c r="B1292" s="708">
        <f t="shared" si="83"/>
        <v>0</v>
      </c>
      <c r="C1292" s="708">
        <f t="shared" si="84"/>
        <v>0</v>
      </c>
      <c r="D1292" s="708">
        <f t="shared" si="85"/>
        <v>0</v>
      </c>
      <c r="E1292" s="708">
        <f t="shared" si="86"/>
        <v>0</v>
      </c>
    </row>
    <row r="1293" spans="1:6">
      <c r="A1293" s="708">
        <v>280</v>
      </c>
      <c r="B1293" s="708">
        <f t="shared" si="83"/>
        <v>0</v>
      </c>
      <c r="C1293" s="708">
        <f t="shared" si="84"/>
        <v>0</v>
      </c>
      <c r="D1293" s="708">
        <f t="shared" si="85"/>
        <v>0</v>
      </c>
      <c r="E1293" s="708">
        <f t="shared" si="86"/>
        <v>0</v>
      </c>
    </row>
    <row r="1294" spans="1:6">
      <c r="A1294" s="708">
        <v>281</v>
      </c>
      <c r="B1294" s="708">
        <f t="shared" si="83"/>
        <v>0</v>
      </c>
      <c r="C1294" s="708">
        <f t="shared" si="84"/>
        <v>0</v>
      </c>
      <c r="D1294" s="708">
        <f t="shared" si="85"/>
        <v>0</v>
      </c>
      <c r="E1294" s="708">
        <f t="shared" si="86"/>
        <v>0</v>
      </c>
    </row>
    <row r="1295" spans="1:6">
      <c r="A1295" s="708">
        <v>282</v>
      </c>
      <c r="B1295" s="708">
        <f t="shared" si="83"/>
        <v>0</v>
      </c>
      <c r="C1295" s="708">
        <f t="shared" si="84"/>
        <v>0</v>
      </c>
      <c r="D1295" s="708">
        <f t="shared" si="85"/>
        <v>0</v>
      </c>
      <c r="E1295" s="708">
        <f t="shared" si="86"/>
        <v>0</v>
      </c>
    </row>
    <row r="1296" spans="1:6">
      <c r="A1296" s="708">
        <v>283</v>
      </c>
      <c r="B1296" s="708">
        <f t="shared" si="83"/>
        <v>0</v>
      </c>
      <c r="C1296" s="708">
        <f t="shared" si="84"/>
        <v>0</v>
      </c>
      <c r="D1296" s="708">
        <f t="shared" si="85"/>
        <v>0</v>
      </c>
      <c r="E1296" s="708">
        <f t="shared" si="86"/>
        <v>0</v>
      </c>
    </row>
    <row r="1297" spans="1:6">
      <c r="A1297" s="708">
        <v>284</v>
      </c>
      <c r="B1297" s="708">
        <f t="shared" si="83"/>
        <v>0</v>
      </c>
      <c r="C1297" s="708">
        <f t="shared" si="84"/>
        <v>0</v>
      </c>
      <c r="D1297" s="708">
        <f t="shared" si="85"/>
        <v>0</v>
      </c>
      <c r="E1297" s="708">
        <f t="shared" si="86"/>
        <v>0</v>
      </c>
    </row>
    <row r="1298" spans="1:6">
      <c r="A1298" s="708">
        <v>285</v>
      </c>
      <c r="B1298" s="708">
        <f t="shared" si="83"/>
        <v>0</v>
      </c>
      <c r="C1298" s="708">
        <f t="shared" si="84"/>
        <v>0</v>
      </c>
      <c r="D1298" s="708">
        <f t="shared" si="85"/>
        <v>0</v>
      </c>
      <c r="E1298" s="708">
        <f t="shared" si="86"/>
        <v>0</v>
      </c>
    </row>
    <row r="1299" spans="1:6">
      <c r="A1299" s="708">
        <v>286</v>
      </c>
      <c r="B1299" s="708">
        <f t="shared" si="83"/>
        <v>0</v>
      </c>
      <c r="C1299" s="708">
        <f t="shared" si="84"/>
        <v>0</v>
      </c>
      <c r="D1299" s="708">
        <f t="shared" si="85"/>
        <v>0</v>
      </c>
      <c r="E1299" s="708">
        <f t="shared" si="86"/>
        <v>0</v>
      </c>
    </row>
    <row r="1300" spans="1:6">
      <c r="A1300" s="708">
        <v>287</v>
      </c>
      <c r="B1300" s="708">
        <f t="shared" si="83"/>
        <v>0</v>
      </c>
      <c r="C1300" s="708">
        <f t="shared" si="84"/>
        <v>0</v>
      </c>
      <c r="D1300" s="708">
        <f t="shared" si="85"/>
        <v>0</v>
      </c>
      <c r="E1300" s="708">
        <f t="shared" si="86"/>
        <v>0</v>
      </c>
    </row>
    <row r="1301" spans="1:6">
      <c r="A1301" s="708">
        <v>288</v>
      </c>
      <c r="B1301" s="708">
        <f t="shared" si="83"/>
        <v>0</v>
      </c>
      <c r="C1301" s="708">
        <f t="shared" si="84"/>
        <v>0</v>
      </c>
      <c r="D1301" s="708">
        <f t="shared" si="85"/>
        <v>0</v>
      </c>
      <c r="E1301" s="708">
        <f t="shared" si="86"/>
        <v>0</v>
      </c>
      <c r="F1301" s="708">
        <v>24</v>
      </c>
    </row>
    <row r="1302" spans="1:6">
      <c r="A1302" s="708">
        <v>289</v>
      </c>
      <c r="B1302" s="708">
        <f t="shared" si="83"/>
        <v>0</v>
      </c>
      <c r="C1302" s="708">
        <f t="shared" si="84"/>
        <v>0</v>
      </c>
      <c r="D1302" s="708">
        <f t="shared" si="85"/>
        <v>0</v>
      </c>
      <c r="E1302" s="708">
        <f t="shared" si="86"/>
        <v>0</v>
      </c>
    </row>
    <row r="1303" spans="1:6">
      <c r="A1303" s="708">
        <v>290</v>
      </c>
      <c r="B1303" s="708">
        <f t="shared" si="83"/>
        <v>0</v>
      </c>
      <c r="C1303" s="708">
        <f t="shared" si="84"/>
        <v>0</v>
      </c>
      <c r="D1303" s="708">
        <f t="shared" si="85"/>
        <v>0</v>
      </c>
      <c r="E1303" s="708">
        <f t="shared" si="86"/>
        <v>0</v>
      </c>
    </row>
    <row r="1304" spans="1:6">
      <c r="A1304" s="708">
        <v>291</v>
      </c>
      <c r="B1304" s="708">
        <f t="shared" si="83"/>
        <v>0</v>
      </c>
      <c r="C1304" s="708">
        <f t="shared" si="84"/>
        <v>0</v>
      </c>
      <c r="D1304" s="708">
        <f t="shared" si="85"/>
        <v>0</v>
      </c>
      <c r="E1304" s="708">
        <f t="shared" si="86"/>
        <v>0</v>
      </c>
    </row>
    <row r="1305" spans="1:6">
      <c r="A1305" s="708">
        <v>292</v>
      </c>
      <c r="B1305" s="708">
        <f t="shared" si="83"/>
        <v>0</v>
      </c>
      <c r="C1305" s="708">
        <f t="shared" si="84"/>
        <v>0</v>
      </c>
      <c r="D1305" s="708">
        <f t="shared" si="85"/>
        <v>0</v>
      </c>
      <c r="E1305" s="708">
        <f t="shared" si="86"/>
        <v>0</v>
      </c>
    </row>
    <row r="1306" spans="1:6">
      <c r="A1306" s="708">
        <v>293</v>
      </c>
      <c r="B1306" s="708">
        <f t="shared" si="83"/>
        <v>0</v>
      </c>
      <c r="C1306" s="708">
        <f t="shared" si="84"/>
        <v>0</v>
      </c>
      <c r="D1306" s="708">
        <f t="shared" si="85"/>
        <v>0</v>
      </c>
      <c r="E1306" s="708">
        <f t="shared" si="86"/>
        <v>0</v>
      </c>
    </row>
    <row r="1307" spans="1:6">
      <c r="A1307" s="708">
        <v>294</v>
      </c>
      <c r="B1307" s="708">
        <f t="shared" si="83"/>
        <v>0</v>
      </c>
      <c r="C1307" s="708">
        <f t="shared" si="84"/>
        <v>0</v>
      </c>
      <c r="D1307" s="708">
        <f t="shared" si="85"/>
        <v>0</v>
      </c>
      <c r="E1307" s="708">
        <f t="shared" si="86"/>
        <v>0</v>
      </c>
    </row>
    <row r="1308" spans="1:6">
      <c r="A1308" s="708">
        <v>295</v>
      </c>
      <c r="B1308" s="708">
        <f t="shared" si="83"/>
        <v>0</v>
      </c>
      <c r="C1308" s="708">
        <f t="shared" si="84"/>
        <v>0</v>
      </c>
      <c r="D1308" s="708">
        <f t="shared" si="85"/>
        <v>0</v>
      </c>
      <c r="E1308" s="708">
        <f t="shared" si="86"/>
        <v>0</v>
      </c>
    </row>
    <row r="1309" spans="1:6">
      <c r="A1309" s="708">
        <v>296</v>
      </c>
      <c r="B1309" s="708">
        <f t="shared" si="83"/>
        <v>0</v>
      </c>
      <c r="C1309" s="708">
        <f t="shared" si="84"/>
        <v>0</v>
      </c>
      <c r="D1309" s="708">
        <f t="shared" si="85"/>
        <v>0</v>
      </c>
      <c r="E1309" s="708">
        <f t="shared" si="86"/>
        <v>0</v>
      </c>
    </row>
    <row r="1310" spans="1:6">
      <c r="A1310" s="708">
        <v>297</v>
      </c>
      <c r="B1310" s="708">
        <f t="shared" si="83"/>
        <v>0</v>
      </c>
      <c r="C1310" s="708">
        <f t="shared" si="84"/>
        <v>0</v>
      </c>
      <c r="D1310" s="708">
        <f t="shared" si="85"/>
        <v>0</v>
      </c>
      <c r="E1310" s="708">
        <f t="shared" si="86"/>
        <v>0</v>
      </c>
    </row>
    <row r="1311" spans="1:6">
      <c r="A1311" s="708">
        <v>298</v>
      </c>
      <c r="B1311" s="708">
        <f t="shared" si="83"/>
        <v>0</v>
      </c>
      <c r="C1311" s="708">
        <f t="shared" si="84"/>
        <v>0</v>
      </c>
      <c r="D1311" s="708">
        <f t="shared" si="85"/>
        <v>0</v>
      </c>
      <c r="E1311" s="708">
        <f t="shared" si="86"/>
        <v>0</v>
      </c>
    </row>
    <row r="1312" spans="1:6">
      <c r="A1312" s="708">
        <v>299</v>
      </c>
      <c r="B1312" s="708">
        <f t="shared" si="83"/>
        <v>0</v>
      </c>
      <c r="C1312" s="708">
        <f t="shared" si="84"/>
        <v>0</v>
      </c>
      <c r="D1312" s="708">
        <f t="shared" si="85"/>
        <v>0</v>
      </c>
      <c r="E1312" s="708">
        <f t="shared" si="86"/>
        <v>0</v>
      </c>
    </row>
    <row r="1313" spans="1:6">
      <c r="A1313" s="708">
        <v>300</v>
      </c>
      <c r="B1313" s="708">
        <f t="shared" si="83"/>
        <v>0</v>
      </c>
      <c r="C1313" s="708">
        <f t="shared" si="84"/>
        <v>0</v>
      </c>
      <c r="D1313" s="708">
        <f t="shared" si="85"/>
        <v>0</v>
      </c>
      <c r="E1313" s="708">
        <f t="shared" si="86"/>
        <v>0</v>
      </c>
      <c r="F1313" s="708">
        <v>25</v>
      </c>
    </row>
    <row r="1314" spans="1:6">
      <c r="A1314" s="708">
        <v>301</v>
      </c>
      <c r="B1314" s="708">
        <f t="shared" si="83"/>
        <v>0</v>
      </c>
      <c r="C1314" s="708">
        <f t="shared" si="84"/>
        <v>0</v>
      </c>
      <c r="D1314" s="708">
        <f t="shared" si="85"/>
        <v>0</v>
      </c>
      <c r="E1314" s="708">
        <f t="shared" si="86"/>
        <v>0</v>
      </c>
    </row>
    <row r="1315" spans="1:6">
      <c r="A1315" s="708">
        <v>302</v>
      </c>
      <c r="B1315" s="708">
        <f t="shared" si="83"/>
        <v>0</v>
      </c>
      <c r="C1315" s="708">
        <f t="shared" si="84"/>
        <v>0</v>
      </c>
      <c r="D1315" s="708">
        <f t="shared" si="85"/>
        <v>0</v>
      </c>
      <c r="E1315" s="708">
        <f t="shared" si="86"/>
        <v>0</v>
      </c>
    </row>
    <row r="1316" spans="1:6">
      <c r="A1316" s="708">
        <v>303</v>
      </c>
      <c r="B1316" s="708">
        <f t="shared" si="83"/>
        <v>0</v>
      </c>
      <c r="C1316" s="708">
        <f t="shared" si="84"/>
        <v>0</v>
      </c>
      <c r="D1316" s="708">
        <f t="shared" si="85"/>
        <v>0</v>
      </c>
      <c r="E1316" s="708">
        <f t="shared" si="86"/>
        <v>0</v>
      </c>
    </row>
    <row r="1317" spans="1:6">
      <c r="A1317" s="708">
        <v>304</v>
      </c>
      <c r="B1317" s="708">
        <f t="shared" si="83"/>
        <v>0</v>
      </c>
      <c r="C1317" s="708">
        <f t="shared" si="84"/>
        <v>0</v>
      </c>
      <c r="D1317" s="708">
        <f t="shared" si="85"/>
        <v>0</v>
      </c>
      <c r="E1317" s="708">
        <f t="shared" si="86"/>
        <v>0</v>
      </c>
    </row>
    <row r="1318" spans="1:6">
      <c r="A1318" s="708">
        <v>305</v>
      </c>
      <c r="B1318" s="708">
        <f t="shared" si="83"/>
        <v>0</v>
      </c>
      <c r="C1318" s="708">
        <f t="shared" si="84"/>
        <v>0</v>
      </c>
      <c r="D1318" s="708">
        <f t="shared" si="85"/>
        <v>0</v>
      </c>
      <c r="E1318" s="708">
        <f t="shared" si="86"/>
        <v>0</v>
      </c>
    </row>
    <row r="1319" spans="1:6">
      <c r="A1319" s="708">
        <v>306</v>
      </c>
      <c r="B1319" s="708">
        <f t="shared" si="83"/>
        <v>0</v>
      </c>
      <c r="C1319" s="708">
        <f t="shared" si="84"/>
        <v>0</v>
      </c>
      <c r="D1319" s="708">
        <f t="shared" si="85"/>
        <v>0</v>
      </c>
      <c r="E1319" s="708">
        <f t="shared" si="86"/>
        <v>0</v>
      </c>
    </row>
    <row r="1320" spans="1:6">
      <c r="A1320" s="708">
        <v>307</v>
      </c>
      <c r="B1320" s="708">
        <f t="shared" si="83"/>
        <v>0</v>
      </c>
      <c r="C1320" s="708">
        <f t="shared" si="84"/>
        <v>0</v>
      </c>
      <c r="D1320" s="708">
        <f t="shared" si="85"/>
        <v>0</v>
      </c>
      <c r="E1320" s="708">
        <f t="shared" si="86"/>
        <v>0</v>
      </c>
    </row>
    <row r="1321" spans="1:6">
      <c r="A1321" s="708">
        <v>308</v>
      </c>
      <c r="B1321" s="708">
        <f t="shared" si="83"/>
        <v>0</v>
      </c>
      <c r="C1321" s="708">
        <f t="shared" si="84"/>
        <v>0</v>
      </c>
      <c r="D1321" s="708">
        <f t="shared" si="85"/>
        <v>0</v>
      </c>
      <c r="E1321" s="708">
        <f t="shared" si="86"/>
        <v>0</v>
      </c>
    </row>
    <row r="1322" spans="1:6">
      <c r="A1322" s="708">
        <v>309</v>
      </c>
      <c r="B1322" s="708">
        <f t="shared" si="83"/>
        <v>0</v>
      </c>
      <c r="C1322" s="708">
        <f t="shared" si="84"/>
        <v>0</v>
      </c>
      <c r="D1322" s="708">
        <f t="shared" si="85"/>
        <v>0</v>
      </c>
      <c r="E1322" s="708">
        <f t="shared" si="86"/>
        <v>0</v>
      </c>
    </row>
    <row r="1323" spans="1:6">
      <c r="A1323" s="708">
        <v>310</v>
      </c>
      <c r="B1323" s="708">
        <f t="shared" si="83"/>
        <v>0</v>
      </c>
      <c r="C1323" s="708">
        <f t="shared" si="84"/>
        <v>0</v>
      </c>
      <c r="D1323" s="708">
        <f t="shared" si="85"/>
        <v>0</v>
      </c>
      <c r="E1323" s="708">
        <f t="shared" si="86"/>
        <v>0</v>
      </c>
    </row>
    <row r="1324" spans="1:6">
      <c r="A1324" s="708">
        <v>311</v>
      </c>
      <c r="B1324" s="708">
        <f t="shared" si="83"/>
        <v>0</v>
      </c>
      <c r="C1324" s="708">
        <f t="shared" si="84"/>
        <v>0</v>
      </c>
      <c r="D1324" s="708">
        <f t="shared" si="85"/>
        <v>0</v>
      </c>
      <c r="E1324" s="708">
        <f t="shared" si="86"/>
        <v>0</v>
      </c>
    </row>
    <row r="1325" spans="1:6">
      <c r="A1325" s="708">
        <v>312</v>
      </c>
      <c r="B1325" s="708">
        <f t="shared" si="83"/>
        <v>0</v>
      </c>
      <c r="C1325" s="708">
        <f t="shared" si="84"/>
        <v>0</v>
      </c>
      <c r="D1325" s="708">
        <f t="shared" si="85"/>
        <v>0</v>
      </c>
      <c r="E1325" s="708">
        <f t="shared" si="86"/>
        <v>0</v>
      </c>
      <c r="F1325" s="708">
        <v>26</v>
      </c>
    </row>
    <row r="1326" spans="1:6">
      <c r="A1326" s="708">
        <v>313</v>
      </c>
      <c r="B1326" s="708">
        <f t="shared" si="83"/>
        <v>0</v>
      </c>
      <c r="C1326" s="708">
        <f t="shared" si="84"/>
        <v>0</v>
      </c>
      <c r="D1326" s="708">
        <f t="shared" si="85"/>
        <v>0</v>
      </c>
      <c r="E1326" s="708">
        <f t="shared" si="86"/>
        <v>0</v>
      </c>
    </row>
    <row r="1327" spans="1:6">
      <c r="A1327" s="708">
        <v>314</v>
      </c>
      <c r="B1327" s="708">
        <f t="shared" si="83"/>
        <v>0</v>
      </c>
      <c r="C1327" s="708">
        <f t="shared" si="84"/>
        <v>0</v>
      </c>
      <c r="D1327" s="708">
        <f t="shared" si="85"/>
        <v>0</v>
      </c>
      <c r="E1327" s="708">
        <f t="shared" si="86"/>
        <v>0</v>
      </c>
    </row>
    <row r="1328" spans="1:6">
      <c r="A1328" s="708">
        <v>315</v>
      </c>
      <c r="B1328" s="708">
        <f t="shared" si="83"/>
        <v>0</v>
      </c>
      <c r="C1328" s="708">
        <f t="shared" si="84"/>
        <v>0</v>
      </c>
      <c r="D1328" s="708">
        <f t="shared" si="85"/>
        <v>0</v>
      </c>
      <c r="E1328" s="708">
        <f t="shared" si="86"/>
        <v>0</v>
      </c>
    </row>
    <row r="1329" spans="1:6">
      <c r="A1329" s="708">
        <v>316</v>
      </c>
      <c r="B1329" s="708">
        <f t="shared" si="83"/>
        <v>0</v>
      </c>
      <c r="C1329" s="708">
        <f t="shared" si="84"/>
        <v>0</v>
      </c>
      <c r="D1329" s="708">
        <f t="shared" si="85"/>
        <v>0</v>
      </c>
      <c r="E1329" s="708">
        <f t="shared" si="86"/>
        <v>0</v>
      </c>
    </row>
    <row r="1330" spans="1:6">
      <c r="A1330" s="708">
        <v>317</v>
      </c>
      <c r="B1330" s="708">
        <f t="shared" si="83"/>
        <v>0</v>
      </c>
      <c r="C1330" s="708">
        <f t="shared" si="84"/>
        <v>0</v>
      </c>
      <c r="D1330" s="708">
        <f t="shared" si="85"/>
        <v>0</v>
      </c>
      <c r="E1330" s="708">
        <f t="shared" si="86"/>
        <v>0</v>
      </c>
    </row>
    <row r="1331" spans="1:6">
      <c r="A1331" s="708">
        <v>318</v>
      </c>
      <c r="B1331" s="708">
        <f t="shared" si="83"/>
        <v>0</v>
      </c>
      <c r="C1331" s="708">
        <f t="shared" si="84"/>
        <v>0</v>
      </c>
      <c r="D1331" s="708">
        <f t="shared" si="85"/>
        <v>0</v>
      </c>
      <c r="E1331" s="708">
        <f t="shared" si="86"/>
        <v>0</v>
      </c>
    </row>
    <row r="1332" spans="1:6">
      <c r="A1332" s="708">
        <v>319</v>
      </c>
      <c r="B1332" s="708">
        <f t="shared" si="83"/>
        <v>0</v>
      </c>
      <c r="C1332" s="708">
        <f t="shared" si="84"/>
        <v>0</v>
      </c>
      <c r="D1332" s="708">
        <f t="shared" si="85"/>
        <v>0</v>
      </c>
      <c r="E1332" s="708">
        <f t="shared" si="86"/>
        <v>0</v>
      </c>
    </row>
    <row r="1333" spans="1:6">
      <c r="A1333" s="708">
        <v>320</v>
      </c>
      <c r="B1333" s="708">
        <f t="shared" si="83"/>
        <v>0</v>
      </c>
      <c r="C1333" s="708">
        <f t="shared" si="84"/>
        <v>0</v>
      </c>
      <c r="D1333" s="708">
        <f t="shared" si="85"/>
        <v>0</v>
      </c>
      <c r="E1333" s="708">
        <f t="shared" si="86"/>
        <v>0</v>
      </c>
    </row>
    <row r="1334" spans="1:6">
      <c r="A1334" s="708">
        <v>321</v>
      </c>
      <c r="B1334" s="708">
        <f t="shared" ref="B1334:B1397" si="87">IF(A1334&gt;12*$D$14,0,$D$20)</f>
        <v>0</v>
      </c>
      <c r="C1334" s="708">
        <f t="shared" ref="C1334:C1397" si="88">IF(A1334&gt;12*$D$14,0,E1333*$D$10/12)</f>
        <v>0</v>
      </c>
      <c r="D1334" s="708">
        <f t="shared" ref="D1334:D1397" si="89">IF(A1334&gt;12*$D$14,0,B1334-C1334)</f>
        <v>0</v>
      </c>
      <c r="E1334" s="708">
        <f t="shared" ref="E1334:E1397" si="90">IF(A1334&gt;12*$D$14,0,E1333-D1334)</f>
        <v>0</v>
      </c>
    </row>
    <row r="1335" spans="1:6">
      <c r="A1335" s="708">
        <v>322</v>
      </c>
      <c r="B1335" s="708">
        <f t="shared" si="87"/>
        <v>0</v>
      </c>
      <c r="C1335" s="708">
        <f t="shared" si="88"/>
        <v>0</v>
      </c>
      <c r="D1335" s="708">
        <f t="shared" si="89"/>
        <v>0</v>
      </c>
      <c r="E1335" s="708">
        <f t="shared" si="90"/>
        <v>0</v>
      </c>
    </row>
    <row r="1336" spans="1:6">
      <c r="A1336" s="708">
        <v>323</v>
      </c>
      <c r="B1336" s="708">
        <f t="shared" si="87"/>
        <v>0</v>
      </c>
      <c r="C1336" s="708">
        <f t="shared" si="88"/>
        <v>0</v>
      </c>
      <c r="D1336" s="708">
        <f t="shared" si="89"/>
        <v>0</v>
      </c>
      <c r="E1336" s="708">
        <f t="shared" si="90"/>
        <v>0</v>
      </c>
    </row>
    <row r="1337" spans="1:6">
      <c r="A1337" s="708">
        <v>324</v>
      </c>
      <c r="B1337" s="708">
        <f t="shared" si="87"/>
        <v>0</v>
      </c>
      <c r="C1337" s="708">
        <f t="shared" si="88"/>
        <v>0</v>
      </c>
      <c r="D1337" s="708">
        <f t="shared" si="89"/>
        <v>0</v>
      </c>
      <c r="E1337" s="708">
        <f t="shared" si="90"/>
        <v>0</v>
      </c>
      <c r="F1337" s="708">
        <v>27</v>
      </c>
    </row>
    <row r="1338" spans="1:6">
      <c r="A1338" s="708">
        <v>325</v>
      </c>
      <c r="B1338" s="708">
        <f t="shared" si="87"/>
        <v>0</v>
      </c>
      <c r="C1338" s="708">
        <f t="shared" si="88"/>
        <v>0</v>
      </c>
      <c r="D1338" s="708">
        <f t="shared" si="89"/>
        <v>0</v>
      </c>
      <c r="E1338" s="708">
        <f t="shared" si="90"/>
        <v>0</v>
      </c>
    </row>
    <row r="1339" spans="1:6">
      <c r="A1339" s="708">
        <v>326</v>
      </c>
      <c r="B1339" s="708">
        <f t="shared" si="87"/>
        <v>0</v>
      </c>
      <c r="C1339" s="708">
        <f t="shared" si="88"/>
        <v>0</v>
      </c>
      <c r="D1339" s="708">
        <f t="shared" si="89"/>
        <v>0</v>
      </c>
      <c r="E1339" s="708">
        <f t="shared" si="90"/>
        <v>0</v>
      </c>
    </row>
    <row r="1340" spans="1:6">
      <c r="A1340" s="708">
        <v>327</v>
      </c>
      <c r="B1340" s="708">
        <f t="shared" si="87"/>
        <v>0</v>
      </c>
      <c r="C1340" s="708">
        <f t="shared" si="88"/>
        <v>0</v>
      </c>
      <c r="D1340" s="708">
        <f t="shared" si="89"/>
        <v>0</v>
      </c>
      <c r="E1340" s="708">
        <f t="shared" si="90"/>
        <v>0</v>
      </c>
    </row>
    <row r="1341" spans="1:6">
      <c r="A1341" s="708">
        <v>328</v>
      </c>
      <c r="B1341" s="708">
        <f t="shared" si="87"/>
        <v>0</v>
      </c>
      <c r="C1341" s="708">
        <f t="shared" si="88"/>
        <v>0</v>
      </c>
      <c r="D1341" s="708">
        <f t="shared" si="89"/>
        <v>0</v>
      </c>
      <c r="E1341" s="708">
        <f t="shared" si="90"/>
        <v>0</v>
      </c>
    </row>
    <row r="1342" spans="1:6">
      <c r="A1342" s="708">
        <v>329</v>
      </c>
      <c r="B1342" s="708">
        <f t="shared" si="87"/>
        <v>0</v>
      </c>
      <c r="C1342" s="708">
        <f t="shared" si="88"/>
        <v>0</v>
      </c>
      <c r="D1342" s="708">
        <f t="shared" si="89"/>
        <v>0</v>
      </c>
      <c r="E1342" s="708">
        <f t="shared" si="90"/>
        <v>0</v>
      </c>
    </row>
    <row r="1343" spans="1:6">
      <c r="A1343" s="708">
        <v>330</v>
      </c>
      <c r="B1343" s="708">
        <f t="shared" si="87"/>
        <v>0</v>
      </c>
      <c r="C1343" s="708">
        <f t="shared" si="88"/>
        <v>0</v>
      </c>
      <c r="D1343" s="708">
        <f t="shared" si="89"/>
        <v>0</v>
      </c>
      <c r="E1343" s="708">
        <f t="shared" si="90"/>
        <v>0</v>
      </c>
    </row>
    <row r="1344" spans="1:6">
      <c r="A1344" s="708">
        <v>331</v>
      </c>
      <c r="B1344" s="708">
        <f t="shared" si="87"/>
        <v>0</v>
      </c>
      <c r="C1344" s="708">
        <f t="shared" si="88"/>
        <v>0</v>
      </c>
      <c r="D1344" s="708">
        <f t="shared" si="89"/>
        <v>0</v>
      </c>
      <c r="E1344" s="708">
        <f t="shared" si="90"/>
        <v>0</v>
      </c>
    </row>
    <row r="1345" spans="1:6">
      <c r="A1345" s="708">
        <v>332</v>
      </c>
      <c r="B1345" s="708">
        <f t="shared" si="87"/>
        <v>0</v>
      </c>
      <c r="C1345" s="708">
        <f t="shared" si="88"/>
        <v>0</v>
      </c>
      <c r="D1345" s="708">
        <f t="shared" si="89"/>
        <v>0</v>
      </c>
      <c r="E1345" s="708">
        <f t="shared" si="90"/>
        <v>0</v>
      </c>
    </row>
    <row r="1346" spans="1:6">
      <c r="A1346" s="708">
        <v>333</v>
      </c>
      <c r="B1346" s="708">
        <f t="shared" si="87"/>
        <v>0</v>
      </c>
      <c r="C1346" s="708">
        <f t="shared" si="88"/>
        <v>0</v>
      </c>
      <c r="D1346" s="708">
        <f t="shared" si="89"/>
        <v>0</v>
      </c>
      <c r="E1346" s="708">
        <f t="shared" si="90"/>
        <v>0</v>
      </c>
    </row>
    <row r="1347" spans="1:6">
      <c r="A1347" s="708">
        <v>334</v>
      </c>
      <c r="B1347" s="708">
        <f t="shared" si="87"/>
        <v>0</v>
      </c>
      <c r="C1347" s="708">
        <f t="shared" si="88"/>
        <v>0</v>
      </c>
      <c r="D1347" s="708">
        <f t="shared" si="89"/>
        <v>0</v>
      </c>
      <c r="E1347" s="708">
        <f t="shared" si="90"/>
        <v>0</v>
      </c>
    </row>
    <row r="1348" spans="1:6">
      <c r="A1348" s="708">
        <v>335</v>
      </c>
      <c r="B1348" s="708">
        <f t="shared" si="87"/>
        <v>0</v>
      </c>
      <c r="C1348" s="708">
        <f t="shared" si="88"/>
        <v>0</v>
      </c>
      <c r="D1348" s="708">
        <f t="shared" si="89"/>
        <v>0</v>
      </c>
      <c r="E1348" s="708">
        <f t="shared" si="90"/>
        <v>0</v>
      </c>
    </row>
    <row r="1349" spans="1:6">
      <c r="A1349" s="708">
        <v>336</v>
      </c>
      <c r="B1349" s="708">
        <f t="shared" si="87"/>
        <v>0</v>
      </c>
      <c r="C1349" s="708">
        <f t="shared" si="88"/>
        <v>0</v>
      </c>
      <c r="D1349" s="708">
        <f t="shared" si="89"/>
        <v>0</v>
      </c>
      <c r="E1349" s="708">
        <f t="shared" si="90"/>
        <v>0</v>
      </c>
      <c r="F1349" s="708">
        <v>28</v>
      </c>
    </row>
    <row r="1350" spans="1:6">
      <c r="A1350" s="708">
        <v>337</v>
      </c>
      <c r="B1350" s="708">
        <f t="shared" si="87"/>
        <v>0</v>
      </c>
      <c r="C1350" s="708">
        <f t="shared" si="88"/>
        <v>0</v>
      </c>
      <c r="D1350" s="708">
        <f t="shared" si="89"/>
        <v>0</v>
      </c>
      <c r="E1350" s="708">
        <f t="shared" si="90"/>
        <v>0</v>
      </c>
    </row>
    <row r="1351" spans="1:6">
      <c r="A1351" s="708">
        <v>338</v>
      </c>
      <c r="B1351" s="708">
        <f t="shared" si="87"/>
        <v>0</v>
      </c>
      <c r="C1351" s="708">
        <f t="shared" si="88"/>
        <v>0</v>
      </c>
      <c r="D1351" s="708">
        <f t="shared" si="89"/>
        <v>0</v>
      </c>
      <c r="E1351" s="708">
        <f t="shared" si="90"/>
        <v>0</v>
      </c>
    </row>
    <row r="1352" spans="1:6">
      <c r="A1352" s="708">
        <v>339</v>
      </c>
      <c r="B1352" s="708">
        <f t="shared" si="87"/>
        <v>0</v>
      </c>
      <c r="C1352" s="708">
        <f t="shared" si="88"/>
        <v>0</v>
      </c>
      <c r="D1352" s="708">
        <f t="shared" si="89"/>
        <v>0</v>
      </c>
      <c r="E1352" s="708">
        <f t="shared" si="90"/>
        <v>0</v>
      </c>
    </row>
    <row r="1353" spans="1:6">
      <c r="A1353" s="708">
        <v>340</v>
      </c>
      <c r="B1353" s="708">
        <f t="shared" si="87"/>
        <v>0</v>
      </c>
      <c r="C1353" s="708">
        <f t="shared" si="88"/>
        <v>0</v>
      </c>
      <c r="D1353" s="708">
        <f t="shared" si="89"/>
        <v>0</v>
      </c>
      <c r="E1353" s="708">
        <f t="shared" si="90"/>
        <v>0</v>
      </c>
    </row>
    <row r="1354" spans="1:6">
      <c r="A1354" s="708">
        <v>341</v>
      </c>
      <c r="B1354" s="708">
        <f t="shared" si="87"/>
        <v>0</v>
      </c>
      <c r="C1354" s="708">
        <f t="shared" si="88"/>
        <v>0</v>
      </c>
      <c r="D1354" s="708">
        <f t="shared" si="89"/>
        <v>0</v>
      </c>
      <c r="E1354" s="708">
        <f t="shared" si="90"/>
        <v>0</v>
      </c>
    </row>
    <row r="1355" spans="1:6">
      <c r="A1355" s="708">
        <v>342</v>
      </c>
      <c r="B1355" s="708">
        <f t="shared" si="87"/>
        <v>0</v>
      </c>
      <c r="C1355" s="708">
        <f t="shared" si="88"/>
        <v>0</v>
      </c>
      <c r="D1355" s="708">
        <f t="shared" si="89"/>
        <v>0</v>
      </c>
      <c r="E1355" s="708">
        <f t="shared" si="90"/>
        <v>0</v>
      </c>
    </row>
    <row r="1356" spans="1:6">
      <c r="A1356" s="708">
        <v>343</v>
      </c>
      <c r="B1356" s="708">
        <f t="shared" si="87"/>
        <v>0</v>
      </c>
      <c r="C1356" s="708">
        <f t="shared" si="88"/>
        <v>0</v>
      </c>
      <c r="D1356" s="708">
        <f t="shared" si="89"/>
        <v>0</v>
      </c>
      <c r="E1356" s="708">
        <f t="shared" si="90"/>
        <v>0</v>
      </c>
    </row>
    <row r="1357" spans="1:6">
      <c r="A1357" s="708">
        <v>344</v>
      </c>
      <c r="B1357" s="708">
        <f t="shared" si="87"/>
        <v>0</v>
      </c>
      <c r="C1357" s="708">
        <f t="shared" si="88"/>
        <v>0</v>
      </c>
      <c r="D1357" s="708">
        <f t="shared" si="89"/>
        <v>0</v>
      </c>
      <c r="E1357" s="708">
        <f t="shared" si="90"/>
        <v>0</v>
      </c>
    </row>
    <row r="1358" spans="1:6">
      <c r="A1358" s="708">
        <v>345</v>
      </c>
      <c r="B1358" s="708">
        <f t="shared" si="87"/>
        <v>0</v>
      </c>
      <c r="C1358" s="708">
        <f t="shared" si="88"/>
        <v>0</v>
      </c>
      <c r="D1358" s="708">
        <f t="shared" si="89"/>
        <v>0</v>
      </c>
      <c r="E1358" s="708">
        <f t="shared" si="90"/>
        <v>0</v>
      </c>
    </row>
    <row r="1359" spans="1:6">
      <c r="A1359" s="708">
        <v>346</v>
      </c>
      <c r="B1359" s="708">
        <f t="shared" si="87"/>
        <v>0</v>
      </c>
      <c r="C1359" s="708">
        <f t="shared" si="88"/>
        <v>0</v>
      </c>
      <c r="D1359" s="708">
        <f t="shared" si="89"/>
        <v>0</v>
      </c>
      <c r="E1359" s="708">
        <f t="shared" si="90"/>
        <v>0</v>
      </c>
    </row>
    <row r="1360" spans="1:6">
      <c r="A1360" s="708">
        <v>347</v>
      </c>
      <c r="B1360" s="708">
        <f t="shared" si="87"/>
        <v>0</v>
      </c>
      <c r="C1360" s="708">
        <f t="shared" si="88"/>
        <v>0</v>
      </c>
      <c r="D1360" s="708">
        <f t="shared" si="89"/>
        <v>0</v>
      </c>
      <c r="E1360" s="708">
        <f t="shared" si="90"/>
        <v>0</v>
      </c>
    </row>
    <row r="1361" spans="1:6">
      <c r="A1361" s="708">
        <v>348</v>
      </c>
      <c r="B1361" s="708">
        <f t="shared" si="87"/>
        <v>0</v>
      </c>
      <c r="C1361" s="708">
        <f t="shared" si="88"/>
        <v>0</v>
      </c>
      <c r="D1361" s="708">
        <f t="shared" si="89"/>
        <v>0</v>
      </c>
      <c r="E1361" s="708">
        <f t="shared" si="90"/>
        <v>0</v>
      </c>
      <c r="F1361" s="708">
        <v>29</v>
      </c>
    </row>
    <row r="1362" spans="1:6">
      <c r="A1362" s="708">
        <v>349</v>
      </c>
      <c r="B1362" s="708">
        <f t="shared" si="87"/>
        <v>0</v>
      </c>
      <c r="C1362" s="708">
        <f t="shared" si="88"/>
        <v>0</v>
      </c>
      <c r="D1362" s="708">
        <f t="shared" si="89"/>
        <v>0</v>
      </c>
      <c r="E1362" s="708">
        <f t="shared" si="90"/>
        <v>0</v>
      </c>
    </row>
    <row r="1363" spans="1:6">
      <c r="A1363" s="708">
        <v>350</v>
      </c>
      <c r="B1363" s="708">
        <f t="shared" si="87"/>
        <v>0</v>
      </c>
      <c r="C1363" s="708">
        <f t="shared" si="88"/>
        <v>0</v>
      </c>
      <c r="D1363" s="708">
        <f t="shared" si="89"/>
        <v>0</v>
      </c>
      <c r="E1363" s="708">
        <f t="shared" si="90"/>
        <v>0</v>
      </c>
    </row>
    <row r="1364" spans="1:6">
      <c r="A1364" s="708">
        <v>351</v>
      </c>
      <c r="B1364" s="708">
        <f t="shared" si="87"/>
        <v>0</v>
      </c>
      <c r="C1364" s="708">
        <f t="shared" si="88"/>
        <v>0</v>
      </c>
      <c r="D1364" s="708">
        <f t="shared" si="89"/>
        <v>0</v>
      </c>
      <c r="E1364" s="708">
        <f t="shared" si="90"/>
        <v>0</v>
      </c>
    </row>
    <row r="1365" spans="1:6">
      <c r="A1365" s="708">
        <v>352</v>
      </c>
      <c r="B1365" s="708">
        <f t="shared" si="87"/>
        <v>0</v>
      </c>
      <c r="C1365" s="708">
        <f t="shared" si="88"/>
        <v>0</v>
      </c>
      <c r="D1365" s="708">
        <f t="shared" si="89"/>
        <v>0</v>
      </c>
      <c r="E1365" s="708">
        <f t="shared" si="90"/>
        <v>0</v>
      </c>
    </row>
    <row r="1366" spans="1:6">
      <c r="A1366" s="708">
        <v>353</v>
      </c>
      <c r="B1366" s="708">
        <f t="shared" si="87"/>
        <v>0</v>
      </c>
      <c r="C1366" s="708">
        <f t="shared" si="88"/>
        <v>0</v>
      </c>
      <c r="D1366" s="708">
        <f t="shared" si="89"/>
        <v>0</v>
      </c>
      <c r="E1366" s="708">
        <f t="shared" si="90"/>
        <v>0</v>
      </c>
    </row>
    <row r="1367" spans="1:6">
      <c r="A1367" s="708">
        <v>354</v>
      </c>
      <c r="B1367" s="708">
        <f t="shared" si="87"/>
        <v>0</v>
      </c>
      <c r="C1367" s="708">
        <f t="shared" si="88"/>
        <v>0</v>
      </c>
      <c r="D1367" s="708">
        <f t="shared" si="89"/>
        <v>0</v>
      </c>
      <c r="E1367" s="708">
        <f t="shared" si="90"/>
        <v>0</v>
      </c>
    </row>
    <row r="1368" spans="1:6">
      <c r="A1368" s="708">
        <v>355</v>
      </c>
      <c r="B1368" s="708">
        <f t="shared" si="87"/>
        <v>0</v>
      </c>
      <c r="C1368" s="708">
        <f t="shared" si="88"/>
        <v>0</v>
      </c>
      <c r="D1368" s="708">
        <f t="shared" si="89"/>
        <v>0</v>
      </c>
      <c r="E1368" s="708">
        <f t="shared" si="90"/>
        <v>0</v>
      </c>
    </row>
    <row r="1369" spans="1:6">
      <c r="A1369" s="708">
        <v>356</v>
      </c>
      <c r="B1369" s="708">
        <f t="shared" si="87"/>
        <v>0</v>
      </c>
      <c r="C1369" s="708">
        <f t="shared" si="88"/>
        <v>0</v>
      </c>
      <c r="D1369" s="708">
        <f t="shared" si="89"/>
        <v>0</v>
      </c>
      <c r="E1369" s="708">
        <f t="shared" si="90"/>
        <v>0</v>
      </c>
    </row>
    <row r="1370" spans="1:6">
      <c r="A1370" s="708">
        <v>357</v>
      </c>
      <c r="B1370" s="708">
        <f t="shared" si="87"/>
        <v>0</v>
      </c>
      <c r="C1370" s="708">
        <f t="shared" si="88"/>
        <v>0</v>
      </c>
      <c r="D1370" s="708">
        <f t="shared" si="89"/>
        <v>0</v>
      </c>
      <c r="E1370" s="708">
        <f t="shared" si="90"/>
        <v>0</v>
      </c>
    </row>
    <row r="1371" spans="1:6">
      <c r="A1371" s="708">
        <v>358</v>
      </c>
      <c r="B1371" s="708">
        <f t="shared" si="87"/>
        <v>0</v>
      </c>
      <c r="C1371" s="708">
        <f t="shared" si="88"/>
        <v>0</v>
      </c>
      <c r="D1371" s="708">
        <f t="shared" si="89"/>
        <v>0</v>
      </c>
      <c r="E1371" s="708">
        <f t="shared" si="90"/>
        <v>0</v>
      </c>
    </row>
    <row r="1372" spans="1:6">
      <c r="A1372" s="708">
        <v>359</v>
      </c>
      <c r="B1372" s="708">
        <f t="shared" si="87"/>
        <v>0</v>
      </c>
      <c r="C1372" s="708">
        <f t="shared" si="88"/>
        <v>0</v>
      </c>
      <c r="D1372" s="708">
        <f t="shared" si="89"/>
        <v>0</v>
      </c>
      <c r="E1372" s="708">
        <f t="shared" si="90"/>
        <v>0</v>
      </c>
    </row>
    <row r="1373" spans="1:6">
      <c r="A1373" s="708">
        <v>360</v>
      </c>
      <c r="B1373" s="708">
        <f t="shared" si="87"/>
        <v>0</v>
      </c>
      <c r="C1373" s="708">
        <f t="shared" si="88"/>
        <v>0</v>
      </c>
      <c r="D1373" s="708">
        <f t="shared" si="89"/>
        <v>0</v>
      </c>
      <c r="E1373" s="708">
        <f t="shared" si="90"/>
        <v>0</v>
      </c>
      <c r="F1373" s="708">
        <v>30</v>
      </c>
    </row>
    <row r="1374" spans="1:6">
      <c r="A1374" s="708">
        <v>361</v>
      </c>
      <c r="B1374" s="708">
        <f t="shared" si="87"/>
        <v>0</v>
      </c>
      <c r="C1374" s="708">
        <f t="shared" si="88"/>
        <v>0</v>
      </c>
      <c r="D1374" s="708">
        <f t="shared" si="89"/>
        <v>0</v>
      </c>
      <c r="E1374" s="708">
        <f t="shared" si="90"/>
        <v>0</v>
      </c>
    </row>
    <row r="1375" spans="1:6">
      <c r="A1375" s="708">
        <v>362</v>
      </c>
      <c r="B1375" s="708">
        <f t="shared" si="87"/>
        <v>0</v>
      </c>
      <c r="C1375" s="708">
        <f t="shared" si="88"/>
        <v>0</v>
      </c>
      <c r="D1375" s="708">
        <f t="shared" si="89"/>
        <v>0</v>
      </c>
      <c r="E1375" s="708">
        <f t="shared" si="90"/>
        <v>0</v>
      </c>
    </row>
    <row r="1376" spans="1:6">
      <c r="A1376" s="708">
        <v>363</v>
      </c>
      <c r="B1376" s="708">
        <f t="shared" si="87"/>
        <v>0</v>
      </c>
      <c r="C1376" s="708">
        <f t="shared" si="88"/>
        <v>0</v>
      </c>
      <c r="D1376" s="708">
        <f t="shared" si="89"/>
        <v>0</v>
      </c>
      <c r="E1376" s="708">
        <f t="shared" si="90"/>
        <v>0</v>
      </c>
    </row>
    <row r="1377" spans="1:6">
      <c r="A1377" s="708">
        <v>364</v>
      </c>
      <c r="B1377" s="708">
        <f t="shared" si="87"/>
        <v>0</v>
      </c>
      <c r="C1377" s="708">
        <f t="shared" si="88"/>
        <v>0</v>
      </c>
      <c r="D1377" s="708">
        <f t="shared" si="89"/>
        <v>0</v>
      </c>
      <c r="E1377" s="708">
        <f t="shared" si="90"/>
        <v>0</v>
      </c>
    </row>
    <row r="1378" spans="1:6">
      <c r="A1378" s="708">
        <v>365</v>
      </c>
      <c r="B1378" s="708">
        <f t="shared" si="87"/>
        <v>0</v>
      </c>
      <c r="C1378" s="708">
        <f t="shared" si="88"/>
        <v>0</v>
      </c>
      <c r="D1378" s="708">
        <f t="shared" si="89"/>
        <v>0</v>
      </c>
      <c r="E1378" s="708">
        <f t="shared" si="90"/>
        <v>0</v>
      </c>
    </row>
    <row r="1379" spans="1:6">
      <c r="A1379" s="708">
        <v>366</v>
      </c>
      <c r="B1379" s="708">
        <f t="shared" si="87"/>
        <v>0</v>
      </c>
      <c r="C1379" s="708">
        <f t="shared" si="88"/>
        <v>0</v>
      </c>
      <c r="D1379" s="708">
        <f t="shared" si="89"/>
        <v>0</v>
      </c>
      <c r="E1379" s="708">
        <f t="shared" si="90"/>
        <v>0</v>
      </c>
    </row>
    <row r="1380" spans="1:6">
      <c r="A1380" s="708">
        <v>367</v>
      </c>
      <c r="B1380" s="708">
        <f t="shared" si="87"/>
        <v>0</v>
      </c>
      <c r="C1380" s="708">
        <f t="shared" si="88"/>
        <v>0</v>
      </c>
      <c r="D1380" s="708">
        <f t="shared" si="89"/>
        <v>0</v>
      </c>
      <c r="E1380" s="708">
        <f t="shared" si="90"/>
        <v>0</v>
      </c>
    </row>
    <row r="1381" spans="1:6">
      <c r="A1381" s="708">
        <v>368</v>
      </c>
      <c r="B1381" s="708">
        <f t="shared" si="87"/>
        <v>0</v>
      </c>
      <c r="C1381" s="708">
        <f t="shared" si="88"/>
        <v>0</v>
      </c>
      <c r="D1381" s="708">
        <f t="shared" si="89"/>
        <v>0</v>
      </c>
      <c r="E1381" s="708">
        <f t="shared" si="90"/>
        <v>0</v>
      </c>
    </row>
    <row r="1382" spans="1:6">
      <c r="A1382" s="708">
        <v>369</v>
      </c>
      <c r="B1382" s="708">
        <f t="shared" si="87"/>
        <v>0</v>
      </c>
      <c r="C1382" s="708">
        <f t="shared" si="88"/>
        <v>0</v>
      </c>
      <c r="D1382" s="708">
        <f t="shared" si="89"/>
        <v>0</v>
      </c>
      <c r="E1382" s="708">
        <f t="shared" si="90"/>
        <v>0</v>
      </c>
    </row>
    <row r="1383" spans="1:6">
      <c r="A1383" s="708">
        <v>370</v>
      </c>
      <c r="B1383" s="708">
        <f t="shared" si="87"/>
        <v>0</v>
      </c>
      <c r="C1383" s="708">
        <f t="shared" si="88"/>
        <v>0</v>
      </c>
      <c r="D1383" s="708">
        <f t="shared" si="89"/>
        <v>0</v>
      </c>
      <c r="E1383" s="708">
        <f t="shared" si="90"/>
        <v>0</v>
      </c>
    </row>
    <row r="1384" spans="1:6">
      <c r="A1384" s="708">
        <v>371</v>
      </c>
      <c r="B1384" s="708">
        <f t="shared" si="87"/>
        <v>0</v>
      </c>
      <c r="C1384" s="708">
        <f t="shared" si="88"/>
        <v>0</v>
      </c>
      <c r="D1384" s="708">
        <f t="shared" si="89"/>
        <v>0</v>
      </c>
      <c r="E1384" s="708">
        <f t="shared" si="90"/>
        <v>0</v>
      </c>
    </row>
    <row r="1385" spans="1:6">
      <c r="A1385" s="708">
        <v>372</v>
      </c>
      <c r="B1385" s="708">
        <f t="shared" si="87"/>
        <v>0</v>
      </c>
      <c r="C1385" s="708">
        <f t="shared" si="88"/>
        <v>0</v>
      </c>
      <c r="D1385" s="708">
        <f t="shared" si="89"/>
        <v>0</v>
      </c>
      <c r="E1385" s="708">
        <f t="shared" si="90"/>
        <v>0</v>
      </c>
      <c r="F1385" s="708">
        <v>31</v>
      </c>
    </row>
    <row r="1386" spans="1:6">
      <c r="A1386" s="708">
        <v>373</v>
      </c>
      <c r="B1386" s="708">
        <f t="shared" si="87"/>
        <v>0</v>
      </c>
      <c r="C1386" s="708">
        <f t="shared" si="88"/>
        <v>0</v>
      </c>
      <c r="D1386" s="708">
        <f t="shared" si="89"/>
        <v>0</v>
      </c>
      <c r="E1386" s="708">
        <f t="shared" si="90"/>
        <v>0</v>
      </c>
    </row>
    <row r="1387" spans="1:6">
      <c r="A1387" s="708">
        <v>374</v>
      </c>
      <c r="B1387" s="708">
        <f t="shared" si="87"/>
        <v>0</v>
      </c>
      <c r="C1387" s="708">
        <f t="shared" si="88"/>
        <v>0</v>
      </c>
      <c r="D1387" s="708">
        <f t="shared" si="89"/>
        <v>0</v>
      </c>
      <c r="E1387" s="708">
        <f t="shared" si="90"/>
        <v>0</v>
      </c>
    </row>
    <row r="1388" spans="1:6">
      <c r="A1388" s="708">
        <v>375</v>
      </c>
      <c r="B1388" s="708">
        <f t="shared" si="87"/>
        <v>0</v>
      </c>
      <c r="C1388" s="708">
        <f t="shared" si="88"/>
        <v>0</v>
      </c>
      <c r="D1388" s="708">
        <f t="shared" si="89"/>
        <v>0</v>
      </c>
      <c r="E1388" s="708">
        <f t="shared" si="90"/>
        <v>0</v>
      </c>
    </row>
    <row r="1389" spans="1:6">
      <c r="A1389" s="708">
        <v>376</v>
      </c>
      <c r="B1389" s="708">
        <f t="shared" si="87"/>
        <v>0</v>
      </c>
      <c r="C1389" s="708">
        <f t="shared" si="88"/>
        <v>0</v>
      </c>
      <c r="D1389" s="708">
        <f t="shared" si="89"/>
        <v>0</v>
      </c>
      <c r="E1389" s="708">
        <f t="shared" si="90"/>
        <v>0</v>
      </c>
    </row>
    <row r="1390" spans="1:6">
      <c r="A1390" s="708">
        <v>377</v>
      </c>
      <c r="B1390" s="708">
        <f t="shared" si="87"/>
        <v>0</v>
      </c>
      <c r="C1390" s="708">
        <f t="shared" si="88"/>
        <v>0</v>
      </c>
      <c r="D1390" s="708">
        <f t="shared" si="89"/>
        <v>0</v>
      </c>
      <c r="E1390" s="708">
        <f t="shared" si="90"/>
        <v>0</v>
      </c>
    </row>
    <row r="1391" spans="1:6">
      <c r="A1391" s="708">
        <v>378</v>
      </c>
      <c r="B1391" s="708">
        <f t="shared" si="87"/>
        <v>0</v>
      </c>
      <c r="C1391" s="708">
        <f t="shared" si="88"/>
        <v>0</v>
      </c>
      <c r="D1391" s="708">
        <f t="shared" si="89"/>
        <v>0</v>
      </c>
      <c r="E1391" s="708">
        <f t="shared" si="90"/>
        <v>0</v>
      </c>
    </row>
    <row r="1392" spans="1:6">
      <c r="A1392" s="708">
        <v>379</v>
      </c>
      <c r="B1392" s="708">
        <f t="shared" si="87"/>
        <v>0</v>
      </c>
      <c r="C1392" s="708">
        <f t="shared" si="88"/>
        <v>0</v>
      </c>
      <c r="D1392" s="708">
        <f t="shared" si="89"/>
        <v>0</v>
      </c>
      <c r="E1392" s="708">
        <f t="shared" si="90"/>
        <v>0</v>
      </c>
    </row>
    <row r="1393" spans="1:6">
      <c r="A1393" s="708">
        <v>380</v>
      </c>
      <c r="B1393" s="708">
        <f t="shared" si="87"/>
        <v>0</v>
      </c>
      <c r="C1393" s="708">
        <f t="shared" si="88"/>
        <v>0</v>
      </c>
      <c r="D1393" s="708">
        <f t="shared" si="89"/>
        <v>0</v>
      </c>
      <c r="E1393" s="708">
        <f t="shared" si="90"/>
        <v>0</v>
      </c>
    </row>
    <row r="1394" spans="1:6">
      <c r="A1394" s="708">
        <v>381</v>
      </c>
      <c r="B1394" s="708">
        <f t="shared" si="87"/>
        <v>0</v>
      </c>
      <c r="C1394" s="708">
        <f t="shared" si="88"/>
        <v>0</v>
      </c>
      <c r="D1394" s="708">
        <f t="shared" si="89"/>
        <v>0</v>
      </c>
      <c r="E1394" s="708">
        <f t="shared" si="90"/>
        <v>0</v>
      </c>
    </row>
    <row r="1395" spans="1:6">
      <c r="A1395" s="708">
        <v>382</v>
      </c>
      <c r="B1395" s="708">
        <f t="shared" si="87"/>
        <v>0</v>
      </c>
      <c r="C1395" s="708">
        <f t="shared" si="88"/>
        <v>0</v>
      </c>
      <c r="D1395" s="708">
        <f t="shared" si="89"/>
        <v>0</v>
      </c>
      <c r="E1395" s="708">
        <f t="shared" si="90"/>
        <v>0</v>
      </c>
    </row>
    <row r="1396" spans="1:6">
      <c r="A1396" s="708">
        <v>383</v>
      </c>
      <c r="B1396" s="708">
        <f t="shared" si="87"/>
        <v>0</v>
      </c>
      <c r="C1396" s="708">
        <f t="shared" si="88"/>
        <v>0</v>
      </c>
      <c r="D1396" s="708">
        <f t="shared" si="89"/>
        <v>0</v>
      </c>
      <c r="E1396" s="708">
        <f t="shared" si="90"/>
        <v>0</v>
      </c>
    </row>
    <row r="1397" spans="1:6">
      <c r="A1397" s="708">
        <v>384</v>
      </c>
      <c r="B1397" s="708">
        <f t="shared" si="87"/>
        <v>0</v>
      </c>
      <c r="C1397" s="708">
        <f t="shared" si="88"/>
        <v>0</v>
      </c>
      <c r="D1397" s="708">
        <f t="shared" si="89"/>
        <v>0</v>
      </c>
      <c r="E1397" s="708">
        <f t="shared" si="90"/>
        <v>0</v>
      </c>
      <c r="F1397" s="708">
        <v>32</v>
      </c>
    </row>
    <row r="1398" spans="1:6">
      <c r="A1398" s="708">
        <v>385</v>
      </c>
      <c r="B1398" s="708">
        <f t="shared" ref="B1398:B1461" si="91">IF(A1398&gt;12*$D$14,0,$D$20)</f>
        <v>0</v>
      </c>
      <c r="C1398" s="708">
        <f t="shared" ref="C1398:C1461" si="92">IF(A1398&gt;12*$D$14,0,E1397*$D$10/12)</f>
        <v>0</v>
      </c>
      <c r="D1398" s="708">
        <f t="shared" ref="D1398:D1461" si="93">IF(A1398&gt;12*$D$14,0,B1398-C1398)</f>
        <v>0</v>
      </c>
      <c r="E1398" s="708">
        <f t="shared" ref="E1398:E1461" si="94">IF(A1398&gt;12*$D$14,0,E1397-D1398)</f>
        <v>0</v>
      </c>
    </row>
    <row r="1399" spans="1:6">
      <c r="A1399" s="708">
        <v>386</v>
      </c>
      <c r="B1399" s="708">
        <f t="shared" si="91"/>
        <v>0</v>
      </c>
      <c r="C1399" s="708">
        <f t="shared" si="92"/>
        <v>0</v>
      </c>
      <c r="D1399" s="708">
        <f t="shared" si="93"/>
        <v>0</v>
      </c>
      <c r="E1399" s="708">
        <f t="shared" si="94"/>
        <v>0</v>
      </c>
    </row>
    <row r="1400" spans="1:6">
      <c r="A1400" s="708">
        <v>387</v>
      </c>
      <c r="B1400" s="708">
        <f t="shared" si="91"/>
        <v>0</v>
      </c>
      <c r="C1400" s="708">
        <f t="shared" si="92"/>
        <v>0</v>
      </c>
      <c r="D1400" s="708">
        <f t="shared" si="93"/>
        <v>0</v>
      </c>
      <c r="E1400" s="708">
        <f t="shared" si="94"/>
        <v>0</v>
      </c>
    </row>
    <row r="1401" spans="1:6">
      <c r="A1401" s="708">
        <v>388</v>
      </c>
      <c r="B1401" s="708">
        <f t="shared" si="91"/>
        <v>0</v>
      </c>
      <c r="C1401" s="708">
        <f t="shared" si="92"/>
        <v>0</v>
      </c>
      <c r="D1401" s="708">
        <f t="shared" si="93"/>
        <v>0</v>
      </c>
      <c r="E1401" s="708">
        <f t="shared" si="94"/>
        <v>0</v>
      </c>
    </row>
    <row r="1402" spans="1:6">
      <c r="A1402" s="708">
        <v>389</v>
      </c>
      <c r="B1402" s="708">
        <f t="shared" si="91"/>
        <v>0</v>
      </c>
      <c r="C1402" s="708">
        <f t="shared" si="92"/>
        <v>0</v>
      </c>
      <c r="D1402" s="708">
        <f t="shared" si="93"/>
        <v>0</v>
      </c>
      <c r="E1402" s="708">
        <f t="shared" si="94"/>
        <v>0</v>
      </c>
    </row>
    <row r="1403" spans="1:6">
      <c r="A1403" s="708">
        <v>390</v>
      </c>
      <c r="B1403" s="708">
        <f t="shared" si="91"/>
        <v>0</v>
      </c>
      <c r="C1403" s="708">
        <f t="shared" si="92"/>
        <v>0</v>
      </c>
      <c r="D1403" s="708">
        <f t="shared" si="93"/>
        <v>0</v>
      </c>
      <c r="E1403" s="708">
        <f t="shared" si="94"/>
        <v>0</v>
      </c>
    </row>
    <row r="1404" spans="1:6">
      <c r="A1404" s="708">
        <v>391</v>
      </c>
      <c r="B1404" s="708">
        <f t="shared" si="91"/>
        <v>0</v>
      </c>
      <c r="C1404" s="708">
        <f t="shared" si="92"/>
        <v>0</v>
      </c>
      <c r="D1404" s="708">
        <f t="shared" si="93"/>
        <v>0</v>
      </c>
      <c r="E1404" s="708">
        <f t="shared" si="94"/>
        <v>0</v>
      </c>
    </row>
    <row r="1405" spans="1:6">
      <c r="A1405" s="708">
        <v>392</v>
      </c>
      <c r="B1405" s="708">
        <f t="shared" si="91"/>
        <v>0</v>
      </c>
      <c r="C1405" s="708">
        <f t="shared" si="92"/>
        <v>0</v>
      </c>
      <c r="D1405" s="708">
        <f t="shared" si="93"/>
        <v>0</v>
      </c>
      <c r="E1405" s="708">
        <f t="shared" si="94"/>
        <v>0</v>
      </c>
    </row>
    <row r="1406" spans="1:6">
      <c r="A1406" s="708">
        <v>393</v>
      </c>
      <c r="B1406" s="708">
        <f t="shared" si="91"/>
        <v>0</v>
      </c>
      <c r="C1406" s="708">
        <f t="shared" si="92"/>
        <v>0</v>
      </c>
      <c r="D1406" s="708">
        <f t="shared" si="93"/>
        <v>0</v>
      </c>
      <c r="E1406" s="708">
        <f t="shared" si="94"/>
        <v>0</v>
      </c>
    </row>
    <row r="1407" spans="1:6">
      <c r="A1407" s="708">
        <v>394</v>
      </c>
      <c r="B1407" s="708">
        <f t="shared" si="91"/>
        <v>0</v>
      </c>
      <c r="C1407" s="708">
        <f t="shared" si="92"/>
        <v>0</v>
      </c>
      <c r="D1407" s="708">
        <f t="shared" si="93"/>
        <v>0</v>
      </c>
      <c r="E1407" s="708">
        <f t="shared" si="94"/>
        <v>0</v>
      </c>
    </row>
    <row r="1408" spans="1:6">
      <c r="A1408" s="708">
        <v>395</v>
      </c>
      <c r="B1408" s="708">
        <f t="shared" si="91"/>
        <v>0</v>
      </c>
      <c r="C1408" s="708">
        <f t="shared" si="92"/>
        <v>0</v>
      </c>
      <c r="D1408" s="708">
        <f t="shared" si="93"/>
        <v>0</v>
      </c>
      <c r="E1408" s="708">
        <f t="shared" si="94"/>
        <v>0</v>
      </c>
    </row>
    <row r="1409" spans="1:6">
      <c r="A1409" s="708">
        <v>396</v>
      </c>
      <c r="B1409" s="708">
        <f t="shared" si="91"/>
        <v>0</v>
      </c>
      <c r="C1409" s="708">
        <f t="shared" si="92"/>
        <v>0</v>
      </c>
      <c r="D1409" s="708">
        <f t="shared" si="93"/>
        <v>0</v>
      </c>
      <c r="E1409" s="708">
        <f t="shared" si="94"/>
        <v>0</v>
      </c>
      <c r="F1409" s="708">
        <v>33</v>
      </c>
    </row>
    <row r="1410" spans="1:6">
      <c r="A1410" s="708">
        <v>397</v>
      </c>
      <c r="B1410" s="708">
        <f t="shared" si="91"/>
        <v>0</v>
      </c>
      <c r="C1410" s="708">
        <f t="shared" si="92"/>
        <v>0</v>
      </c>
      <c r="D1410" s="708">
        <f t="shared" si="93"/>
        <v>0</v>
      </c>
      <c r="E1410" s="708">
        <f t="shared" si="94"/>
        <v>0</v>
      </c>
    </row>
    <row r="1411" spans="1:6">
      <c r="A1411" s="708">
        <v>398</v>
      </c>
      <c r="B1411" s="708">
        <f t="shared" si="91"/>
        <v>0</v>
      </c>
      <c r="C1411" s="708">
        <f t="shared" si="92"/>
        <v>0</v>
      </c>
      <c r="D1411" s="708">
        <f t="shared" si="93"/>
        <v>0</v>
      </c>
      <c r="E1411" s="708">
        <f t="shared" si="94"/>
        <v>0</v>
      </c>
    </row>
    <row r="1412" spans="1:6">
      <c r="A1412" s="708">
        <v>399</v>
      </c>
      <c r="B1412" s="708">
        <f t="shared" si="91"/>
        <v>0</v>
      </c>
      <c r="C1412" s="708">
        <f t="shared" si="92"/>
        <v>0</v>
      </c>
      <c r="D1412" s="708">
        <f t="shared" si="93"/>
        <v>0</v>
      </c>
      <c r="E1412" s="708">
        <f t="shared" si="94"/>
        <v>0</v>
      </c>
    </row>
    <row r="1413" spans="1:6">
      <c r="A1413" s="708">
        <v>400</v>
      </c>
      <c r="B1413" s="708">
        <f t="shared" si="91"/>
        <v>0</v>
      </c>
      <c r="C1413" s="708">
        <f t="shared" si="92"/>
        <v>0</v>
      </c>
      <c r="D1413" s="708">
        <f t="shared" si="93"/>
        <v>0</v>
      </c>
      <c r="E1413" s="708">
        <f t="shared" si="94"/>
        <v>0</v>
      </c>
    </row>
    <row r="1414" spans="1:6">
      <c r="A1414" s="708">
        <v>401</v>
      </c>
      <c r="B1414" s="708">
        <f t="shared" si="91"/>
        <v>0</v>
      </c>
      <c r="C1414" s="708">
        <f t="shared" si="92"/>
        <v>0</v>
      </c>
      <c r="D1414" s="708">
        <f t="shared" si="93"/>
        <v>0</v>
      </c>
      <c r="E1414" s="708">
        <f t="shared" si="94"/>
        <v>0</v>
      </c>
    </row>
    <row r="1415" spans="1:6">
      <c r="A1415" s="708">
        <v>402</v>
      </c>
      <c r="B1415" s="708">
        <f t="shared" si="91"/>
        <v>0</v>
      </c>
      <c r="C1415" s="708">
        <f t="shared" si="92"/>
        <v>0</v>
      </c>
      <c r="D1415" s="708">
        <f t="shared" si="93"/>
        <v>0</v>
      </c>
      <c r="E1415" s="708">
        <f t="shared" si="94"/>
        <v>0</v>
      </c>
    </row>
    <row r="1416" spans="1:6">
      <c r="A1416" s="708">
        <v>403</v>
      </c>
      <c r="B1416" s="708">
        <f t="shared" si="91"/>
        <v>0</v>
      </c>
      <c r="C1416" s="708">
        <f t="shared" si="92"/>
        <v>0</v>
      </c>
      <c r="D1416" s="708">
        <f t="shared" si="93"/>
        <v>0</v>
      </c>
      <c r="E1416" s="708">
        <f t="shared" si="94"/>
        <v>0</v>
      </c>
    </row>
    <row r="1417" spans="1:6">
      <c r="A1417" s="708">
        <v>404</v>
      </c>
      <c r="B1417" s="708">
        <f t="shared" si="91"/>
        <v>0</v>
      </c>
      <c r="C1417" s="708">
        <f t="shared" si="92"/>
        <v>0</v>
      </c>
      <c r="D1417" s="708">
        <f t="shared" si="93"/>
        <v>0</v>
      </c>
      <c r="E1417" s="708">
        <f t="shared" si="94"/>
        <v>0</v>
      </c>
    </row>
    <row r="1418" spans="1:6">
      <c r="A1418" s="708">
        <v>405</v>
      </c>
      <c r="B1418" s="708">
        <f t="shared" si="91"/>
        <v>0</v>
      </c>
      <c r="C1418" s="708">
        <f t="shared" si="92"/>
        <v>0</v>
      </c>
      <c r="D1418" s="708">
        <f t="shared" si="93"/>
        <v>0</v>
      </c>
      <c r="E1418" s="708">
        <f t="shared" si="94"/>
        <v>0</v>
      </c>
    </row>
    <row r="1419" spans="1:6">
      <c r="A1419" s="708">
        <v>406</v>
      </c>
      <c r="B1419" s="708">
        <f t="shared" si="91"/>
        <v>0</v>
      </c>
      <c r="C1419" s="708">
        <f t="shared" si="92"/>
        <v>0</v>
      </c>
      <c r="D1419" s="708">
        <f t="shared" si="93"/>
        <v>0</v>
      </c>
      <c r="E1419" s="708">
        <f t="shared" si="94"/>
        <v>0</v>
      </c>
    </row>
    <row r="1420" spans="1:6">
      <c r="A1420" s="708">
        <v>407</v>
      </c>
      <c r="B1420" s="708">
        <f t="shared" si="91"/>
        <v>0</v>
      </c>
      <c r="C1420" s="708">
        <f t="shared" si="92"/>
        <v>0</v>
      </c>
      <c r="D1420" s="708">
        <f t="shared" si="93"/>
        <v>0</v>
      </c>
      <c r="E1420" s="708">
        <f t="shared" si="94"/>
        <v>0</v>
      </c>
    </row>
    <row r="1421" spans="1:6">
      <c r="A1421" s="708">
        <v>408</v>
      </c>
      <c r="B1421" s="708">
        <f t="shared" si="91"/>
        <v>0</v>
      </c>
      <c r="C1421" s="708">
        <f t="shared" si="92"/>
        <v>0</v>
      </c>
      <c r="D1421" s="708">
        <f t="shared" si="93"/>
        <v>0</v>
      </c>
      <c r="E1421" s="708">
        <f t="shared" si="94"/>
        <v>0</v>
      </c>
      <c r="F1421" s="708">
        <v>34</v>
      </c>
    </row>
    <row r="1422" spans="1:6">
      <c r="A1422" s="708">
        <v>409</v>
      </c>
      <c r="B1422" s="708">
        <f t="shared" si="91"/>
        <v>0</v>
      </c>
      <c r="C1422" s="708">
        <f t="shared" si="92"/>
        <v>0</v>
      </c>
      <c r="D1422" s="708">
        <f t="shared" si="93"/>
        <v>0</v>
      </c>
      <c r="E1422" s="708">
        <f t="shared" si="94"/>
        <v>0</v>
      </c>
    </row>
    <row r="1423" spans="1:6">
      <c r="A1423" s="708">
        <v>410</v>
      </c>
      <c r="B1423" s="708">
        <f t="shared" si="91"/>
        <v>0</v>
      </c>
      <c r="C1423" s="708">
        <f t="shared" si="92"/>
        <v>0</v>
      </c>
      <c r="D1423" s="708">
        <f t="shared" si="93"/>
        <v>0</v>
      </c>
      <c r="E1423" s="708">
        <f t="shared" si="94"/>
        <v>0</v>
      </c>
    </row>
    <row r="1424" spans="1:6">
      <c r="A1424" s="708">
        <v>411</v>
      </c>
      <c r="B1424" s="708">
        <f t="shared" si="91"/>
        <v>0</v>
      </c>
      <c r="C1424" s="708">
        <f t="shared" si="92"/>
        <v>0</v>
      </c>
      <c r="D1424" s="708">
        <f t="shared" si="93"/>
        <v>0</v>
      </c>
      <c r="E1424" s="708">
        <f t="shared" si="94"/>
        <v>0</v>
      </c>
    </row>
    <row r="1425" spans="1:6">
      <c r="A1425" s="708">
        <v>412</v>
      </c>
      <c r="B1425" s="708">
        <f t="shared" si="91"/>
        <v>0</v>
      </c>
      <c r="C1425" s="708">
        <f t="shared" si="92"/>
        <v>0</v>
      </c>
      <c r="D1425" s="708">
        <f t="shared" si="93"/>
        <v>0</v>
      </c>
      <c r="E1425" s="708">
        <f t="shared" si="94"/>
        <v>0</v>
      </c>
    </row>
    <row r="1426" spans="1:6">
      <c r="A1426" s="708">
        <v>413</v>
      </c>
      <c r="B1426" s="708">
        <f t="shared" si="91"/>
        <v>0</v>
      </c>
      <c r="C1426" s="708">
        <f t="shared" si="92"/>
        <v>0</v>
      </c>
      <c r="D1426" s="708">
        <f t="shared" si="93"/>
        <v>0</v>
      </c>
      <c r="E1426" s="708">
        <f t="shared" si="94"/>
        <v>0</v>
      </c>
    </row>
    <row r="1427" spans="1:6">
      <c r="A1427" s="708">
        <v>414</v>
      </c>
      <c r="B1427" s="708">
        <f t="shared" si="91"/>
        <v>0</v>
      </c>
      <c r="C1427" s="708">
        <f t="shared" si="92"/>
        <v>0</v>
      </c>
      <c r="D1427" s="708">
        <f t="shared" si="93"/>
        <v>0</v>
      </c>
      <c r="E1427" s="708">
        <f t="shared" si="94"/>
        <v>0</v>
      </c>
    </row>
    <row r="1428" spans="1:6">
      <c r="A1428" s="708">
        <v>415</v>
      </c>
      <c r="B1428" s="708">
        <f t="shared" si="91"/>
        <v>0</v>
      </c>
      <c r="C1428" s="708">
        <f t="shared" si="92"/>
        <v>0</v>
      </c>
      <c r="D1428" s="708">
        <f t="shared" si="93"/>
        <v>0</v>
      </c>
      <c r="E1428" s="708">
        <f t="shared" si="94"/>
        <v>0</v>
      </c>
    </row>
    <row r="1429" spans="1:6">
      <c r="A1429" s="708">
        <v>416</v>
      </c>
      <c r="B1429" s="708">
        <f t="shared" si="91"/>
        <v>0</v>
      </c>
      <c r="C1429" s="708">
        <f t="shared" si="92"/>
        <v>0</v>
      </c>
      <c r="D1429" s="708">
        <f t="shared" si="93"/>
        <v>0</v>
      </c>
      <c r="E1429" s="708">
        <f t="shared" si="94"/>
        <v>0</v>
      </c>
    </row>
    <row r="1430" spans="1:6">
      <c r="A1430" s="708">
        <v>417</v>
      </c>
      <c r="B1430" s="708">
        <f t="shared" si="91"/>
        <v>0</v>
      </c>
      <c r="C1430" s="708">
        <f t="shared" si="92"/>
        <v>0</v>
      </c>
      <c r="D1430" s="708">
        <f t="shared" si="93"/>
        <v>0</v>
      </c>
      <c r="E1430" s="708">
        <f t="shared" si="94"/>
        <v>0</v>
      </c>
    </row>
    <row r="1431" spans="1:6">
      <c r="A1431" s="708">
        <v>418</v>
      </c>
      <c r="B1431" s="708">
        <f t="shared" si="91"/>
        <v>0</v>
      </c>
      <c r="C1431" s="708">
        <f t="shared" si="92"/>
        <v>0</v>
      </c>
      <c r="D1431" s="708">
        <f t="shared" si="93"/>
        <v>0</v>
      </c>
      <c r="E1431" s="708">
        <f t="shared" si="94"/>
        <v>0</v>
      </c>
    </row>
    <row r="1432" spans="1:6">
      <c r="A1432" s="708">
        <v>419</v>
      </c>
      <c r="B1432" s="708">
        <f t="shared" si="91"/>
        <v>0</v>
      </c>
      <c r="C1432" s="708">
        <f t="shared" si="92"/>
        <v>0</v>
      </c>
      <c r="D1432" s="708">
        <f t="shared" si="93"/>
        <v>0</v>
      </c>
      <c r="E1432" s="708">
        <f t="shared" si="94"/>
        <v>0</v>
      </c>
    </row>
    <row r="1433" spans="1:6">
      <c r="A1433" s="708">
        <v>420</v>
      </c>
      <c r="B1433" s="708">
        <f t="shared" si="91"/>
        <v>0</v>
      </c>
      <c r="C1433" s="708">
        <f t="shared" si="92"/>
        <v>0</v>
      </c>
      <c r="D1433" s="708">
        <f t="shared" si="93"/>
        <v>0</v>
      </c>
      <c r="E1433" s="708">
        <f t="shared" si="94"/>
        <v>0</v>
      </c>
      <c r="F1433" s="708">
        <v>35</v>
      </c>
    </row>
    <row r="1434" spans="1:6">
      <c r="A1434" s="708">
        <v>421</v>
      </c>
      <c r="B1434" s="708">
        <f t="shared" si="91"/>
        <v>0</v>
      </c>
      <c r="C1434" s="708">
        <f t="shared" si="92"/>
        <v>0</v>
      </c>
      <c r="D1434" s="708">
        <f t="shared" si="93"/>
        <v>0</v>
      </c>
      <c r="E1434" s="708">
        <f t="shared" si="94"/>
        <v>0</v>
      </c>
    </row>
    <row r="1435" spans="1:6">
      <c r="A1435" s="708">
        <v>422</v>
      </c>
      <c r="B1435" s="708">
        <f t="shared" si="91"/>
        <v>0</v>
      </c>
      <c r="C1435" s="708">
        <f t="shared" si="92"/>
        <v>0</v>
      </c>
      <c r="D1435" s="708">
        <f t="shared" si="93"/>
        <v>0</v>
      </c>
      <c r="E1435" s="708">
        <f t="shared" si="94"/>
        <v>0</v>
      </c>
    </row>
    <row r="1436" spans="1:6">
      <c r="A1436" s="708">
        <v>423</v>
      </c>
      <c r="B1436" s="708">
        <f t="shared" si="91"/>
        <v>0</v>
      </c>
      <c r="C1436" s="708">
        <f t="shared" si="92"/>
        <v>0</v>
      </c>
      <c r="D1436" s="708">
        <f t="shared" si="93"/>
        <v>0</v>
      </c>
      <c r="E1436" s="708">
        <f t="shared" si="94"/>
        <v>0</v>
      </c>
    </row>
    <row r="1437" spans="1:6">
      <c r="A1437" s="708">
        <v>424</v>
      </c>
      <c r="B1437" s="708">
        <f t="shared" si="91"/>
        <v>0</v>
      </c>
      <c r="C1437" s="708">
        <f t="shared" si="92"/>
        <v>0</v>
      </c>
      <c r="D1437" s="708">
        <f t="shared" si="93"/>
        <v>0</v>
      </c>
      <c r="E1437" s="708">
        <f t="shared" si="94"/>
        <v>0</v>
      </c>
    </row>
    <row r="1438" spans="1:6">
      <c r="A1438" s="708">
        <v>425</v>
      </c>
      <c r="B1438" s="708">
        <f t="shared" si="91"/>
        <v>0</v>
      </c>
      <c r="C1438" s="708">
        <f t="shared" si="92"/>
        <v>0</v>
      </c>
      <c r="D1438" s="708">
        <f t="shared" si="93"/>
        <v>0</v>
      </c>
      <c r="E1438" s="708">
        <f t="shared" si="94"/>
        <v>0</v>
      </c>
    </row>
    <row r="1439" spans="1:6">
      <c r="A1439" s="708">
        <v>426</v>
      </c>
      <c r="B1439" s="708">
        <f t="shared" si="91"/>
        <v>0</v>
      </c>
      <c r="C1439" s="708">
        <f t="shared" si="92"/>
        <v>0</v>
      </c>
      <c r="D1439" s="708">
        <f t="shared" si="93"/>
        <v>0</v>
      </c>
      <c r="E1439" s="708">
        <f t="shared" si="94"/>
        <v>0</v>
      </c>
    </row>
    <row r="1440" spans="1:6">
      <c r="A1440" s="708">
        <v>427</v>
      </c>
      <c r="B1440" s="708">
        <f t="shared" si="91"/>
        <v>0</v>
      </c>
      <c r="C1440" s="708">
        <f t="shared" si="92"/>
        <v>0</v>
      </c>
      <c r="D1440" s="708">
        <f t="shared" si="93"/>
        <v>0</v>
      </c>
      <c r="E1440" s="708">
        <f t="shared" si="94"/>
        <v>0</v>
      </c>
    </row>
    <row r="1441" spans="1:6">
      <c r="A1441" s="708">
        <v>428</v>
      </c>
      <c r="B1441" s="708">
        <f t="shared" si="91"/>
        <v>0</v>
      </c>
      <c r="C1441" s="708">
        <f t="shared" si="92"/>
        <v>0</v>
      </c>
      <c r="D1441" s="708">
        <f t="shared" si="93"/>
        <v>0</v>
      </c>
      <c r="E1441" s="708">
        <f t="shared" si="94"/>
        <v>0</v>
      </c>
    </row>
    <row r="1442" spans="1:6">
      <c r="A1442" s="708">
        <v>429</v>
      </c>
      <c r="B1442" s="708">
        <f t="shared" si="91"/>
        <v>0</v>
      </c>
      <c r="C1442" s="708">
        <f t="shared" si="92"/>
        <v>0</v>
      </c>
      <c r="D1442" s="708">
        <f t="shared" si="93"/>
        <v>0</v>
      </c>
      <c r="E1442" s="708">
        <f t="shared" si="94"/>
        <v>0</v>
      </c>
    </row>
    <row r="1443" spans="1:6">
      <c r="A1443" s="708">
        <v>430</v>
      </c>
      <c r="B1443" s="708">
        <f t="shared" si="91"/>
        <v>0</v>
      </c>
      <c r="C1443" s="708">
        <f t="shared" si="92"/>
        <v>0</v>
      </c>
      <c r="D1443" s="708">
        <f t="shared" si="93"/>
        <v>0</v>
      </c>
      <c r="E1443" s="708">
        <f t="shared" si="94"/>
        <v>0</v>
      </c>
    </row>
    <row r="1444" spans="1:6">
      <c r="A1444" s="708">
        <v>431</v>
      </c>
      <c r="B1444" s="708">
        <f t="shared" si="91"/>
        <v>0</v>
      </c>
      <c r="C1444" s="708">
        <f t="shared" si="92"/>
        <v>0</v>
      </c>
      <c r="D1444" s="708">
        <f t="shared" si="93"/>
        <v>0</v>
      </c>
      <c r="E1444" s="708">
        <f t="shared" si="94"/>
        <v>0</v>
      </c>
    </row>
    <row r="1445" spans="1:6">
      <c r="A1445" s="708">
        <v>432</v>
      </c>
      <c r="B1445" s="708">
        <f t="shared" si="91"/>
        <v>0</v>
      </c>
      <c r="C1445" s="708">
        <f t="shared" si="92"/>
        <v>0</v>
      </c>
      <c r="D1445" s="708">
        <f t="shared" si="93"/>
        <v>0</v>
      </c>
      <c r="E1445" s="708">
        <f t="shared" si="94"/>
        <v>0</v>
      </c>
      <c r="F1445" s="708">
        <v>36</v>
      </c>
    </row>
    <row r="1446" spans="1:6">
      <c r="A1446" s="708">
        <v>433</v>
      </c>
      <c r="B1446" s="708">
        <f t="shared" si="91"/>
        <v>0</v>
      </c>
      <c r="C1446" s="708">
        <f t="shared" si="92"/>
        <v>0</v>
      </c>
      <c r="D1446" s="708">
        <f t="shared" si="93"/>
        <v>0</v>
      </c>
      <c r="E1446" s="708">
        <f t="shared" si="94"/>
        <v>0</v>
      </c>
    </row>
    <row r="1447" spans="1:6">
      <c r="A1447" s="708">
        <v>434</v>
      </c>
      <c r="B1447" s="708">
        <f t="shared" si="91"/>
        <v>0</v>
      </c>
      <c r="C1447" s="708">
        <f t="shared" si="92"/>
        <v>0</v>
      </c>
      <c r="D1447" s="708">
        <f t="shared" si="93"/>
        <v>0</v>
      </c>
      <c r="E1447" s="708">
        <f t="shared" si="94"/>
        <v>0</v>
      </c>
    </row>
    <row r="1448" spans="1:6">
      <c r="A1448" s="708">
        <v>435</v>
      </c>
      <c r="B1448" s="708">
        <f t="shared" si="91"/>
        <v>0</v>
      </c>
      <c r="C1448" s="708">
        <f t="shared" si="92"/>
        <v>0</v>
      </c>
      <c r="D1448" s="708">
        <f t="shared" si="93"/>
        <v>0</v>
      </c>
      <c r="E1448" s="708">
        <f t="shared" si="94"/>
        <v>0</v>
      </c>
    </row>
    <row r="1449" spans="1:6">
      <c r="A1449" s="708">
        <v>436</v>
      </c>
      <c r="B1449" s="708">
        <f t="shared" si="91"/>
        <v>0</v>
      </c>
      <c r="C1449" s="708">
        <f t="shared" si="92"/>
        <v>0</v>
      </c>
      <c r="D1449" s="708">
        <f t="shared" si="93"/>
        <v>0</v>
      </c>
      <c r="E1449" s="708">
        <f t="shared" si="94"/>
        <v>0</v>
      </c>
    </row>
    <row r="1450" spans="1:6">
      <c r="A1450" s="708">
        <v>437</v>
      </c>
      <c r="B1450" s="708">
        <f t="shared" si="91"/>
        <v>0</v>
      </c>
      <c r="C1450" s="708">
        <f t="shared" si="92"/>
        <v>0</v>
      </c>
      <c r="D1450" s="708">
        <f t="shared" si="93"/>
        <v>0</v>
      </c>
      <c r="E1450" s="708">
        <f t="shared" si="94"/>
        <v>0</v>
      </c>
    </row>
    <row r="1451" spans="1:6">
      <c r="A1451" s="708">
        <v>438</v>
      </c>
      <c r="B1451" s="708">
        <f t="shared" si="91"/>
        <v>0</v>
      </c>
      <c r="C1451" s="708">
        <f t="shared" si="92"/>
        <v>0</v>
      </c>
      <c r="D1451" s="708">
        <f t="shared" si="93"/>
        <v>0</v>
      </c>
      <c r="E1451" s="708">
        <f t="shared" si="94"/>
        <v>0</v>
      </c>
    </row>
    <row r="1452" spans="1:6">
      <c r="A1452" s="708">
        <v>439</v>
      </c>
      <c r="B1452" s="708">
        <f t="shared" si="91"/>
        <v>0</v>
      </c>
      <c r="C1452" s="708">
        <f t="shared" si="92"/>
        <v>0</v>
      </c>
      <c r="D1452" s="708">
        <f t="shared" si="93"/>
        <v>0</v>
      </c>
      <c r="E1452" s="708">
        <f t="shared" si="94"/>
        <v>0</v>
      </c>
    </row>
    <row r="1453" spans="1:6">
      <c r="A1453" s="708">
        <v>440</v>
      </c>
      <c r="B1453" s="708">
        <f t="shared" si="91"/>
        <v>0</v>
      </c>
      <c r="C1453" s="708">
        <f t="shared" si="92"/>
        <v>0</v>
      </c>
      <c r="D1453" s="708">
        <f t="shared" si="93"/>
        <v>0</v>
      </c>
      <c r="E1453" s="708">
        <f t="shared" si="94"/>
        <v>0</v>
      </c>
    </row>
    <row r="1454" spans="1:6">
      <c r="A1454" s="708">
        <v>441</v>
      </c>
      <c r="B1454" s="708">
        <f t="shared" si="91"/>
        <v>0</v>
      </c>
      <c r="C1454" s="708">
        <f t="shared" si="92"/>
        <v>0</v>
      </c>
      <c r="D1454" s="708">
        <f t="shared" si="93"/>
        <v>0</v>
      </c>
      <c r="E1454" s="708">
        <f t="shared" si="94"/>
        <v>0</v>
      </c>
    </row>
    <row r="1455" spans="1:6">
      <c r="A1455" s="708">
        <v>442</v>
      </c>
      <c r="B1455" s="708">
        <f t="shared" si="91"/>
        <v>0</v>
      </c>
      <c r="C1455" s="708">
        <f t="shared" si="92"/>
        <v>0</v>
      </c>
      <c r="D1455" s="708">
        <f t="shared" si="93"/>
        <v>0</v>
      </c>
      <c r="E1455" s="708">
        <f t="shared" si="94"/>
        <v>0</v>
      </c>
    </row>
    <row r="1456" spans="1:6">
      <c r="A1456" s="708">
        <v>443</v>
      </c>
      <c r="B1456" s="708">
        <f t="shared" si="91"/>
        <v>0</v>
      </c>
      <c r="C1456" s="708">
        <f t="shared" si="92"/>
        <v>0</v>
      </c>
      <c r="D1456" s="708">
        <f t="shared" si="93"/>
        <v>0</v>
      </c>
      <c r="E1456" s="708">
        <f t="shared" si="94"/>
        <v>0</v>
      </c>
    </row>
    <row r="1457" spans="1:6">
      <c r="A1457" s="708">
        <v>444</v>
      </c>
      <c r="B1457" s="708">
        <f t="shared" si="91"/>
        <v>0</v>
      </c>
      <c r="C1457" s="708">
        <f t="shared" si="92"/>
        <v>0</v>
      </c>
      <c r="D1457" s="708">
        <f t="shared" si="93"/>
        <v>0</v>
      </c>
      <c r="E1457" s="708">
        <f t="shared" si="94"/>
        <v>0</v>
      </c>
      <c r="F1457" s="708">
        <v>37</v>
      </c>
    </row>
    <row r="1458" spans="1:6">
      <c r="A1458" s="708">
        <v>445</v>
      </c>
      <c r="B1458" s="708">
        <f t="shared" si="91"/>
        <v>0</v>
      </c>
      <c r="C1458" s="708">
        <f t="shared" si="92"/>
        <v>0</v>
      </c>
      <c r="D1458" s="708">
        <f t="shared" si="93"/>
        <v>0</v>
      </c>
      <c r="E1458" s="708">
        <f t="shared" si="94"/>
        <v>0</v>
      </c>
    </row>
    <row r="1459" spans="1:6">
      <c r="A1459" s="708">
        <v>446</v>
      </c>
      <c r="B1459" s="708">
        <f t="shared" si="91"/>
        <v>0</v>
      </c>
      <c r="C1459" s="708">
        <f t="shared" si="92"/>
        <v>0</v>
      </c>
      <c r="D1459" s="708">
        <f t="shared" si="93"/>
        <v>0</v>
      </c>
      <c r="E1459" s="708">
        <f t="shared" si="94"/>
        <v>0</v>
      </c>
    </row>
    <row r="1460" spans="1:6">
      <c r="A1460" s="708">
        <v>447</v>
      </c>
      <c r="B1460" s="708">
        <f t="shared" si="91"/>
        <v>0</v>
      </c>
      <c r="C1460" s="708">
        <f t="shared" si="92"/>
        <v>0</v>
      </c>
      <c r="D1460" s="708">
        <f t="shared" si="93"/>
        <v>0</v>
      </c>
      <c r="E1460" s="708">
        <f t="shared" si="94"/>
        <v>0</v>
      </c>
    </row>
    <row r="1461" spans="1:6">
      <c r="A1461" s="708">
        <v>448</v>
      </c>
      <c r="B1461" s="708">
        <f t="shared" si="91"/>
        <v>0</v>
      </c>
      <c r="C1461" s="708">
        <f t="shared" si="92"/>
        <v>0</v>
      </c>
      <c r="D1461" s="708">
        <f t="shared" si="93"/>
        <v>0</v>
      </c>
      <c r="E1461" s="708">
        <f t="shared" si="94"/>
        <v>0</v>
      </c>
    </row>
    <row r="1462" spans="1:6">
      <c r="A1462" s="708">
        <v>449</v>
      </c>
      <c r="B1462" s="708">
        <f t="shared" ref="B1462:B1493" si="95">IF(A1462&gt;12*$D$14,0,$D$20)</f>
        <v>0</v>
      </c>
      <c r="C1462" s="708">
        <f t="shared" ref="C1462:C1493" si="96">IF(A1462&gt;12*$D$14,0,E1461*$D$10/12)</f>
        <v>0</v>
      </c>
      <c r="D1462" s="708">
        <f t="shared" ref="D1462:D1493" si="97">IF(A1462&gt;12*$D$14,0,B1462-C1462)</f>
        <v>0</v>
      </c>
      <c r="E1462" s="708">
        <f t="shared" ref="E1462:E1493" si="98">IF(A1462&gt;12*$D$14,0,E1461-D1462)</f>
        <v>0</v>
      </c>
    </row>
    <row r="1463" spans="1:6">
      <c r="A1463" s="708">
        <v>450</v>
      </c>
      <c r="B1463" s="708">
        <f t="shared" si="95"/>
        <v>0</v>
      </c>
      <c r="C1463" s="708">
        <f t="shared" si="96"/>
        <v>0</v>
      </c>
      <c r="D1463" s="708">
        <f t="shared" si="97"/>
        <v>0</v>
      </c>
      <c r="E1463" s="708">
        <f t="shared" si="98"/>
        <v>0</v>
      </c>
    </row>
    <row r="1464" spans="1:6">
      <c r="A1464" s="708">
        <v>451</v>
      </c>
      <c r="B1464" s="708">
        <f t="shared" si="95"/>
        <v>0</v>
      </c>
      <c r="C1464" s="708">
        <f t="shared" si="96"/>
        <v>0</v>
      </c>
      <c r="D1464" s="708">
        <f t="shared" si="97"/>
        <v>0</v>
      </c>
      <c r="E1464" s="708">
        <f t="shared" si="98"/>
        <v>0</v>
      </c>
    </row>
    <row r="1465" spans="1:6">
      <c r="A1465" s="708">
        <v>452</v>
      </c>
      <c r="B1465" s="708">
        <f t="shared" si="95"/>
        <v>0</v>
      </c>
      <c r="C1465" s="708">
        <f t="shared" si="96"/>
        <v>0</v>
      </c>
      <c r="D1465" s="708">
        <f t="shared" si="97"/>
        <v>0</v>
      </c>
      <c r="E1465" s="708">
        <f t="shared" si="98"/>
        <v>0</v>
      </c>
    </row>
    <row r="1466" spans="1:6">
      <c r="A1466" s="708">
        <v>453</v>
      </c>
      <c r="B1466" s="708">
        <f t="shared" si="95"/>
        <v>0</v>
      </c>
      <c r="C1466" s="708">
        <f t="shared" si="96"/>
        <v>0</v>
      </c>
      <c r="D1466" s="708">
        <f t="shared" si="97"/>
        <v>0</v>
      </c>
      <c r="E1466" s="708">
        <f t="shared" si="98"/>
        <v>0</v>
      </c>
    </row>
    <row r="1467" spans="1:6">
      <c r="A1467" s="708">
        <v>454</v>
      </c>
      <c r="B1467" s="708">
        <f t="shared" si="95"/>
        <v>0</v>
      </c>
      <c r="C1467" s="708">
        <f t="shared" si="96"/>
        <v>0</v>
      </c>
      <c r="D1467" s="708">
        <f t="shared" si="97"/>
        <v>0</v>
      </c>
      <c r="E1467" s="708">
        <f t="shared" si="98"/>
        <v>0</v>
      </c>
    </row>
    <row r="1468" spans="1:6">
      <c r="A1468" s="708">
        <v>455</v>
      </c>
      <c r="B1468" s="708">
        <f t="shared" si="95"/>
        <v>0</v>
      </c>
      <c r="C1468" s="708">
        <f t="shared" si="96"/>
        <v>0</v>
      </c>
      <c r="D1468" s="708">
        <f t="shared" si="97"/>
        <v>0</v>
      </c>
      <c r="E1468" s="708">
        <f t="shared" si="98"/>
        <v>0</v>
      </c>
    </row>
    <row r="1469" spans="1:6">
      <c r="A1469" s="708">
        <v>456</v>
      </c>
      <c r="B1469" s="708">
        <f t="shared" si="95"/>
        <v>0</v>
      </c>
      <c r="C1469" s="708">
        <f t="shared" si="96"/>
        <v>0</v>
      </c>
      <c r="D1469" s="708">
        <f t="shared" si="97"/>
        <v>0</v>
      </c>
      <c r="E1469" s="708">
        <f t="shared" si="98"/>
        <v>0</v>
      </c>
      <c r="F1469" s="708">
        <v>38</v>
      </c>
    </row>
    <row r="1470" spans="1:6">
      <c r="A1470" s="708">
        <v>457</v>
      </c>
      <c r="B1470" s="708">
        <f t="shared" si="95"/>
        <v>0</v>
      </c>
      <c r="C1470" s="708">
        <f t="shared" si="96"/>
        <v>0</v>
      </c>
      <c r="D1470" s="708">
        <f t="shared" si="97"/>
        <v>0</v>
      </c>
      <c r="E1470" s="708">
        <f t="shared" si="98"/>
        <v>0</v>
      </c>
    </row>
    <row r="1471" spans="1:6">
      <c r="A1471" s="708">
        <v>458</v>
      </c>
      <c r="B1471" s="708">
        <f t="shared" si="95"/>
        <v>0</v>
      </c>
      <c r="C1471" s="708">
        <f t="shared" si="96"/>
        <v>0</v>
      </c>
      <c r="D1471" s="708">
        <f t="shared" si="97"/>
        <v>0</v>
      </c>
      <c r="E1471" s="708">
        <f t="shared" si="98"/>
        <v>0</v>
      </c>
    </row>
    <row r="1472" spans="1:6">
      <c r="A1472" s="708">
        <v>459</v>
      </c>
      <c r="B1472" s="708">
        <f t="shared" si="95"/>
        <v>0</v>
      </c>
      <c r="C1472" s="708">
        <f t="shared" si="96"/>
        <v>0</v>
      </c>
      <c r="D1472" s="708">
        <f t="shared" si="97"/>
        <v>0</v>
      </c>
      <c r="E1472" s="708">
        <f t="shared" si="98"/>
        <v>0</v>
      </c>
    </row>
    <row r="1473" spans="1:6">
      <c r="A1473" s="708">
        <v>460</v>
      </c>
      <c r="B1473" s="708">
        <f t="shared" si="95"/>
        <v>0</v>
      </c>
      <c r="C1473" s="708">
        <f t="shared" si="96"/>
        <v>0</v>
      </c>
      <c r="D1473" s="708">
        <f t="shared" si="97"/>
        <v>0</v>
      </c>
      <c r="E1473" s="708">
        <f t="shared" si="98"/>
        <v>0</v>
      </c>
    </row>
    <row r="1474" spans="1:6">
      <c r="A1474" s="708">
        <v>461</v>
      </c>
      <c r="B1474" s="708">
        <f t="shared" si="95"/>
        <v>0</v>
      </c>
      <c r="C1474" s="708">
        <f t="shared" si="96"/>
        <v>0</v>
      </c>
      <c r="D1474" s="708">
        <f t="shared" si="97"/>
        <v>0</v>
      </c>
      <c r="E1474" s="708">
        <f t="shared" si="98"/>
        <v>0</v>
      </c>
    </row>
    <row r="1475" spans="1:6">
      <c r="A1475" s="708">
        <v>462</v>
      </c>
      <c r="B1475" s="708">
        <f t="shared" si="95"/>
        <v>0</v>
      </c>
      <c r="C1475" s="708">
        <f t="shared" si="96"/>
        <v>0</v>
      </c>
      <c r="D1475" s="708">
        <f t="shared" si="97"/>
        <v>0</v>
      </c>
      <c r="E1475" s="708">
        <f t="shared" si="98"/>
        <v>0</v>
      </c>
    </row>
    <row r="1476" spans="1:6">
      <c r="A1476" s="708">
        <v>463</v>
      </c>
      <c r="B1476" s="708">
        <f t="shared" si="95"/>
        <v>0</v>
      </c>
      <c r="C1476" s="708">
        <f t="shared" si="96"/>
        <v>0</v>
      </c>
      <c r="D1476" s="708">
        <f t="shared" si="97"/>
        <v>0</v>
      </c>
      <c r="E1476" s="708">
        <f t="shared" si="98"/>
        <v>0</v>
      </c>
    </row>
    <row r="1477" spans="1:6">
      <c r="A1477" s="708">
        <v>464</v>
      </c>
      <c r="B1477" s="708">
        <f t="shared" si="95"/>
        <v>0</v>
      </c>
      <c r="C1477" s="708">
        <f t="shared" si="96"/>
        <v>0</v>
      </c>
      <c r="D1477" s="708">
        <f t="shared" si="97"/>
        <v>0</v>
      </c>
      <c r="E1477" s="708">
        <f t="shared" si="98"/>
        <v>0</v>
      </c>
    </row>
    <row r="1478" spans="1:6">
      <c r="A1478" s="708">
        <v>465</v>
      </c>
      <c r="B1478" s="708">
        <f t="shared" si="95"/>
        <v>0</v>
      </c>
      <c r="C1478" s="708">
        <f t="shared" si="96"/>
        <v>0</v>
      </c>
      <c r="D1478" s="708">
        <f t="shared" si="97"/>
        <v>0</v>
      </c>
      <c r="E1478" s="708">
        <f t="shared" si="98"/>
        <v>0</v>
      </c>
    </row>
    <row r="1479" spans="1:6">
      <c r="A1479" s="708">
        <v>466</v>
      </c>
      <c r="B1479" s="708">
        <f t="shared" si="95"/>
        <v>0</v>
      </c>
      <c r="C1479" s="708">
        <f t="shared" si="96"/>
        <v>0</v>
      </c>
      <c r="D1479" s="708">
        <f t="shared" si="97"/>
        <v>0</v>
      </c>
      <c r="E1479" s="708">
        <f t="shared" si="98"/>
        <v>0</v>
      </c>
    </row>
    <row r="1480" spans="1:6">
      <c r="A1480" s="708">
        <v>467</v>
      </c>
      <c r="B1480" s="708">
        <f t="shared" si="95"/>
        <v>0</v>
      </c>
      <c r="C1480" s="708">
        <f t="shared" si="96"/>
        <v>0</v>
      </c>
      <c r="D1480" s="708">
        <f t="shared" si="97"/>
        <v>0</v>
      </c>
      <c r="E1480" s="708">
        <f t="shared" si="98"/>
        <v>0</v>
      </c>
    </row>
    <row r="1481" spans="1:6">
      <c r="A1481" s="708">
        <v>468</v>
      </c>
      <c r="B1481" s="708">
        <f t="shared" si="95"/>
        <v>0</v>
      </c>
      <c r="C1481" s="708">
        <f t="shared" si="96"/>
        <v>0</v>
      </c>
      <c r="D1481" s="708">
        <f t="shared" si="97"/>
        <v>0</v>
      </c>
      <c r="E1481" s="708">
        <f t="shared" si="98"/>
        <v>0</v>
      </c>
      <c r="F1481" s="708">
        <v>39</v>
      </c>
    </row>
    <row r="1482" spans="1:6">
      <c r="A1482" s="708">
        <v>469</v>
      </c>
      <c r="B1482" s="708">
        <f t="shared" si="95"/>
        <v>0</v>
      </c>
      <c r="C1482" s="708">
        <f t="shared" si="96"/>
        <v>0</v>
      </c>
      <c r="D1482" s="708">
        <f t="shared" si="97"/>
        <v>0</v>
      </c>
      <c r="E1482" s="708">
        <f t="shared" si="98"/>
        <v>0</v>
      </c>
    </row>
    <row r="1483" spans="1:6">
      <c r="A1483" s="708">
        <v>470</v>
      </c>
      <c r="B1483" s="708">
        <f t="shared" si="95"/>
        <v>0</v>
      </c>
      <c r="C1483" s="708">
        <f t="shared" si="96"/>
        <v>0</v>
      </c>
      <c r="D1483" s="708">
        <f t="shared" si="97"/>
        <v>0</v>
      </c>
      <c r="E1483" s="708">
        <f t="shared" si="98"/>
        <v>0</v>
      </c>
    </row>
    <row r="1484" spans="1:6">
      <c r="A1484" s="708">
        <v>471</v>
      </c>
      <c r="B1484" s="708">
        <f t="shared" si="95"/>
        <v>0</v>
      </c>
      <c r="C1484" s="708">
        <f t="shared" si="96"/>
        <v>0</v>
      </c>
      <c r="D1484" s="708">
        <f t="shared" si="97"/>
        <v>0</v>
      </c>
      <c r="E1484" s="708">
        <f t="shared" si="98"/>
        <v>0</v>
      </c>
    </row>
    <row r="1485" spans="1:6">
      <c r="A1485" s="708">
        <v>472</v>
      </c>
      <c r="B1485" s="708">
        <f t="shared" si="95"/>
        <v>0</v>
      </c>
      <c r="C1485" s="708">
        <f t="shared" si="96"/>
        <v>0</v>
      </c>
      <c r="D1485" s="708">
        <f t="shared" si="97"/>
        <v>0</v>
      </c>
      <c r="E1485" s="708">
        <f t="shared" si="98"/>
        <v>0</v>
      </c>
    </row>
    <row r="1486" spans="1:6">
      <c r="A1486" s="708">
        <v>473</v>
      </c>
      <c r="B1486" s="708">
        <f t="shared" si="95"/>
        <v>0</v>
      </c>
      <c r="C1486" s="708">
        <f t="shared" si="96"/>
        <v>0</v>
      </c>
      <c r="D1486" s="708">
        <f t="shared" si="97"/>
        <v>0</v>
      </c>
      <c r="E1486" s="708">
        <f t="shared" si="98"/>
        <v>0</v>
      </c>
    </row>
    <row r="1487" spans="1:6">
      <c r="A1487" s="708">
        <v>474</v>
      </c>
      <c r="B1487" s="708">
        <f t="shared" si="95"/>
        <v>0</v>
      </c>
      <c r="C1487" s="708">
        <f t="shared" si="96"/>
        <v>0</v>
      </c>
      <c r="D1487" s="708">
        <f t="shared" si="97"/>
        <v>0</v>
      </c>
      <c r="E1487" s="708">
        <f t="shared" si="98"/>
        <v>0</v>
      </c>
    </row>
    <row r="1488" spans="1:6">
      <c r="A1488" s="708">
        <v>475</v>
      </c>
      <c r="B1488" s="708">
        <f t="shared" si="95"/>
        <v>0</v>
      </c>
      <c r="C1488" s="708">
        <f t="shared" si="96"/>
        <v>0</v>
      </c>
      <c r="D1488" s="708">
        <f t="shared" si="97"/>
        <v>0</v>
      </c>
      <c r="E1488" s="708">
        <f t="shared" si="98"/>
        <v>0</v>
      </c>
    </row>
    <row r="1489" spans="1:19">
      <c r="A1489" s="708">
        <v>476</v>
      </c>
      <c r="B1489" s="708">
        <f t="shared" si="95"/>
        <v>0</v>
      </c>
      <c r="C1489" s="708">
        <f t="shared" si="96"/>
        <v>0</v>
      </c>
      <c r="D1489" s="708">
        <f t="shared" si="97"/>
        <v>0</v>
      </c>
      <c r="E1489" s="708">
        <f t="shared" si="98"/>
        <v>0</v>
      </c>
    </row>
    <row r="1490" spans="1:19">
      <c r="A1490" s="708">
        <v>477</v>
      </c>
      <c r="B1490" s="708">
        <f t="shared" si="95"/>
        <v>0</v>
      </c>
      <c r="C1490" s="708">
        <f t="shared" si="96"/>
        <v>0</v>
      </c>
      <c r="D1490" s="708">
        <f t="shared" si="97"/>
        <v>0</v>
      </c>
      <c r="E1490" s="708">
        <f t="shared" si="98"/>
        <v>0</v>
      </c>
    </row>
    <row r="1491" spans="1:19">
      <c r="A1491" s="708">
        <v>478</v>
      </c>
      <c r="B1491" s="708">
        <f t="shared" si="95"/>
        <v>0</v>
      </c>
      <c r="C1491" s="708">
        <f t="shared" si="96"/>
        <v>0</v>
      </c>
      <c r="D1491" s="708">
        <f t="shared" si="97"/>
        <v>0</v>
      </c>
      <c r="E1491" s="708">
        <f t="shared" si="98"/>
        <v>0</v>
      </c>
    </row>
    <row r="1492" spans="1:19">
      <c r="A1492" s="708">
        <v>479</v>
      </c>
      <c r="B1492" s="708">
        <f t="shared" si="95"/>
        <v>0</v>
      </c>
      <c r="C1492" s="708">
        <f t="shared" si="96"/>
        <v>0</v>
      </c>
      <c r="D1492" s="708">
        <f t="shared" si="97"/>
        <v>0</v>
      </c>
      <c r="E1492" s="708">
        <f t="shared" si="98"/>
        <v>0</v>
      </c>
    </row>
    <row r="1493" spans="1:19">
      <c r="A1493" s="708">
        <v>480</v>
      </c>
      <c r="B1493" s="708">
        <f t="shared" si="95"/>
        <v>0</v>
      </c>
      <c r="C1493" s="708">
        <f t="shared" si="96"/>
        <v>0</v>
      </c>
      <c r="D1493" s="708">
        <f t="shared" si="97"/>
        <v>0</v>
      </c>
      <c r="E1493" s="708">
        <f t="shared" si="98"/>
        <v>0</v>
      </c>
      <c r="F1493" s="708">
        <v>40</v>
      </c>
    </row>
    <row r="1497" spans="1:19" ht="15" customHeight="1">
      <c r="A1497" s="708" t="str">
        <f>CONCATENATE("PART FOUR -  USES OF FUNDS","  -  ",'Part I-Project Information'!$O$4," ",'Part I-Project Information'!$F$22,", ",'Part I-Project Information'!F1518,", ",'Part I-Project Information'!J1519," County")</f>
        <v>PART FOUR -  USES OF FUNDS  -  2011-044 Brentwood Place Apartments, ,  County</v>
      </c>
    </row>
    <row r="1498" spans="1:19" ht="4.9000000000000004" customHeight="1"/>
    <row r="1499" spans="1:19" ht="15" customHeight="1">
      <c r="A1499" s="708" t="s">
        <v>358</v>
      </c>
    </row>
    <row r="1500" spans="1:19" ht="1.9" customHeight="1"/>
    <row r="1501" spans="1:19" ht="21.4" customHeight="1">
      <c r="A1501" s="708" t="s">
        <v>951</v>
      </c>
      <c r="B1501" s="708" t="s">
        <v>1495</v>
      </c>
      <c r="J1501" s="708" t="s">
        <v>359</v>
      </c>
      <c r="M1501" s="708" t="s">
        <v>721</v>
      </c>
      <c r="P1501" s="708" t="s">
        <v>360</v>
      </c>
      <c r="S1501" s="708" t="s">
        <v>361</v>
      </c>
    </row>
    <row r="1502" spans="1:19" ht="21.4" customHeight="1">
      <c r="G1502" s="708" t="s">
        <v>115</v>
      </c>
    </row>
    <row r="1503" spans="1:19" ht="13.15" customHeight="1">
      <c r="B1503" s="708" t="s">
        <v>116</v>
      </c>
      <c r="O1503" s="708" t="str">
        <f>B1503</f>
        <v>PRE-DEVELOPMENT COSTS</v>
      </c>
    </row>
    <row r="1504" spans="1:19" ht="12.6" customHeight="1">
      <c r="B1504" s="708" t="s">
        <v>3079</v>
      </c>
      <c r="G1504" s="708">
        <f>'Part IV-Uses of Funds'!G8</f>
        <v>13000</v>
      </c>
      <c r="J1504" s="708">
        <f>'Part IV-Uses of Funds'!J8</f>
        <v>13000</v>
      </c>
      <c r="M1504" s="708">
        <f>'Part IV-Uses of Funds'!M8</f>
        <v>0</v>
      </c>
      <c r="P1504" s="708">
        <f>'Part IV-Uses of Funds'!P8</f>
        <v>0</v>
      </c>
      <c r="S1504" s="708">
        <f>'Part IV-Uses of Funds'!S8</f>
        <v>0</v>
      </c>
    </row>
    <row r="1505" spans="1:21" ht="12.6" customHeight="1">
      <c r="B1505" s="708" t="s">
        <v>672</v>
      </c>
      <c r="G1505" s="708">
        <f>'Part IV-Uses of Funds'!G9</f>
        <v>9095</v>
      </c>
      <c r="J1505" s="708">
        <f>'Part IV-Uses of Funds'!J9</f>
        <v>9095</v>
      </c>
      <c r="M1505" s="708">
        <f>'Part IV-Uses of Funds'!M9</f>
        <v>0</v>
      </c>
      <c r="P1505" s="708">
        <f>'Part IV-Uses of Funds'!P9</f>
        <v>0</v>
      </c>
      <c r="S1505" s="708">
        <f>'Part IV-Uses of Funds'!S9</f>
        <v>0</v>
      </c>
    </row>
    <row r="1506" spans="1:21" ht="12.6" customHeight="1">
      <c r="B1506" s="708" t="s">
        <v>718</v>
      </c>
      <c r="G1506" s="708">
        <f>'Part IV-Uses of Funds'!G10</f>
        <v>13500</v>
      </c>
      <c r="J1506" s="708">
        <f>'Part IV-Uses of Funds'!J10</f>
        <v>13500</v>
      </c>
      <c r="M1506" s="708">
        <f>'Part IV-Uses of Funds'!M10</f>
        <v>0</v>
      </c>
      <c r="P1506" s="708">
        <f>'Part IV-Uses of Funds'!P10</f>
        <v>0</v>
      </c>
      <c r="S1506" s="708">
        <f>'Part IV-Uses of Funds'!S10</f>
        <v>0</v>
      </c>
    </row>
    <row r="1507" spans="1:21" ht="12.6" customHeight="1">
      <c r="B1507" s="708" t="s">
        <v>719</v>
      </c>
      <c r="G1507" s="708">
        <f>'Part IV-Uses of Funds'!G11</f>
        <v>8500</v>
      </c>
      <c r="J1507" s="708">
        <f>'Part IV-Uses of Funds'!J11</f>
        <v>8500</v>
      </c>
      <c r="M1507" s="708">
        <f>'Part IV-Uses of Funds'!M11</f>
        <v>0</v>
      </c>
      <c r="P1507" s="708">
        <f>'Part IV-Uses of Funds'!P11</f>
        <v>0</v>
      </c>
      <c r="S1507" s="708">
        <f>'Part IV-Uses of Funds'!S11</f>
        <v>0</v>
      </c>
    </row>
    <row r="1508" spans="1:21" ht="12.6" customHeight="1">
      <c r="B1508" s="708" t="s">
        <v>3779</v>
      </c>
      <c r="G1508" s="708">
        <f>'Part IV-Uses of Funds'!G12</f>
        <v>5000</v>
      </c>
      <c r="J1508" s="708">
        <f>'Part IV-Uses of Funds'!J12</f>
        <v>5000</v>
      </c>
      <c r="M1508" s="708">
        <f>'Part IV-Uses of Funds'!M12</f>
        <v>0</v>
      </c>
      <c r="P1508" s="708">
        <f>'Part IV-Uses of Funds'!P12</f>
        <v>0</v>
      </c>
      <c r="S1508" s="708">
        <f>'Part IV-Uses of Funds'!S12</f>
        <v>0</v>
      </c>
    </row>
    <row r="1509" spans="1:21" ht="12.6" customHeight="1">
      <c r="B1509" s="708" t="s">
        <v>248</v>
      </c>
      <c r="G1509" s="708">
        <f>'Part IV-Uses of Funds'!G13</f>
        <v>0</v>
      </c>
      <c r="J1509" s="708">
        <f>'Part IV-Uses of Funds'!J13</f>
        <v>0</v>
      </c>
      <c r="M1509" s="708">
        <f>'Part IV-Uses of Funds'!M13</f>
        <v>0</v>
      </c>
      <c r="P1509" s="708">
        <f>'Part IV-Uses of Funds'!P13</f>
        <v>0</v>
      </c>
      <c r="S1509" s="708">
        <f>'Part IV-Uses of Funds'!S13</f>
        <v>0</v>
      </c>
    </row>
    <row r="1510" spans="1:21" ht="12.6" customHeight="1">
      <c r="A1510" s="708" t="str">
        <f>IF(AND(G1510&gt;0,OR(C1510="",C1510="&lt;Enter detailed description here; use Comments section if needed&gt;")),"X","")</f>
        <v/>
      </c>
      <c r="B1510" s="708" t="s">
        <v>1231</v>
      </c>
      <c r="C1510" s="708" t="str">
        <f>'Part IV-Uses of Funds'!C14</f>
        <v>Aerial Photo</v>
      </c>
      <c r="G1510" s="708">
        <f>'Part IV-Uses of Funds'!G14</f>
        <v>400</v>
      </c>
      <c r="J1510" s="708">
        <f>'Part IV-Uses of Funds'!J14</f>
        <v>400</v>
      </c>
      <c r="M1510" s="708">
        <f>'Part IV-Uses of Funds'!M14</f>
        <v>0</v>
      </c>
      <c r="P1510" s="708">
        <f>'Part IV-Uses of Funds'!P14</f>
        <v>0</v>
      </c>
      <c r="S1510" s="708">
        <f>'Part IV-Uses of Funds'!S14</f>
        <v>0</v>
      </c>
      <c r="U1510" s="708" t="str">
        <f>IF(AND(G1510&gt;0,OR(C1510="",C1510="&lt;Enter detailed description here; use Comments section if needed&gt;")),"NO DESCRIPTION PROVIDED - please enter detailed description in Other box at left; use Comments section below if needed.","")</f>
        <v/>
      </c>
    </row>
    <row r="1511" spans="1:21" ht="12.6" customHeight="1">
      <c r="A1511" s="708" t="str">
        <f>IF(AND(G1511&gt;0,OR(C1511="",C1511="&lt;Enter detailed description here; use Comments section if needed&gt;")),"X","")</f>
        <v/>
      </c>
      <c r="B1511" s="708" t="s">
        <v>1231</v>
      </c>
      <c r="C1511" s="708" t="str">
        <f>'Part IV-Uses of Funds'!C15</f>
        <v>Cost Estimate</v>
      </c>
      <c r="G1511" s="708">
        <f>'Part IV-Uses of Funds'!G15</f>
        <v>3500</v>
      </c>
      <c r="J1511" s="708">
        <f>'Part IV-Uses of Funds'!J15</f>
        <v>3500</v>
      </c>
      <c r="M1511" s="708">
        <f>'Part IV-Uses of Funds'!M15</f>
        <v>0</v>
      </c>
      <c r="P1511" s="708">
        <f>'Part IV-Uses of Funds'!P15</f>
        <v>0</v>
      </c>
      <c r="S1511" s="708">
        <f>'Part IV-Uses of Funds'!S15</f>
        <v>0</v>
      </c>
      <c r="U1511" s="708" t="str">
        <f>IF(AND(G1511&gt;0,OR(C1511="",C1511="&lt;Enter detailed description here; use Comments section if needed&gt;")),"NO DESCRIPTION PROVIDED - please enter detailed description in Other box at left; use Comments section below if needed.","")</f>
        <v/>
      </c>
    </row>
    <row r="1512" spans="1:21" ht="12.6" customHeight="1">
      <c r="A1512" s="708" t="str">
        <f>IF(AND(G1512&gt;0,OR(C1512="",C1512="&lt;Enter detailed description here; use Comments section if needed&gt;")),"X","")</f>
        <v/>
      </c>
      <c r="B1512" s="708" t="s">
        <v>1231</v>
      </c>
      <c r="C1512" s="708">
        <f>'Part IV-Uses of Funds'!C16</f>
        <v>0</v>
      </c>
      <c r="G1512" s="708">
        <f>'Part IV-Uses of Funds'!G16</f>
        <v>0</v>
      </c>
      <c r="J1512" s="708">
        <f>'Part IV-Uses of Funds'!J16</f>
        <v>0</v>
      </c>
      <c r="M1512" s="708">
        <f>'Part IV-Uses of Funds'!M16</f>
        <v>0</v>
      </c>
      <c r="P1512" s="708">
        <f>'Part IV-Uses of Funds'!P16</f>
        <v>0</v>
      </c>
      <c r="S1512" s="708">
        <f>'Part IV-Uses of Funds'!S16</f>
        <v>0</v>
      </c>
      <c r="U1512" s="708" t="str">
        <f>IF(AND(G1512&gt;0,OR(C1512="",C1512="&lt;Enter detailed description here; use Comments section if needed&gt;")),"NO DESCRIPTION PROVIDED - please enter detailed description in Other box at left; use Comments section below if needed.","")</f>
        <v/>
      </c>
    </row>
    <row r="1513" spans="1:21" ht="12.6" customHeight="1">
      <c r="F1513" s="708" t="s">
        <v>249</v>
      </c>
      <c r="G1513" s="708">
        <f>SUM(G1504:H1512)</f>
        <v>52995</v>
      </c>
      <c r="J1513" s="708">
        <f>SUM(J1504:K1512)</f>
        <v>52995</v>
      </c>
      <c r="M1513" s="708">
        <f>SUM(M1504:N1512)</f>
        <v>0</v>
      </c>
      <c r="P1513" s="708">
        <f>SUM(P1504:Q1512)</f>
        <v>0</v>
      </c>
      <c r="S1513" s="708">
        <f>SUM(S1504:T1512)</f>
        <v>0</v>
      </c>
    </row>
    <row r="1514" spans="1:21" ht="13.15" customHeight="1">
      <c r="B1514" s="708" t="s">
        <v>3306</v>
      </c>
      <c r="O1514" s="708" t="str">
        <f>B1514</f>
        <v>ACQUISITION</v>
      </c>
    </row>
    <row r="1515" spans="1:21" ht="12.6" customHeight="1">
      <c r="B1515" s="708" t="s">
        <v>3307</v>
      </c>
      <c r="G1515" s="708">
        <f>'Part IV-Uses of Funds'!G19</f>
        <v>400000</v>
      </c>
      <c r="S1515" s="708">
        <f>'Part IV-Uses of Funds'!S19</f>
        <v>0</v>
      </c>
    </row>
    <row r="1516" spans="1:21" ht="12.6" customHeight="1">
      <c r="B1516" s="708" t="s">
        <v>1751</v>
      </c>
      <c r="G1516" s="708">
        <f>'Part IV-Uses of Funds'!G20</f>
        <v>0</v>
      </c>
      <c r="S1516" s="708">
        <f>'Part IV-Uses of Funds'!S20</f>
        <v>0</v>
      </c>
    </row>
    <row r="1517" spans="1:21" ht="12.6" customHeight="1">
      <c r="B1517" s="708" t="s">
        <v>673</v>
      </c>
      <c r="G1517" s="708">
        <f>'Part IV-Uses of Funds'!G21</f>
        <v>0</v>
      </c>
      <c r="M1517" s="708">
        <f>'Part IV-Uses of Funds'!M21</f>
        <v>0</v>
      </c>
      <c r="S1517" s="708">
        <f>'Part IV-Uses of Funds'!S21</f>
        <v>0</v>
      </c>
    </row>
    <row r="1518" spans="1:21" ht="12.6" customHeight="1">
      <c r="B1518" s="708" t="s">
        <v>638</v>
      </c>
      <c r="G1518" s="708">
        <f>'Part IV-Uses of Funds'!G22</f>
        <v>0</v>
      </c>
      <c r="M1518" s="708">
        <f>'Part IV-Uses of Funds'!M22</f>
        <v>0</v>
      </c>
      <c r="S1518" s="708">
        <f>'Part IV-Uses of Funds'!S22</f>
        <v>0</v>
      </c>
    </row>
    <row r="1519" spans="1:21" ht="12.6" customHeight="1">
      <c r="F1519" s="708" t="s">
        <v>249</v>
      </c>
      <c r="G1519" s="708">
        <f>SUM(G1515:H1518)</f>
        <v>400000</v>
      </c>
      <c r="M1519" s="708">
        <f>SUM(M1517:N1518)</f>
        <v>0</v>
      </c>
      <c r="S1519" s="708">
        <f>SUM(S1515:T1518)</f>
        <v>0</v>
      </c>
    </row>
    <row r="1520" spans="1:21" ht="13.15" customHeight="1">
      <c r="B1520" s="708" t="s">
        <v>1752</v>
      </c>
      <c r="O1520" s="708" t="str">
        <f>B1520</f>
        <v>LAND IMPROVEMENTS</v>
      </c>
    </row>
    <row r="1521" spans="2:19" ht="12.6" customHeight="1">
      <c r="B1521" s="708" t="s">
        <v>1753</v>
      </c>
      <c r="G1521" s="708">
        <f>'Part IV-Uses of Funds'!G25</f>
        <v>1341516</v>
      </c>
      <c r="J1521" s="708">
        <f>'Part IV-Uses of Funds'!J25</f>
        <v>1341516</v>
      </c>
      <c r="M1521" s="708">
        <f>'Part IV-Uses of Funds'!M25</f>
        <v>0</v>
      </c>
      <c r="P1521" s="708">
        <f>'Part IV-Uses of Funds'!P25</f>
        <v>0</v>
      </c>
      <c r="S1521" s="708">
        <f>'Part IV-Uses of Funds'!S25</f>
        <v>0</v>
      </c>
    </row>
    <row r="1522" spans="2:19" ht="12.6" customHeight="1">
      <c r="B1522" s="708" t="s">
        <v>1754</v>
      </c>
      <c r="G1522" s="708">
        <f>'Part IV-Uses of Funds'!G26</f>
        <v>0</v>
      </c>
      <c r="J1522" s="708">
        <f>'Part IV-Uses of Funds'!J26</f>
        <v>0</v>
      </c>
      <c r="S1522" s="708">
        <f>'Part IV-Uses of Funds'!S26</f>
        <v>0</v>
      </c>
    </row>
    <row r="1523" spans="2:19" ht="12.6" customHeight="1">
      <c r="F1523" s="708" t="s">
        <v>249</v>
      </c>
      <c r="G1523" s="708">
        <f>SUM(G1521:H1522)</f>
        <v>1341516</v>
      </c>
      <c r="J1523" s="708">
        <f>SUM(J1521:K1522)</f>
        <v>1341516</v>
      </c>
      <c r="M1523" s="708">
        <f>M1521</f>
        <v>0</v>
      </c>
      <c r="P1523" s="708">
        <f>P1521</f>
        <v>0</v>
      </c>
      <c r="S1523" s="708">
        <f>SUM(S1521:T1522)</f>
        <v>0</v>
      </c>
    </row>
    <row r="1524" spans="2:19" ht="13.15" customHeight="1">
      <c r="B1524" s="708" t="s">
        <v>1755</v>
      </c>
      <c r="O1524" s="708" t="str">
        <f>B1524</f>
        <v>STRUCTURES</v>
      </c>
    </row>
    <row r="1525" spans="2:19" ht="12.6" customHeight="1">
      <c r="B1525" s="708" t="s">
        <v>1756</v>
      </c>
      <c r="G1525" s="708">
        <f>'Part IV-Uses of Funds'!G29</f>
        <v>4573750</v>
      </c>
      <c r="J1525" s="708">
        <f>'Part IV-Uses of Funds'!J29</f>
        <v>4573750</v>
      </c>
      <c r="M1525" s="708">
        <f>'Part IV-Uses of Funds'!M29</f>
        <v>0</v>
      </c>
      <c r="P1525" s="708">
        <f>'Part IV-Uses of Funds'!P29</f>
        <v>0</v>
      </c>
      <c r="S1525" s="708">
        <f>'Part IV-Uses of Funds'!S29</f>
        <v>0</v>
      </c>
    </row>
    <row r="1526" spans="2:19" ht="12.6" customHeight="1">
      <c r="B1526" s="708" t="s">
        <v>1757</v>
      </c>
      <c r="G1526" s="708">
        <f>'Part IV-Uses of Funds'!G30</f>
        <v>0</v>
      </c>
      <c r="J1526" s="708">
        <f>'Part IV-Uses of Funds'!J30</f>
        <v>0</v>
      </c>
      <c r="M1526" s="708">
        <f>'Part IV-Uses of Funds'!M30</f>
        <v>0</v>
      </c>
      <c r="P1526" s="708">
        <f>'Part IV-Uses of Funds'!P30</f>
        <v>0</v>
      </c>
      <c r="S1526" s="708">
        <f>'Part IV-Uses of Funds'!S30</f>
        <v>0</v>
      </c>
    </row>
    <row r="1527" spans="2:19" ht="12.6" customHeight="1">
      <c r="B1527" s="708" t="s">
        <v>1758</v>
      </c>
      <c r="G1527" s="708">
        <f>'Part IV-Uses of Funds'!G31</f>
        <v>189730</v>
      </c>
      <c r="J1527" s="708">
        <f>'Part IV-Uses of Funds'!J31</f>
        <v>189730</v>
      </c>
      <c r="M1527" s="708">
        <f>'Part IV-Uses of Funds'!M31</f>
        <v>0</v>
      </c>
      <c r="P1527" s="708">
        <f>'Part IV-Uses of Funds'!P31</f>
        <v>0</v>
      </c>
      <c r="S1527" s="708">
        <f>'Part IV-Uses of Funds'!S31</f>
        <v>0</v>
      </c>
    </row>
    <row r="1528" spans="2:19" ht="12.6" customHeight="1">
      <c r="F1528" s="708" t="s">
        <v>249</v>
      </c>
      <c r="G1528" s="708">
        <f>SUM(G1525:H1527)</f>
        <v>4763480</v>
      </c>
      <c r="J1528" s="708">
        <f>SUM(J1525:K1527)</f>
        <v>4763480</v>
      </c>
      <c r="M1528" s="708">
        <f>SUM(M1525:N1527)</f>
        <v>0</v>
      </c>
      <c r="P1528" s="708">
        <f>SUM(P1525:Q1527)</f>
        <v>0</v>
      </c>
      <c r="S1528" s="708">
        <f>SUM(S1525:T1527)</f>
        <v>0</v>
      </c>
    </row>
    <row r="1529" spans="2:19" ht="13.15" customHeight="1">
      <c r="B1529" s="708" t="s">
        <v>3493</v>
      </c>
      <c r="E1529" s="708">
        <f>E1530+E1531</f>
        <v>0.14000000000000001</v>
      </c>
      <c r="O1529" s="708" t="str">
        <f>B1529</f>
        <v>CONTRACTOR SERVICES</v>
      </c>
    </row>
    <row r="1530" spans="2:19" ht="12.6" customHeight="1">
      <c r="B1530" s="708" t="s">
        <v>3494</v>
      </c>
      <c r="E1530" s="708">
        <f>'DCA Underwriting Assumptions'!$R$38</f>
        <v>0.06</v>
      </c>
      <c r="F1530" s="708">
        <f>E1530*($G$27+$G$32)</f>
        <v>0</v>
      </c>
      <c r="G1530" s="708">
        <f>'Part IV-Uses of Funds'!G34</f>
        <v>366299</v>
      </c>
      <c r="J1530" s="708">
        <f>'Part IV-Uses of Funds'!J34</f>
        <v>366299</v>
      </c>
      <c r="M1530" s="708">
        <f>'Part IV-Uses of Funds'!M34</f>
        <v>0</v>
      </c>
      <c r="P1530" s="708">
        <f>'Part IV-Uses of Funds'!P34</f>
        <v>0</v>
      </c>
      <c r="S1530" s="708">
        <f>'Part IV-Uses of Funds'!S34</f>
        <v>0</v>
      </c>
    </row>
    <row r="1531" spans="2:19" ht="12.6" customHeight="1">
      <c r="B1531" s="708" t="s">
        <v>3130</v>
      </c>
      <c r="E1531" s="708">
        <f>'DCA Underwriting Assumptions'!$R$39+'DCA Underwriting Assumptions'!$R$40</f>
        <v>0.08</v>
      </c>
      <c r="F1531" s="708">
        <f>E1531*($G$27+$G$32)</f>
        <v>0</v>
      </c>
      <c r="G1531" s="708">
        <f>'Part IV-Uses of Funds'!G35</f>
        <v>488400</v>
      </c>
      <c r="J1531" s="708">
        <f>'Part IV-Uses of Funds'!J35</f>
        <v>488400</v>
      </c>
      <c r="M1531" s="708">
        <f>'Part IV-Uses of Funds'!M35</f>
        <v>0</v>
      </c>
      <c r="P1531" s="708">
        <f>'Part IV-Uses of Funds'!P35</f>
        <v>0</v>
      </c>
      <c r="S1531" s="708">
        <f>'Part IV-Uses of Funds'!S35</f>
        <v>0</v>
      </c>
    </row>
    <row r="1532" spans="2:19" ht="12.6" customHeight="1">
      <c r="B1532" s="708" t="s">
        <v>3131</v>
      </c>
      <c r="F1532" s="708" t="s">
        <v>249</v>
      </c>
      <c r="G1532" s="708">
        <f>SUM(G1530:H1531)</f>
        <v>854699</v>
      </c>
      <c r="J1532" s="708">
        <f>SUM(J1530:K1531)</f>
        <v>854699</v>
      </c>
      <c r="M1532" s="708">
        <f>SUM(M1530:N1531)</f>
        <v>0</v>
      </c>
      <c r="P1532" s="708">
        <f>SUM(P1530:Q1531)</f>
        <v>0</v>
      </c>
      <c r="S1532" s="708">
        <f>SUM(S1530:T1531)</f>
        <v>0</v>
      </c>
    </row>
    <row r="1533" spans="2:19" ht="6" customHeight="1"/>
    <row r="1534" spans="2:19" ht="12.6" customHeight="1">
      <c r="B1534" s="708" t="s">
        <v>1761</v>
      </c>
      <c r="D1534" s="708">
        <f>B1535/'Part VI-Revenues &amp; Expenses'!$M$63</f>
        <v>88097.405063291139</v>
      </c>
      <c r="F1534" s="708" t="s">
        <v>2111</v>
      </c>
    </row>
    <row r="1535" spans="2:19" ht="12.6" customHeight="1">
      <c r="B1535" s="708">
        <f>G1523+G1528+G1532</f>
        <v>6959695</v>
      </c>
      <c r="D1535" s="708">
        <f>B1535/'Part VI-Revenues &amp; Expenses'!$M$98</f>
        <v>91.274688524590161</v>
      </c>
      <c r="F1535" s="708" t="s">
        <v>1338</v>
      </c>
    </row>
    <row r="1536" spans="2:19" ht="6" customHeight="1"/>
    <row r="1537" spans="1:21" ht="13.15" customHeight="1">
      <c r="B1537" s="708" t="s">
        <v>1759</v>
      </c>
      <c r="O1537" s="708" t="str">
        <f>B1537</f>
        <v>CONSTRUCTION CONTINGENCY</v>
      </c>
    </row>
    <row r="1538" spans="1:21" ht="12.6" customHeight="1">
      <c r="B1538" s="708" t="s">
        <v>3038</v>
      </c>
      <c r="F1538" s="708" t="e">
        <f>G1538/$B$39</f>
        <v>#DIV/0!</v>
      </c>
      <c r="G1538" s="708">
        <f>'Part IV-Uses of Funds'!G42</f>
        <v>347985</v>
      </c>
      <c r="J1538" s="708">
        <f>'Part IV-Uses of Funds'!J42</f>
        <v>347985</v>
      </c>
      <c r="M1538" s="708">
        <f>'Part IV-Uses of Funds'!M42</f>
        <v>0</v>
      </c>
      <c r="P1538" s="708">
        <f>'Part IV-Uses of Funds'!P42</f>
        <v>0</v>
      </c>
      <c r="S1538" s="708">
        <f>'Part IV-Uses of Funds'!S42</f>
        <v>0</v>
      </c>
    </row>
    <row r="1539" spans="1:21" ht="6" customHeight="1"/>
    <row r="1540" spans="1:21" ht="3.4" customHeight="1"/>
    <row r="1541" spans="1:21" ht="21.4" customHeight="1">
      <c r="A1541" s="708" t="s">
        <v>951</v>
      </c>
      <c r="B1541" s="708" t="s">
        <v>1495</v>
      </c>
      <c r="J1541" s="708" t="s">
        <v>359</v>
      </c>
      <c r="M1541" s="708" t="s">
        <v>721</v>
      </c>
      <c r="P1541" s="708" t="s">
        <v>360</v>
      </c>
      <c r="S1541" s="708" t="s">
        <v>361</v>
      </c>
    </row>
    <row r="1542" spans="1:21" ht="21.4" customHeight="1">
      <c r="G1542" s="708" t="s">
        <v>115</v>
      </c>
    </row>
    <row r="1543" spans="1:21" ht="13.15" customHeight="1">
      <c r="B1543" s="708" t="s">
        <v>1092</v>
      </c>
      <c r="O1543" s="708" t="str">
        <f>B1543</f>
        <v>CONSTRUCTION PERIOD FINANCING</v>
      </c>
    </row>
    <row r="1544" spans="1:21" ht="13.15" customHeight="1">
      <c r="B1544" s="708" t="s">
        <v>3496</v>
      </c>
      <c r="G1544" s="708">
        <f>'Part IV-Uses of Funds'!G48</f>
        <v>12500</v>
      </c>
      <c r="J1544" s="708">
        <f>'Part IV-Uses of Funds'!J48</f>
        <v>12500</v>
      </c>
      <c r="M1544" s="708">
        <f>'Part IV-Uses of Funds'!M48</f>
        <v>0</v>
      </c>
      <c r="P1544" s="708">
        <f>'Part IV-Uses of Funds'!P48</f>
        <v>0</v>
      </c>
      <c r="S1544" s="708">
        <f>'Part IV-Uses of Funds'!S48</f>
        <v>0</v>
      </c>
    </row>
    <row r="1545" spans="1:21" ht="13.15" customHeight="1">
      <c r="B1545" s="708" t="s">
        <v>3497</v>
      </c>
      <c r="G1545" s="708">
        <f>'Part IV-Uses of Funds'!G49</f>
        <v>72660</v>
      </c>
      <c r="J1545" s="708">
        <f>'Part IV-Uses of Funds'!J49</f>
        <v>54495</v>
      </c>
      <c r="M1545" s="708">
        <f>'Part IV-Uses of Funds'!M49</f>
        <v>0</v>
      </c>
      <c r="P1545" s="708">
        <f>'Part IV-Uses of Funds'!P49</f>
        <v>0</v>
      </c>
      <c r="S1545" s="708">
        <f>'Part IV-Uses of Funds'!S49</f>
        <v>0</v>
      </c>
    </row>
    <row r="1546" spans="1:21" ht="13.15" customHeight="1">
      <c r="B1546" s="708" t="s">
        <v>3498</v>
      </c>
      <c r="G1546" s="708">
        <f>'Part IV-Uses of Funds'!G50</f>
        <v>30000</v>
      </c>
      <c r="J1546" s="708">
        <f>'Part IV-Uses of Funds'!J50</f>
        <v>30000</v>
      </c>
      <c r="M1546" s="708">
        <f>'Part IV-Uses of Funds'!M50</f>
        <v>0</v>
      </c>
      <c r="P1546" s="708">
        <f>'Part IV-Uses of Funds'!P50</f>
        <v>0</v>
      </c>
      <c r="S1546" s="708">
        <f>'Part IV-Uses of Funds'!S50</f>
        <v>0</v>
      </c>
    </row>
    <row r="1547" spans="1:21" ht="13.15" customHeight="1">
      <c r="B1547" s="708" t="s">
        <v>1093</v>
      </c>
      <c r="G1547" s="708">
        <f>'Part IV-Uses of Funds'!G51</f>
        <v>10000</v>
      </c>
      <c r="J1547" s="708">
        <f>'Part IV-Uses of Funds'!J51</f>
        <v>7000</v>
      </c>
      <c r="M1547" s="708">
        <f>'Part IV-Uses of Funds'!M51</f>
        <v>0</v>
      </c>
      <c r="P1547" s="708">
        <f>'Part IV-Uses of Funds'!P51</f>
        <v>0</v>
      </c>
      <c r="S1547" s="708">
        <f>'Part IV-Uses of Funds'!S51</f>
        <v>0</v>
      </c>
    </row>
    <row r="1548" spans="1:21" ht="13.15" customHeight="1">
      <c r="B1548" s="708" t="s">
        <v>3499</v>
      </c>
      <c r="G1548" s="708">
        <f>'Part IV-Uses of Funds'!G52</f>
        <v>37857</v>
      </c>
      <c r="J1548" s="708">
        <f>'Part IV-Uses of Funds'!J52</f>
        <v>37857</v>
      </c>
      <c r="M1548" s="708">
        <f>'Part IV-Uses of Funds'!M52</f>
        <v>0</v>
      </c>
      <c r="P1548" s="708">
        <f>'Part IV-Uses of Funds'!P52</f>
        <v>0</v>
      </c>
      <c r="S1548" s="708">
        <f>'Part IV-Uses of Funds'!S52</f>
        <v>0</v>
      </c>
    </row>
    <row r="1549" spans="1:21" ht="13.15" customHeight="1">
      <c r="B1549" s="708" t="s">
        <v>372</v>
      </c>
      <c r="G1549" s="708">
        <f>'Part IV-Uses of Funds'!G53</f>
        <v>0</v>
      </c>
      <c r="J1549" s="708">
        <f>'Part IV-Uses of Funds'!J53</f>
        <v>0</v>
      </c>
      <c r="M1549" s="708">
        <f>'Part IV-Uses of Funds'!M53</f>
        <v>0</v>
      </c>
      <c r="P1549" s="708">
        <f>'Part IV-Uses of Funds'!P53</f>
        <v>0</v>
      </c>
      <c r="S1549" s="708">
        <f>'Part IV-Uses of Funds'!S53</f>
        <v>0</v>
      </c>
    </row>
    <row r="1550" spans="1:21" ht="12.6" customHeight="1">
      <c r="B1550" s="708" t="s">
        <v>1796</v>
      </c>
      <c r="G1550" s="708">
        <f>'Part IV-Uses of Funds'!G54</f>
        <v>47322</v>
      </c>
      <c r="J1550" s="708">
        <f>'Part IV-Uses of Funds'!J54</f>
        <v>47322</v>
      </c>
      <c r="M1550" s="708">
        <f>'Part IV-Uses of Funds'!M54</f>
        <v>0</v>
      </c>
      <c r="P1550" s="708">
        <f>'Part IV-Uses of Funds'!P54</f>
        <v>0</v>
      </c>
      <c r="S1550" s="708">
        <f>'Part IV-Uses of Funds'!S54</f>
        <v>0</v>
      </c>
    </row>
    <row r="1551" spans="1:21" ht="13.15" customHeight="1">
      <c r="A1551" s="708" t="str">
        <f>IF(AND(G1551&gt;0,OR(C1551="",C1551="&lt;Enter detailed description here; use Comments section if needed&gt;")),"X","")</f>
        <v/>
      </c>
      <c r="B1551" s="708" t="s">
        <v>1231</v>
      </c>
      <c r="C1551" s="708" t="str">
        <f>'Part IV-Uses of Funds'!C55</f>
        <v>Lender inspection</v>
      </c>
      <c r="G1551" s="708">
        <f>'Part IV-Uses of Funds'!G55</f>
        <v>13200</v>
      </c>
      <c r="J1551" s="708">
        <f>'Part IV-Uses of Funds'!J55</f>
        <v>13200</v>
      </c>
      <c r="M1551" s="708">
        <f>'Part IV-Uses of Funds'!M55</f>
        <v>0</v>
      </c>
      <c r="P1551" s="708">
        <f>'Part IV-Uses of Funds'!P55</f>
        <v>0</v>
      </c>
      <c r="S1551" s="708">
        <f>'Part IV-Uses of Funds'!S55</f>
        <v>0</v>
      </c>
      <c r="U1551" s="708" t="str">
        <f>IF(AND(G1551&gt;0,OR(C1551="",C1551="&lt;Enter detailed description here; use Comments section if needed&gt;")),"NO DESCRIPTION PROVIDED - please enter detailed description in Other box at left; use Comments section below if needed.","")</f>
        <v/>
      </c>
    </row>
    <row r="1552" spans="1:21" ht="13.15" customHeight="1">
      <c r="F1552" s="708" t="s">
        <v>249</v>
      </c>
      <c r="G1552" s="708">
        <f>SUM(G1544:H1551)</f>
        <v>223539</v>
      </c>
      <c r="J1552" s="708">
        <f>SUM(J1544:K1551)</f>
        <v>202374</v>
      </c>
      <c r="M1552" s="708">
        <f>SUM(M1544:N1551)</f>
        <v>0</v>
      </c>
      <c r="P1552" s="708">
        <f>SUM(P1544:Q1551)</f>
        <v>0</v>
      </c>
      <c r="S1552" s="708">
        <f>SUM(S1544:T1551)</f>
        <v>0</v>
      </c>
    </row>
    <row r="1553" spans="1:21" ht="13.15" customHeight="1">
      <c r="B1553" s="708" t="s">
        <v>705</v>
      </c>
      <c r="O1553" s="708" t="str">
        <f>B1553</f>
        <v>PROFESSIONAL SERVICES</v>
      </c>
    </row>
    <row r="1554" spans="1:21" ht="13.15" customHeight="1">
      <c r="B1554" s="708" t="s">
        <v>706</v>
      </c>
      <c r="G1554" s="708">
        <f>'Part IV-Uses of Funds'!G58</f>
        <v>161500</v>
      </c>
      <c r="J1554" s="708">
        <f>'Part IV-Uses of Funds'!J58</f>
        <v>161500</v>
      </c>
      <c r="M1554" s="708">
        <f>'Part IV-Uses of Funds'!M58</f>
        <v>0</v>
      </c>
      <c r="P1554" s="708">
        <f>'Part IV-Uses of Funds'!P58</f>
        <v>0</v>
      </c>
      <c r="S1554" s="708">
        <f>'Part IV-Uses of Funds'!S58</f>
        <v>0</v>
      </c>
    </row>
    <row r="1555" spans="1:21" ht="13.15" customHeight="1">
      <c r="B1555" s="708" t="s">
        <v>707</v>
      </c>
      <c r="G1555" s="708">
        <f>'Part IV-Uses of Funds'!G59</f>
        <v>12000</v>
      </c>
      <c r="J1555" s="708">
        <f>'Part IV-Uses of Funds'!J59</f>
        <v>12000</v>
      </c>
      <c r="M1555" s="708">
        <f>'Part IV-Uses of Funds'!M59</f>
        <v>0</v>
      </c>
      <c r="P1555" s="708">
        <f>'Part IV-Uses of Funds'!P59</f>
        <v>0</v>
      </c>
      <c r="S1555" s="708">
        <f>'Part IV-Uses of Funds'!S59</f>
        <v>0</v>
      </c>
    </row>
    <row r="1556" spans="1:21" ht="13.15" customHeight="1">
      <c r="B1556" s="708" t="s">
        <v>1762</v>
      </c>
      <c r="G1556" s="708">
        <f>'Part IV-Uses of Funds'!G60</f>
        <v>20000</v>
      </c>
      <c r="J1556" s="708">
        <f>'Part IV-Uses of Funds'!J60</f>
        <v>20000</v>
      </c>
      <c r="M1556" s="708">
        <f>'Part IV-Uses of Funds'!M60</f>
        <v>0</v>
      </c>
      <c r="P1556" s="708">
        <f>'Part IV-Uses of Funds'!P60</f>
        <v>0</v>
      </c>
      <c r="S1556" s="708">
        <f>'Part IV-Uses of Funds'!S60</f>
        <v>0</v>
      </c>
    </row>
    <row r="1557" spans="1:21" ht="13.15" customHeight="1">
      <c r="B1557" s="708" t="s">
        <v>1763</v>
      </c>
      <c r="G1557" s="708">
        <f>'Part IV-Uses of Funds'!G61</f>
        <v>10925</v>
      </c>
      <c r="J1557" s="708">
        <f>'Part IV-Uses of Funds'!J61</f>
        <v>10925</v>
      </c>
      <c r="M1557" s="708">
        <f>'Part IV-Uses of Funds'!M61</f>
        <v>0</v>
      </c>
      <c r="P1557" s="708">
        <f>'Part IV-Uses of Funds'!P61</f>
        <v>0</v>
      </c>
      <c r="S1557" s="708">
        <f>'Part IV-Uses of Funds'!S61</f>
        <v>0</v>
      </c>
    </row>
    <row r="1558" spans="1:21" ht="13.15" customHeight="1">
      <c r="B1558" s="708" t="s">
        <v>1764</v>
      </c>
      <c r="G1558" s="708">
        <f>'Part IV-Uses of Funds'!G62</f>
        <v>3900</v>
      </c>
      <c r="J1558" s="708">
        <f>'Part IV-Uses of Funds'!J62</f>
        <v>3900</v>
      </c>
      <c r="M1558" s="708">
        <f>'Part IV-Uses of Funds'!M62</f>
        <v>0</v>
      </c>
      <c r="P1558" s="708">
        <f>'Part IV-Uses of Funds'!P62</f>
        <v>0</v>
      </c>
      <c r="S1558" s="708">
        <f>'Part IV-Uses of Funds'!S62</f>
        <v>0</v>
      </c>
    </row>
    <row r="1559" spans="1:21" ht="13.15" customHeight="1">
      <c r="B1559" s="708" t="s">
        <v>1765</v>
      </c>
      <c r="G1559" s="708">
        <f>'Part IV-Uses of Funds'!G63</f>
        <v>60600</v>
      </c>
      <c r="J1559" s="708">
        <f>'Part IV-Uses of Funds'!J63</f>
        <v>60600</v>
      </c>
      <c r="M1559" s="708">
        <f>'Part IV-Uses of Funds'!M63</f>
        <v>0</v>
      </c>
      <c r="P1559" s="708">
        <f>'Part IV-Uses of Funds'!P63</f>
        <v>0</v>
      </c>
      <c r="S1559" s="708">
        <f>'Part IV-Uses of Funds'!S63</f>
        <v>0</v>
      </c>
    </row>
    <row r="1560" spans="1:21" ht="13.15" customHeight="1">
      <c r="B1560" s="708" t="s">
        <v>708</v>
      </c>
      <c r="G1560" s="708">
        <f>'Part IV-Uses of Funds'!G64</f>
        <v>53500</v>
      </c>
      <c r="J1560" s="708">
        <f>'Part IV-Uses of Funds'!J64</f>
        <v>53500</v>
      </c>
      <c r="M1560" s="708">
        <f>'Part IV-Uses of Funds'!M64</f>
        <v>0</v>
      </c>
      <c r="P1560" s="708">
        <f>'Part IV-Uses of Funds'!P64</f>
        <v>0</v>
      </c>
      <c r="S1560" s="708">
        <f>'Part IV-Uses of Funds'!S64</f>
        <v>0</v>
      </c>
    </row>
    <row r="1561" spans="1:21" ht="13.15" customHeight="1">
      <c r="B1561" s="708" t="s">
        <v>709</v>
      </c>
      <c r="G1561" s="708">
        <f>'Part IV-Uses of Funds'!G65</f>
        <v>120000</v>
      </c>
      <c r="J1561" s="708">
        <f>'Part IV-Uses of Funds'!J65</f>
        <v>120000</v>
      </c>
      <c r="M1561" s="708">
        <f>'Part IV-Uses of Funds'!M65</f>
        <v>0</v>
      </c>
      <c r="P1561" s="708">
        <f>'Part IV-Uses of Funds'!P65</f>
        <v>0</v>
      </c>
      <c r="S1561" s="708">
        <f>'Part IV-Uses of Funds'!S65</f>
        <v>0</v>
      </c>
    </row>
    <row r="1562" spans="1:21" ht="13.15" customHeight="1">
      <c r="B1562" s="708" t="s">
        <v>3141</v>
      </c>
      <c r="G1562" s="708">
        <f>'Part IV-Uses of Funds'!G66</f>
        <v>27500</v>
      </c>
      <c r="J1562" s="708">
        <f>'Part IV-Uses of Funds'!J66</f>
        <v>27500</v>
      </c>
      <c r="M1562" s="708">
        <f>'Part IV-Uses of Funds'!M66</f>
        <v>0</v>
      </c>
      <c r="P1562" s="708">
        <f>'Part IV-Uses of Funds'!P66</f>
        <v>0</v>
      </c>
      <c r="S1562" s="708">
        <f>'Part IV-Uses of Funds'!S66</f>
        <v>0</v>
      </c>
    </row>
    <row r="1563" spans="1:21" ht="13.15" customHeight="1">
      <c r="A1563" s="708" t="str">
        <f>IF(AND(G1563&gt;0,OR(C1563="",C1563="&lt;Enter detailed description here; use Comments section if needed&gt;")),"X","")</f>
        <v/>
      </c>
      <c r="B1563" s="708" t="s">
        <v>1231</v>
      </c>
      <c r="C1563" s="708">
        <f>'Part IV-Uses of Funds'!C67</f>
        <v>0</v>
      </c>
      <c r="G1563" s="708">
        <f>'Part IV-Uses of Funds'!G67</f>
        <v>0</v>
      </c>
      <c r="J1563" s="708">
        <f>'Part IV-Uses of Funds'!J67</f>
        <v>0</v>
      </c>
      <c r="M1563" s="708">
        <f>'Part IV-Uses of Funds'!M67</f>
        <v>0</v>
      </c>
      <c r="P1563" s="708">
        <f>'Part IV-Uses of Funds'!P67</f>
        <v>0</v>
      </c>
      <c r="S1563" s="708">
        <f>'Part IV-Uses of Funds'!S67</f>
        <v>0</v>
      </c>
      <c r="U1563" s="708" t="str">
        <f>IF(AND(G1563&gt;0,OR(C1563="",C1563="&lt;Enter detailed description here; use Comments section if needed&gt;")),"NO DESCRIPTION PROVIDED - please enter detailed description in Other box at left; use Comments section below if needed.","")</f>
        <v/>
      </c>
    </row>
    <row r="1564" spans="1:21" ht="13.15" customHeight="1">
      <c r="F1564" s="708" t="s">
        <v>249</v>
      </c>
      <c r="G1564" s="708">
        <f>SUM(G1554:H1563)</f>
        <v>469925</v>
      </c>
      <c r="J1564" s="708">
        <f>SUM(J1554:K1563)</f>
        <v>469925</v>
      </c>
      <c r="M1564" s="708">
        <f>SUM(M1554:N1563)</f>
        <v>0</v>
      </c>
      <c r="P1564" s="708">
        <f>SUM(P1554:Q1563)</f>
        <v>0</v>
      </c>
      <c r="S1564" s="708">
        <f>SUM(S1554:T1563)</f>
        <v>0</v>
      </c>
    </row>
    <row r="1565" spans="1:21" ht="13.15" customHeight="1">
      <c r="B1565" s="708" t="s">
        <v>1954</v>
      </c>
      <c r="O1565" s="708" t="str">
        <f>B1565</f>
        <v>LOCAL GOVERNMENT FEES</v>
      </c>
    </row>
    <row r="1566" spans="1:21" ht="13.15" customHeight="1">
      <c r="B1566" s="708" t="s">
        <v>1955</v>
      </c>
      <c r="G1566" s="708">
        <f>'Part IV-Uses of Funds'!G70</f>
        <v>17600</v>
      </c>
      <c r="J1566" s="708">
        <f>'Part IV-Uses of Funds'!J70</f>
        <v>17600</v>
      </c>
      <c r="M1566" s="708">
        <f>'Part IV-Uses of Funds'!M70</f>
        <v>0</v>
      </c>
      <c r="P1566" s="708">
        <f>'Part IV-Uses of Funds'!P70</f>
        <v>0</v>
      </c>
      <c r="S1566" s="708">
        <f>'Part IV-Uses of Funds'!S70</f>
        <v>0</v>
      </c>
    </row>
    <row r="1567" spans="1:21" ht="13.15" customHeight="1">
      <c r="B1567" s="708" t="s">
        <v>1956</v>
      </c>
      <c r="G1567" s="708">
        <f>'Part IV-Uses of Funds'!G71</f>
        <v>0</v>
      </c>
      <c r="J1567" s="708">
        <f>'Part IV-Uses of Funds'!J71</f>
        <v>0</v>
      </c>
      <c r="M1567" s="708">
        <f>'Part IV-Uses of Funds'!M71</f>
        <v>0</v>
      </c>
      <c r="P1567" s="708">
        <f>'Part IV-Uses of Funds'!P71</f>
        <v>0</v>
      </c>
      <c r="S1567" s="708">
        <f>'Part IV-Uses of Funds'!S71</f>
        <v>0</v>
      </c>
    </row>
    <row r="1568" spans="1:21" ht="13.15" customHeight="1">
      <c r="B1568" s="708" t="s">
        <v>1957</v>
      </c>
      <c r="D1568" s="708" t="s">
        <v>2112</v>
      </c>
      <c r="E1568" s="708" t="str">
        <f>'Part IV-Uses of Funds'!E72</f>
        <v>No</v>
      </c>
      <c r="G1568" s="708">
        <f>'Part IV-Uses of Funds'!G72</f>
        <v>15500</v>
      </c>
      <c r="J1568" s="708">
        <f>'Part IV-Uses of Funds'!J72</f>
        <v>15500</v>
      </c>
      <c r="M1568" s="708">
        <f>'Part IV-Uses of Funds'!M72</f>
        <v>0</v>
      </c>
      <c r="P1568" s="708">
        <f>'Part IV-Uses of Funds'!P72</f>
        <v>0</v>
      </c>
      <c r="S1568" s="708">
        <f>'Part IV-Uses of Funds'!S72</f>
        <v>0</v>
      </c>
    </row>
    <row r="1569" spans="1:21" ht="13.15" customHeight="1">
      <c r="B1569" s="708" t="s">
        <v>1958</v>
      </c>
      <c r="D1569" s="708" t="s">
        <v>2112</v>
      </c>
      <c r="E1569" s="708" t="str">
        <f>'Part IV-Uses of Funds'!E73</f>
        <v>No</v>
      </c>
      <c r="G1569" s="708">
        <f>'Part IV-Uses of Funds'!G73</f>
        <v>8250</v>
      </c>
      <c r="J1569" s="708">
        <f>'Part IV-Uses of Funds'!J73</f>
        <v>8250</v>
      </c>
      <c r="M1569" s="708">
        <f>'Part IV-Uses of Funds'!M73</f>
        <v>0</v>
      </c>
      <c r="P1569" s="708">
        <f>'Part IV-Uses of Funds'!P73</f>
        <v>0</v>
      </c>
      <c r="S1569" s="708">
        <f>'Part IV-Uses of Funds'!S73</f>
        <v>0</v>
      </c>
    </row>
    <row r="1570" spans="1:21" ht="13.15" customHeight="1">
      <c r="F1570" s="708" t="s">
        <v>249</v>
      </c>
      <c r="G1570" s="708">
        <f>SUM(G1566:H1569)</f>
        <v>41350</v>
      </c>
      <c r="J1570" s="708">
        <f>SUM(J1566:K1569)</f>
        <v>41350</v>
      </c>
      <c r="M1570" s="708">
        <f>SUM(M1566:N1569)</f>
        <v>0</v>
      </c>
      <c r="P1570" s="708">
        <f>SUM(P1566:Q1569)</f>
        <v>0</v>
      </c>
      <c r="S1570" s="708">
        <f>SUM(S1566:T1569)</f>
        <v>0</v>
      </c>
    </row>
    <row r="1571" spans="1:21" ht="13.15" customHeight="1">
      <c r="B1571" s="708" t="s">
        <v>1094</v>
      </c>
      <c r="O1571" s="708" t="str">
        <f>B1571</f>
        <v>PERMANENT FINANCING FEES</v>
      </c>
    </row>
    <row r="1572" spans="1:21" ht="13.15" customHeight="1">
      <c r="B1572" s="708" t="s">
        <v>1959</v>
      </c>
      <c r="G1572" s="708">
        <f>'Part IV-Uses of Funds'!G76</f>
        <v>0</v>
      </c>
      <c r="S1572" s="708">
        <f>'Part IV-Uses of Funds'!S76</f>
        <v>0</v>
      </c>
    </row>
    <row r="1573" spans="1:21" ht="13.15" customHeight="1">
      <c r="B1573" s="708" t="s">
        <v>1960</v>
      </c>
      <c r="G1573" s="708">
        <f>'Part IV-Uses of Funds'!G77</f>
        <v>0</v>
      </c>
      <c r="S1573" s="708">
        <f>'Part IV-Uses of Funds'!S77</f>
        <v>0</v>
      </c>
    </row>
    <row r="1574" spans="1:21" ht="13.15" customHeight="1">
      <c r="B1574" s="708" t="s">
        <v>1961</v>
      </c>
      <c r="G1574" s="708">
        <f>'Part IV-Uses of Funds'!G78</f>
        <v>20804</v>
      </c>
      <c r="J1574" s="708">
        <f>'Part IV-Uses of Funds'!J78</f>
        <v>20804</v>
      </c>
      <c r="M1574" s="708">
        <f>'Part IV-Uses of Funds'!M78</f>
        <v>0</v>
      </c>
      <c r="P1574" s="708">
        <f>'Part IV-Uses of Funds'!P78</f>
        <v>0</v>
      </c>
      <c r="S1574" s="708">
        <f>'Part IV-Uses of Funds'!S78</f>
        <v>0</v>
      </c>
    </row>
    <row r="1575" spans="1:21" ht="13.15" customHeight="1">
      <c r="B1575" s="708" t="s">
        <v>1962</v>
      </c>
      <c r="G1575" s="708">
        <f>'Part IV-Uses of Funds'!G79</f>
        <v>8000</v>
      </c>
      <c r="J1575" s="708">
        <f>'Part IV-Uses of Funds'!J79</f>
        <v>8000</v>
      </c>
      <c r="M1575" s="708">
        <f>'Part IV-Uses of Funds'!M79</f>
        <v>0</v>
      </c>
      <c r="P1575" s="708">
        <f>'Part IV-Uses of Funds'!P79</f>
        <v>0</v>
      </c>
      <c r="S1575" s="708">
        <f>'Part IV-Uses of Funds'!S79</f>
        <v>0</v>
      </c>
    </row>
    <row r="1576" spans="1:21" ht="13.15" customHeight="1">
      <c r="B1576" s="708" t="s">
        <v>1963</v>
      </c>
      <c r="G1576" s="708">
        <f>'Part IV-Uses of Funds'!G80</f>
        <v>0</v>
      </c>
      <c r="J1576" s="708">
        <f>'Part IV-Uses of Funds'!J80</f>
        <v>0</v>
      </c>
      <c r="M1576" s="708">
        <f>'Part IV-Uses of Funds'!M80</f>
        <v>0</v>
      </c>
      <c r="P1576" s="708">
        <f>'Part IV-Uses of Funds'!P80</f>
        <v>0</v>
      </c>
      <c r="S1576" s="708">
        <f>'Part IV-Uses of Funds'!S80</f>
        <v>0</v>
      </c>
    </row>
    <row r="1577" spans="1:21" ht="13.15" customHeight="1">
      <c r="B1577" s="708" t="s">
        <v>3439</v>
      </c>
      <c r="G1577" s="708">
        <f>'Part IV-Uses of Funds'!G81</f>
        <v>0</v>
      </c>
      <c r="J1577" s="708">
        <f>'Part IV-Uses of Funds'!J81</f>
        <v>0</v>
      </c>
      <c r="M1577" s="708">
        <f>'Part IV-Uses of Funds'!M81</f>
        <v>0</v>
      </c>
      <c r="P1577" s="708">
        <f>'Part IV-Uses of Funds'!P81</f>
        <v>0</v>
      </c>
      <c r="S1577" s="708">
        <f>'Part IV-Uses of Funds'!S81</f>
        <v>0</v>
      </c>
    </row>
    <row r="1578" spans="1:21" ht="13.15" customHeight="1">
      <c r="A1578" s="708" t="str">
        <f>IF(AND(G1578&gt;0,OR(C1578="",C1578="&lt;Enter detailed description here; use Comments section if needed&gt;")),"X","")</f>
        <v/>
      </c>
      <c r="B1578" s="708" t="s">
        <v>1231</v>
      </c>
      <c r="C1578" s="708">
        <f>'Part IV-Uses of Funds'!C82</f>
        <v>0</v>
      </c>
      <c r="G1578" s="708">
        <f>'Part IV-Uses of Funds'!G82</f>
        <v>0</v>
      </c>
      <c r="J1578" s="708">
        <f>'Part IV-Uses of Funds'!J82</f>
        <v>0</v>
      </c>
      <c r="M1578" s="708">
        <f>'Part IV-Uses of Funds'!M82</f>
        <v>0</v>
      </c>
      <c r="P1578" s="708">
        <f>'Part IV-Uses of Funds'!P82</f>
        <v>0</v>
      </c>
      <c r="S1578" s="708">
        <f>'Part IV-Uses of Funds'!S82</f>
        <v>0</v>
      </c>
      <c r="U1578" s="708" t="str">
        <f>IF(AND(G1578&gt;0,OR(C1578="",C1578="&lt;Enter detailed description here; use Comments section if needed&gt;")),"NO DESCRIPTION PROVIDED - please enter detailed description in Other box at left; use Comments section below if needed.","")</f>
        <v/>
      </c>
    </row>
    <row r="1579" spans="1:21" ht="13.15" customHeight="1">
      <c r="F1579" s="708" t="s">
        <v>249</v>
      </c>
      <c r="G1579" s="708">
        <f>SUM(G1572:H1578)</f>
        <v>28804</v>
      </c>
      <c r="J1579" s="708">
        <f>SUM(J1574:K1578)</f>
        <v>28804</v>
      </c>
      <c r="M1579" s="708">
        <f>SUM(M1574:N1578)</f>
        <v>0</v>
      </c>
      <c r="P1579" s="708">
        <f>SUM(P1574:Q1578)</f>
        <v>0</v>
      </c>
      <c r="S1579" s="708">
        <f>SUM(S1572:T1578)</f>
        <v>0</v>
      </c>
    </row>
    <row r="1580" spans="1:21" ht="3.6" customHeight="1"/>
    <row r="1581" spans="1:21" ht="6" customHeight="1"/>
    <row r="1582" spans="1:21" ht="18" customHeight="1">
      <c r="A1582" s="708" t="s">
        <v>951</v>
      </c>
      <c r="B1582" s="708" t="s">
        <v>1495</v>
      </c>
      <c r="J1582" s="708" t="s">
        <v>359</v>
      </c>
      <c r="M1582" s="708" t="s">
        <v>721</v>
      </c>
      <c r="P1582" s="708" t="s">
        <v>360</v>
      </c>
      <c r="S1582" s="708" t="s">
        <v>361</v>
      </c>
    </row>
    <row r="1583" spans="1:21" ht="18" customHeight="1">
      <c r="G1583" s="708" t="s">
        <v>115</v>
      </c>
    </row>
    <row r="1584" spans="1:21" ht="13.15" customHeight="1">
      <c r="B1584" s="708" t="s">
        <v>1095</v>
      </c>
      <c r="O1584" s="708" t="str">
        <f>B1584</f>
        <v>DCA-RELATED COSTS</v>
      </c>
    </row>
    <row r="1585" spans="1:21" ht="12.6" customHeight="1">
      <c r="B1585" s="708" t="s">
        <v>2289</v>
      </c>
      <c r="G1585" s="708">
        <f>'Part IV-Uses of Funds'!G89</f>
        <v>500</v>
      </c>
      <c r="S1585" s="708">
        <f>'Part IV-Uses of Funds'!S89</f>
        <v>0</v>
      </c>
    </row>
    <row r="1586" spans="1:21" ht="12.6" customHeight="1">
      <c r="B1586" s="708" t="s">
        <v>1859</v>
      </c>
      <c r="G1586" s="708">
        <f>'Part IV-Uses of Funds'!G90</f>
        <v>3000</v>
      </c>
      <c r="S1586" s="708">
        <f>'Part IV-Uses of Funds'!S90</f>
        <v>0</v>
      </c>
    </row>
    <row r="1587" spans="1:21" ht="12.6" customHeight="1">
      <c r="B1587" s="708" t="s">
        <v>2748</v>
      </c>
      <c r="G1587" s="708">
        <f>'Part IV-Uses of Funds'!G91</f>
        <v>0</v>
      </c>
      <c r="S1587" s="708">
        <f>'Part IV-Uses of Funds'!S91</f>
        <v>0</v>
      </c>
    </row>
    <row r="1588" spans="1:21" ht="12.6" customHeight="1">
      <c r="B1588" s="708" t="s">
        <v>812</v>
      </c>
      <c r="E1588" s="708">
        <f>'DCA Underwriting Assumptions'!$Q$41*$J$165</f>
        <v>0</v>
      </c>
      <c r="G1588" s="708">
        <f>'Part IV-Uses of Funds'!G92</f>
        <v>59696</v>
      </c>
      <c r="S1588" s="708">
        <f>'Part IV-Uses of Funds'!S92</f>
        <v>0</v>
      </c>
    </row>
    <row r="1589" spans="1:21" ht="12.6" customHeight="1">
      <c r="B1589" s="708" t="s">
        <v>1245</v>
      </c>
      <c r="E1589" s="708">
        <f>'Part VI-Revenues &amp; Expenses'!$M$63*'DCA Underwriting Assumptions'!$Q$44</f>
        <v>55300</v>
      </c>
      <c r="G1589" s="708">
        <f>'Part IV-Uses of Funds'!G93</f>
        <v>55300</v>
      </c>
      <c r="S1589" s="708">
        <f>'Part IV-Uses of Funds'!S93</f>
        <v>0</v>
      </c>
    </row>
    <row r="1590" spans="1:21" ht="12.6" customHeight="1">
      <c r="B1590" s="708" t="s">
        <v>716</v>
      </c>
      <c r="G1590" s="708">
        <f>'Part IV-Uses of Funds'!G94</f>
        <v>0</v>
      </c>
      <c r="S1590" s="708">
        <f>'Part IV-Uses of Funds'!S94</f>
        <v>0</v>
      </c>
    </row>
    <row r="1591" spans="1:21" ht="12.6" customHeight="1">
      <c r="B1591" s="708" t="s">
        <v>3553</v>
      </c>
      <c r="G1591" s="708">
        <f>'Part IV-Uses of Funds'!G95</f>
        <v>0</v>
      </c>
      <c r="S1591" s="708">
        <f>'Part IV-Uses of Funds'!S95</f>
        <v>0</v>
      </c>
    </row>
    <row r="1592" spans="1:21" ht="12.6" customHeight="1">
      <c r="A1592" s="708" t="str">
        <f>IF(AND(G1592&gt;0,OR(C1592="",C1592="&lt;Enter detailed description here; use Comments section if needed&gt;")),"X","")</f>
        <v/>
      </c>
      <c r="B1592" s="708" t="s">
        <v>1231</v>
      </c>
      <c r="C1592" s="708">
        <f>'Part IV-Uses of Funds'!C96</f>
        <v>0</v>
      </c>
      <c r="G1592" s="708">
        <f>'Part IV-Uses of Funds'!G96</f>
        <v>0</v>
      </c>
      <c r="S1592" s="708">
        <f>'Part IV-Uses of Funds'!S96</f>
        <v>0</v>
      </c>
      <c r="U1592" s="708" t="str">
        <f>IF(AND(G1592&gt;0,OR(C1592="",C1592="&lt;Enter detailed description here; use Comments section if needed&gt;")),"NO DESCRIPTION PROVIDED - please enter detailed description in Other box at left; use Comments section below if needed.","")</f>
        <v/>
      </c>
    </row>
    <row r="1593" spans="1:21" ht="12.6" customHeight="1">
      <c r="A1593" s="708" t="str">
        <f>IF(AND(G1593&gt;0,OR(C1593="",C1593="&lt;Enter detailed description here; use Comments section if needed&gt;")),"X","")</f>
        <v/>
      </c>
      <c r="B1593" s="708" t="s">
        <v>1231</v>
      </c>
      <c r="C1593" s="708">
        <f>'Part IV-Uses of Funds'!C97</f>
        <v>0</v>
      </c>
      <c r="G1593" s="708">
        <f>'Part IV-Uses of Funds'!G97</f>
        <v>0</v>
      </c>
      <c r="S1593" s="708">
        <f>'Part IV-Uses of Funds'!S97</f>
        <v>0</v>
      </c>
      <c r="U1593" s="708" t="str">
        <f>IF(AND(G1593&gt;0,OR(C1593="",C1593="&lt;Enter detailed description here; use Comments section if needed&gt;")),"NO DESCRIPTION PROVIDED - please enter detailed description in Other box at left; use Comments section below if needed.","")</f>
        <v/>
      </c>
    </row>
    <row r="1594" spans="1:21" ht="12.6" customHeight="1">
      <c r="F1594" s="708" t="s">
        <v>249</v>
      </c>
      <c r="G1594" s="708">
        <f>SUM(G1585:H1593)</f>
        <v>118496</v>
      </c>
      <c r="S1594" s="708">
        <f>SUM(S1585:T1593)</f>
        <v>0</v>
      </c>
    </row>
    <row r="1595" spans="1:21" ht="13.15" customHeight="1">
      <c r="B1595" s="708" t="s">
        <v>3440</v>
      </c>
      <c r="O1595" s="708" t="str">
        <f>B1595</f>
        <v>EQUITY COSTS</v>
      </c>
    </row>
    <row r="1596" spans="1:21" ht="12.6" customHeight="1">
      <c r="B1596" s="708" t="s">
        <v>371</v>
      </c>
      <c r="G1596" s="708">
        <f>'Part IV-Uses of Funds'!G100</f>
        <v>9500</v>
      </c>
      <c r="S1596" s="708">
        <f>'Part IV-Uses of Funds'!S100</f>
        <v>0</v>
      </c>
    </row>
    <row r="1597" spans="1:21" ht="12.6" customHeight="1">
      <c r="B1597" s="708" t="s">
        <v>373</v>
      </c>
      <c r="G1597" s="708">
        <f>'Part IV-Uses of Funds'!G101</f>
        <v>15000</v>
      </c>
      <c r="S1597" s="708">
        <f>'Part IV-Uses of Funds'!S101</f>
        <v>0</v>
      </c>
    </row>
    <row r="1598" spans="1:21" ht="12.6" customHeight="1">
      <c r="B1598" s="708" t="s">
        <v>3615</v>
      </c>
      <c r="G1598" s="708">
        <f>'Part IV-Uses of Funds'!G102</f>
        <v>50000</v>
      </c>
      <c r="S1598" s="708">
        <f>'Part IV-Uses of Funds'!S102</f>
        <v>0</v>
      </c>
    </row>
    <row r="1599" spans="1:21" ht="12.6" customHeight="1">
      <c r="A1599" s="708" t="str">
        <f>IF(AND(G1599&gt;0,OR(C1599="",C1599="&lt;Enter detailed description here; use Comments section if needed&gt;")),"X","")</f>
        <v/>
      </c>
      <c r="B1599" s="708" t="s">
        <v>1231</v>
      </c>
      <c r="C1599" s="708" t="str">
        <f>'Part IV-Uses of Funds'!C103</f>
        <v>Syndicator Construction Monitoring Fee</v>
      </c>
      <c r="G1599" s="708">
        <f>'Part IV-Uses of Funds'!G103</f>
        <v>20000</v>
      </c>
      <c r="S1599" s="708">
        <f>'Part IV-Uses of Funds'!S103</f>
        <v>0</v>
      </c>
      <c r="U1599" s="708" t="str">
        <f>IF(AND(G1599&gt;0,OR(C1599="",C1599="&lt;Enter detailed description here; use Comments section if needed&gt;")),"NO DESCRIPTION PROVIDED - please enter detailed description in Other box at left; use Comments section below if needed.","")</f>
        <v/>
      </c>
    </row>
    <row r="1600" spans="1:21" ht="12.6" customHeight="1">
      <c r="F1600" s="708" t="s">
        <v>249</v>
      </c>
      <c r="G1600" s="708">
        <f>SUM(G1596:H1599)</f>
        <v>94500</v>
      </c>
      <c r="S1600" s="708">
        <f>SUM(S1596:T1599)</f>
        <v>0</v>
      </c>
    </row>
    <row r="1601" spans="1:21" ht="13.15" customHeight="1">
      <c r="B1601" s="708" t="s">
        <v>374</v>
      </c>
      <c r="O1601" s="708" t="str">
        <f>B1601</f>
        <v>DEVELOPER'S FEE</v>
      </c>
    </row>
    <row r="1602" spans="1:21" ht="12.6" customHeight="1">
      <c r="B1602" s="708" t="s">
        <v>2915</v>
      </c>
      <c r="F1602" s="708" t="e">
        <f>G1602/$G$109</f>
        <v>#DIV/0!</v>
      </c>
      <c r="G1602" s="708">
        <f>'Part IV-Uses of Funds'!G106</f>
        <v>150000</v>
      </c>
      <c r="J1602" s="708">
        <f>'Part IV-Uses of Funds'!J106</f>
        <v>150000</v>
      </c>
      <c r="M1602" s="708">
        <f>'Part IV-Uses of Funds'!M106</f>
        <v>0</v>
      </c>
      <c r="P1602" s="708">
        <f>'Part IV-Uses of Funds'!P106</f>
        <v>0</v>
      </c>
      <c r="S1602" s="708">
        <f>'Part IV-Uses of Funds'!S106</f>
        <v>0</v>
      </c>
    </row>
    <row r="1603" spans="1:21" ht="12.6" customHeight="1">
      <c r="B1603" s="708" t="s">
        <v>2916</v>
      </c>
      <c r="F1603" s="708" t="e">
        <f>G1603/$G$109</f>
        <v>#DIV/0!</v>
      </c>
      <c r="G1603" s="708">
        <f>'Part IV-Uses of Funds'!G107</f>
        <v>400000</v>
      </c>
      <c r="J1603" s="708">
        <f>'Part IV-Uses of Funds'!J107</f>
        <v>400000</v>
      </c>
      <c r="M1603" s="708">
        <f>'Part IV-Uses of Funds'!M107</f>
        <v>0</v>
      </c>
      <c r="P1603" s="708">
        <f>'Part IV-Uses of Funds'!P107</f>
        <v>0</v>
      </c>
      <c r="S1603" s="708">
        <f>'Part IV-Uses of Funds'!S107</f>
        <v>0</v>
      </c>
    </row>
    <row r="1604" spans="1:21" ht="12.6" customHeight="1">
      <c r="B1604" s="708" t="s">
        <v>2908</v>
      </c>
      <c r="F1604" s="708" t="e">
        <f>G1604/$G$109</f>
        <v>#DIV/0!</v>
      </c>
      <c r="G1604" s="708">
        <f>'Part IV-Uses of Funds'!G108</f>
        <v>700000</v>
      </c>
      <c r="J1604" s="708">
        <f>'Part IV-Uses of Funds'!J108</f>
        <v>700000</v>
      </c>
      <c r="M1604" s="708">
        <f>'Part IV-Uses of Funds'!M108</f>
        <v>0</v>
      </c>
      <c r="P1604" s="708">
        <f>'Part IV-Uses of Funds'!P108</f>
        <v>0</v>
      </c>
      <c r="S1604" s="708">
        <f>'Part IV-Uses of Funds'!S108</f>
        <v>0</v>
      </c>
    </row>
    <row r="1605" spans="1:21" ht="12.6" customHeight="1">
      <c r="C1605" s="708" t="str">
        <f>IF(G1605&lt;='DCA Underwriting Assumptions'!$Q$46,"","Developer Fee exceeds DCA Program Maximum !!!")</f>
        <v/>
      </c>
      <c r="F1605" s="708" t="s">
        <v>249</v>
      </c>
      <c r="G1605" s="708">
        <f>SUM(G1602:H1604)</f>
        <v>1250000</v>
      </c>
      <c r="J1605" s="708">
        <f>SUM(J1602:K1604)</f>
        <v>1250000</v>
      </c>
      <c r="M1605" s="708">
        <f>SUM(M1602:N1604)</f>
        <v>0</v>
      </c>
      <c r="P1605" s="708">
        <f>SUM(P1602:Q1604)</f>
        <v>0</v>
      </c>
      <c r="S1605" s="708">
        <f>SUM(S1602:T1604)</f>
        <v>0</v>
      </c>
    </row>
    <row r="1606" spans="1:21" ht="13.15" customHeight="1">
      <c r="B1606" s="708" t="s">
        <v>2011</v>
      </c>
      <c r="O1606" s="708" t="str">
        <f>B1606</f>
        <v>START-UP AND RESERVES</v>
      </c>
    </row>
    <row r="1607" spans="1:21" ht="12.6" customHeight="1">
      <c r="B1607" s="708" t="s">
        <v>324</v>
      </c>
      <c r="G1607" s="708">
        <f>'Part IV-Uses of Funds'!G111</f>
        <v>30000</v>
      </c>
      <c r="S1607" s="708">
        <f>'Part IV-Uses of Funds'!S111</f>
        <v>0</v>
      </c>
    </row>
    <row r="1608" spans="1:21" ht="12.6" customHeight="1">
      <c r="B1608" s="708" t="s">
        <v>2288</v>
      </c>
      <c r="G1608" s="708">
        <f>'Part IV-Uses of Funds'!G112</f>
        <v>84717</v>
      </c>
      <c r="S1608" s="708">
        <f>'Part IV-Uses of Funds'!S112</f>
        <v>0</v>
      </c>
    </row>
    <row r="1609" spans="1:21" ht="12.6" customHeight="1">
      <c r="B1609" s="708" t="s">
        <v>1029</v>
      </c>
      <c r="G1609" s="708">
        <f>'Part IV-Uses of Funds'!G113</f>
        <v>205461</v>
      </c>
      <c r="S1609" s="708">
        <f>'Part IV-Uses of Funds'!S113</f>
        <v>0</v>
      </c>
    </row>
    <row r="1610" spans="1:21" ht="12.6" customHeight="1">
      <c r="B1610" s="708" t="s">
        <v>1923</v>
      </c>
      <c r="G1610" s="708">
        <f>'Part IV-Uses of Funds'!G114</f>
        <v>0</v>
      </c>
      <c r="S1610" s="708">
        <f>'Part IV-Uses of Funds'!S114</f>
        <v>0</v>
      </c>
    </row>
    <row r="1611" spans="1:21" ht="12.6" customHeight="1">
      <c r="B1611" s="708" t="s">
        <v>1924</v>
      </c>
      <c r="E1611" s="708" t="s">
        <v>1472</v>
      </c>
      <c r="F1611" s="708">
        <f>G1611/'Part VI-Revenues &amp; Expenses'!$M$63</f>
        <v>500</v>
      </c>
      <c r="G1611" s="708">
        <f>'Part IV-Uses of Funds'!G115</f>
        <v>39500</v>
      </c>
      <c r="J1611" s="708">
        <f>'Part IV-Uses of Funds'!J115</f>
        <v>39500</v>
      </c>
      <c r="M1611" s="708">
        <f>'Part IV-Uses of Funds'!M115</f>
        <v>0</v>
      </c>
      <c r="P1611" s="708">
        <f>'Part IV-Uses of Funds'!P115</f>
        <v>0</v>
      </c>
      <c r="S1611" s="708">
        <f>'Part IV-Uses of Funds'!S115</f>
        <v>0</v>
      </c>
    </row>
    <row r="1612" spans="1:21" ht="12.6" customHeight="1">
      <c r="A1612" s="708" t="str">
        <f>IF(AND(G1612&gt;0,OR(C1612="",C1612="&lt;Enter detailed description here; use Comments section if needed&gt;")),"X","")</f>
        <v/>
      </c>
      <c r="B1612" s="708" t="s">
        <v>1231</v>
      </c>
      <c r="C1612" s="708">
        <f>'Part IV-Uses of Funds'!C116</f>
        <v>0</v>
      </c>
      <c r="G1612" s="708">
        <f>'Part IV-Uses of Funds'!G116</f>
        <v>0</v>
      </c>
      <c r="J1612" s="708">
        <f>'Part IV-Uses of Funds'!J116</f>
        <v>0</v>
      </c>
      <c r="M1612" s="708">
        <f>'Part IV-Uses of Funds'!M116</f>
        <v>0</v>
      </c>
      <c r="P1612" s="708">
        <f>'Part IV-Uses of Funds'!P116</f>
        <v>0</v>
      </c>
      <c r="S1612" s="708">
        <f>'Part IV-Uses of Funds'!S116</f>
        <v>0</v>
      </c>
      <c r="U1612" s="708" t="str">
        <f>IF(AND(G1612&gt;0,OR(C1612="",C1612="&lt;Enter detailed description here; use Comments section if needed&gt;")),"NO DESCRIPTION PROVIDED - please enter detailed description in Other box at left; use Comments section below if needed.","")</f>
        <v/>
      </c>
    </row>
    <row r="1613" spans="1:21" ht="12.6" customHeight="1">
      <c r="F1613" s="708" t="s">
        <v>249</v>
      </c>
      <c r="G1613" s="708">
        <f>SUM(G1607:H1612)</f>
        <v>359678</v>
      </c>
      <c r="J1613" s="708">
        <f>SUM(J1611:K1612)</f>
        <v>39500</v>
      </c>
      <c r="M1613" s="708">
        <f>SUM(M1611:N1612)</f>
        <v>0</v>
      </c>
      <c r="P1613" s="708">
        <f>SUM(P1611:Q1612)</f>
        <v>0</v>
      </c>
      <c r="S1613" s="708">
        <f>SUM(S1607:T1612)</f>
        <v>0</v>
      </c>
    </row>
    <row r="1614" spans="1:21" ht="13.15" customHeight="1">
      <c r="B1614" s="708" t="s">
        <v>944</v>
      </c>
      <c r="O1614" s="708" t="str">
        <f>B1614</f>
        <v>OTHER COSTS</v>
      </c>
    </row>
    <row r="1615" spans="1:21" ht="12.6" customHeight="1">
      <c r="B1615" s="708" t="s">
        <v>945</v>
      </c>
      <c r="G1615" s="708">
        <f>'Part IV-Uses of Funds'!G119</f>
        <v>0</v>
      </c>
      <c r="J1615" s="708">
        <f>'Part IV-Uses of Funds'!J119</f>
        <v>0</v>
      </c>
      <c r="M1615" s="708">
        <f>'Part IV-Uses of Funds'!M119</f>
        <v>0</v>
      </c>
      <c r="P1615" s="708">
        <f>'Part IV-Uses of Funds'!P119</f>
        <v>0</v>
      </c>
      <c r="S1615" s="708">
        <f>'Part IV-Uses of Funds'!S119</f>
        <v>0</v>
      </c>
    </row>
    <row r="1616" spans="1:21" ht="12.6" customHeight="1">
      <c r="A1616" s="708" t="str">
        <f>IF(AND(G1616&gt;0,OR(C1616="",C1616="&lt;Enter detailed description here; use Comments section if needed&gt;")),"X","")</f>
        <v/>
      </c>
      <c r="B1616" s="708" t="s">
        <v>1231</v>
      </c>
      <c r="C1616" s="708" t="str">
        <f>'Part IV-Uses of Funds'!C120</f>
        <v>Site lighting &amp; underground cable and electric, installed by City of Forsyth</v>
      </c>
      <c r="G1616" s="708">
        <f>'Part IV-Uses of Funds'!G120</f>
        <v>83502</v>
      </c>
      <c r="J1616" s="708">
        <f>'Part IV-Uses of Funds'!J120</f>
        <v>83502</v>
      </c>
      <c r="M1616" s="708">
        <f>'Part IV-Uses of Funds'!M120</f>
        <v>0</v>
      </c>
      <c r="P1616" s="708">
        <f>'Part IV-Uses of Funds'!P120</f>
        <v>0</v>
      </c>
      <c r="S1616" s="708">
        <f>'Part IV-Uses of Funds'!S120</f>
        <v>0</v>
      </c>
      <c r="U1616" s="708" t="str">
        <f>IF(AND(G1616&gt;0,OR(C1616="",C1616="&lt;Enter detailed description here; use Comments section if needed&gt;")),"NO DESCRIPTION PROVIDED - please enter detailed description in Other box at left; use Comments section below if needed.","")</f>
        <v/>
      </c>
    </row>
    <row r="1617" spans="1:19" ht="12.6" customHeight="1">
      <c r="F1617" s="708" t="s">
        <v>249</v>
      </c>
      <c r="G1617" s="708">
        <f>SUM(G1615:H1616)</f>
        <v>83502</v>
      </c>
      <c r="J1617" s="708">
        <f>SUM(J1615:K1616)</f>
        <v>83502</v>
      </c>
      <c r="M1617" s="708">
        <f>SUM(M1615:N1616)</f>
        <v>0</v>
      </c>
      <c r="P1617" s="708">
        <f>SUM(P1615:Q1616)</f>
        <v>0</v>
      </c>
      <c r="S1617" s="708">
        <f>SUM(S1615:T1616)</f>
        <v>0</v>
      </c>
    </row>
    <row r="1618" spans="1:19" ht="3.4" customHeight="1"/>
    <row r="1619" spans="1:19" ht="13.9" customHeight="1">
      <c r="B1619" s="708" t="s">
        <v>375</v>
      </c>
      <c r="G1619" s="708">
        <f>G1513+G1519+G1523+G1528+G1532+G1538+G1552+G1564+G1570+G1579+G1594+G1600+G1605+G1613+G1617</f>
        <v>10430469</v>
      </c>
      <c r="J1619" s="708">
        <f>J1513+J1519+J1523+J1528+J1532+J1538+J1552+J1564+J1570+J1579+J1594+J1600+J1605+J1613+J1617</f>
        <v>9476130</v>
      </c>
      <c r="M1619" s="708">
        <f>M1513+M1519+M1523+M1528+M1532+M1538+M1552+M1564+M1570+M1579+M1594+M1600+M1605+M1613+M1617</f>
        <v>0</v>
      </c>
      <c r="P1619" s="708">
        <f>P1513+P1519+P1523+P1528+P1532+P1538+P1552+P1564+P1570+P1579+P1594+P1600+P1605+P1613+P1617</f>
        <v>0</v>
      </c>
      <c r="S1619" s="708">
        <f>S1513+S1519+S1523+S1528+S1532+S1538+S1552+S1564+S1570+S1579+S1594+S1600+S1605+S1613+S1617</f>
        <v>0</v>
      </c>
    </row>
    <row r="1620" spans="1:19" ht="3.4" customHeight="1"/>
    <row r="1621" spans="1:19" ht="13.9" customHeight="1">
      <c r="B1621" s="708" t="s">
        <v>3895</v>
      </c>
      <c r="D1621" s="708">
        <f>IF(AND($T$155 = "Yes", 'Part IX A-Scoring Criteria'!$O$176 &gt; 0),'DCA Underwriting Assumptions'!$R$13, IF(AND('Part IV-Uses of Funds'!$T$156="Yes", 'Part IX A-Scoring Criteria'!$O$74&gt;0),'DCA Underwriting Assumptions'!$R$12, 'DCA Underwriting Assumptions'!$R$11))</f>
        <v>12824553</v>
      </c>
      <c r="F1621" s="708" t="s">
        <v>1039</v>
      </c>
      <c r="G1621" s="708">
        <f>G1619/'Part VI-Revenues &amp; Expenses'!$M$63</f>
        <v>132031.25316455695</v>
      </c>
      <c r="J1621" s="708" t="s">
        <v>1040</v>
      </c>
      <c r="M1621" s="708">
        <f>G1619/'Part VI-Revenues &amp; Expenses'!$M$98</f>
        <v>136.79303606557377</v>
      </c>
    </row>
    <row r="1622" spans="1:19" ht="3.4" customHeight="1"/>
    <row r="1623" spans="1:19" ht="3.6" customHeight="1"/>
    <row r="1624" spans="1:19" ht="26.1" customHeight="1">
      <c r="A1624" s="708" t="s">
        <v>1230</v>
      </c>
      <c r="B1624" s="708" t="s">
        <v>2146</v>
      </c>
      <c r="J1624" s="708" t="s">
        <v>359</v>
      </c>
      <c r="M1624" s="708" t="s">
        <v>114</v>
      </c>
      <c r="P1624" s="708" t="s">
        <v>360</v>
      </c>
    </row>
    <row r="1625" spans="1:19" ht="15" customHeight="1">
      <c r="B1625" s="708" t="s">
        <v>3136</v>
      </c>
    </row>
    <row r="1626" spans="1:19" ht="6" customHeight="1"/>
    <row r="1627" spans="1:19" ht="13.9" customHeight="1">
      <c r="B1627" s="708" t="s">
        <v>185</v>
      </c>
      <c r="J1627" s="708">
        <f>'Part IV-Uses of Funds'!J131</f>
        <v>0</v>
      </c>
      <c r="P1627" s="708">
        <f>'Part IV-Uses of Funds'!P131</f>
        <v>0</v>
      </c>
    </row>
    <row r="1628" spans="1:19" ht="13.9" customHeight="1">
      <c r="B1628" s="708" t="s">
        <v>3256</v>
      </c>
      <c r="J1628" s="708">
        <f>'Part IV-Uses of Funds'!J132</f>
        <v>0</v>
      </c>
      <c r="P1628" s="708">
        <f>'Part IV-Uses of Funds'!P132</f>
        <v>0</v>
      </c>
    </row>
    <row r="1629" spans="1:19" ht="13.9" customHeight="1">
      <c r="B1629" s="708" t="s">
        <v>2918</v>
      </c>
      <c r="J1629" s="708">
        <f>'Part IV-Uses of Funds'!J133</f>
        <v>0</v>
      </c>
      <c r="P1629" s="708">
        <f>'Part IV-Uses of Funds'!P133</f>
        <v>0</v>
      </c>
    </row>
    <row r="1630" spans="1:19" ht="13.9" customHeight="1">
      <c r="B1630" s="708" t="s">
        <v>2919</v>
      </c>
      <c r="J1630" s="708">
        <f>'Part IV-Uses of Funds'!J134</f>
        <v>0</v>
      </c>
      <c r="P1630" s="708">
        <f>'Part IV-Uses of Funds'!P134</f>
        <v>0</v>
      </c>
    </row>
    <row r="1631" spans="1:19" ht="13.9" customHeight="1">
      <c r="B1631" s="708" t="s">
        <v>329</v>
      </c>
      <c r="J1631" s="708">
        <f>'Part IV-Uses of Funds'!J135</f>
        <v>0</v>
      </c>
      <c r="P1631" s="708">
        <f>'Part IV-Uses of Funds'!P135</f>
        <v>0</v>
      </c>
    </row>
    <row r="1632" spans="1:19" ht="13.9" customHeight="1">
      <c r="B1632" s="708" t="s">
        <v>2364</v>
      </c>
      <c r="C1632" s="708">
        <f>'Part IV-Uses of Funds'!C136</f>
        <v>0</v>
      </c>
      <c r="J1632" s="708">
        <f>'Part IV-Uses of Funds'!J136</f>
        <v>0</v>
      </c>
      <c r="P1632" s="708">
        <f>'Part IV-Uses of Funds'!P136</f>
        <v>0</v>
      </c>
    </row>
    <row r="1633" spans="1:19" ht="13.9" customHeight="1">
      <c r="B1633" s="708" t="s">
        <v>2920</v>
      </c>
      <c r="J1633" s="708">
        <f>SUM(J1627:K1632)</f>
        <v>0</v>
      </c>
      <c r="P1633" s="708">
        <f>SUM(P1627:Q1632)</f>
        <v>0</v>
      </c>
    </row>
    <row r="1634" spans="1:19" ht="3.4" customHeight="1"/>
    <row r="1635" spans="1:19" ht="15" customHeight="1">
      <c r="B1635" s="708" t="s">
        <v>3488</v>
      </c>
    </row>
    <row r="1636" spans="1:19" ht="13.9" customHeight="1">
      <c r="B1636" s="708" t="s">
        <v>2822</v>
      </c>
      <c r="J1636" s="708">
        <f>J1619</f>
        <v>9476130</v>
      </c>
      <c r="M1636" s="708">
        <f>M1619</f>
        <v>0</v>
      </c>
      <c r="P1636" s="708">
        <f>P1619</f>
        <v>0</v>
      </c>
    </row>
    <row r="1637" spans="1:19" ht="13.9" customHeight="1">
      <c r="B1637" s="708" t="s">
        <v>3344</v>
      </c>
      <c r="J1637" s="708">
        <f>J1633</f>
        <v>0</v>
      </c>
      <c r="P1637" s="708">
        <f>P1633</f>
        <v>0</v>
      </c>
    </row>
    <row r="1638" spans="1:19" ht="13.9" customHeight="1">
      <c r="B1638" s="708" t="s">
        <v>3345</v>
      </c>
      <c r="J1638" s="708">
        <f>J1636-J1637</f>
        <v>9476130</v>
      </c>
      <c r="M1638" s="708">
        <f>M1636</f>
        <v>0</v>
      </c>
      <c r="P1638" s="708">
        <f>P1636-P1637</f>
        <v>0</v>
      </c>
    </row>
    <row r="1639" spans="1:19" ht="13.9" customHeight="1">
      <c r="B1639" s="708" t="s">
        <v>2229</v>
      </c>
      <c r="G1639" s="708" t="s">
        <v>2735</v>
      </c>
      <c r="H1639" s="708" t="str">
        <f>'Part IV-Uses of Funds'!H143</f>
        <v>&lt;&lt;Select&gt;&gt;</v>
      </c>
      <c r="J1639" s="708">
        <f>'Part IV-Uses of Funds'!J143</f>
        <v>1</v>
      </c>
      <c r="P1639" s="708">
        <f>'Part IV-Uses of Funds'!P143</f>
        <v>0</v>
      </c>
    </row>
    <row r="1640" spans="1:19" ht="13.9" customHeight="1">
      <c r="B1640" s="708" t="s">
        <v>3150</v>
      </c>
      <c r="J1640" s="708">
        <f>J1638*J1639</f>
        <v>9476130</v>
      </c>
      <c r="M1640" s="708">
        <f>+M1638</f>
        <v>0</v>
      </c>
      <c r="P1640" s="708">
        <f>P1638*P1639</f>
        <v>0</v>
      </c>
    </row>
    <row r="1641" spans="1:19" ht="13.9" customHeight="1">
      <c r="B1641" s="708" t="s">
        <v>3839</v>
      </c>
      <c r="J1641" s="708">
        <f>MIN('Part VI-Revenues &amp; Expenses'!$M$59/'Part VI-Revenues &amp; Expenses'!$M$61,'Part VI-Revenues &amp; Expenses'!$M$94/'Part VI-Revenues &amp; Expenses'!$M$96)</f>
        <v>1</v>
      </c>
      <c r="M1641" s="708">
        <f>MIN('Part VI-Revenues &amp; Expenses'!$M$59/'Part VI-Revenues &amp; Expenses'!$M$61,'Part VI-Revenues &amp; Expenses'!$M$94/'Part VI-Revenues &amp; Expenses'!$M$96)</f>
        <v>1</v>
      </c>
      <c r="P1641" s="708">
        <f>MIN('Part VI-Revenues &amp; Expenses'!$M$59/'Part VI-Revenues &amp; Expenses'!$M$61,'Part VI-Revenues &amp; Expenses'!$M$94/'Part VI-Revenues &amp; Expenses'!$M$96)</f>
        <v>1</v>
      </c>
    </row>
    <row r="1642" spans="1:19" ht="13.9" customHeight="1">
      <c r="B1642" s="708" t="s">
        <v>3137</v>
      </c>
      <c r="J1642" s="708">
        <f>J1640*J1641</f>
        <v>9476130</v>
      </c>
      <c r="M1642" s="708">
        <f>M1640*M1641</f>
        <v>0</v>
      </c>
      <c r="P1642" s="708">
        <f>P1640*P1641</f>
        <v>0</v>
      </c>
    </row>
    <row r="1643" spans="1:19" ht="13.9" customHeight="1">
      <c r="B1643" s="708" t="s">
        <v>3138</v>
      </c>
      <c r="J1643" s="708">
        <f>'Part IV-Uses of Funds'!J147</f>
        <v>0.09</v>
      </c>
      <c r="M1643" s="708">
        <f>'Part IV-Uses of Funds'!M147</f>
        <v>0</v>
      </c>
      <c r="P1643" s="708">
        <f>'Part IV-Uses of Funds'!P147</f>
        <v>0</v>
      </c>
    </row>
    <row r="1644" spans="1:19" ht="13.9" customHeight="1">
      <c r="B1644" s="708" t="s">
        <v>3840</v>
      </c>
      <c r="J1644" s="708">
        <f>J1642*J1643</f>
        <v>852851.7</v>
      </c>
      <c r="M1644" s="708">
        <f>M1642*M1643</f>
        <v>0</v>
      </c>
      <c r="P1644" s="708">
        <f>P1642*P1643</f>
        <v>0</v>
      </c>
    </row>
    <row r="1645" spans="1:19" ht="13.9" customHeight="1">
      <c r="B1645" s="708" t="s">
        <v>2144</v>
      </c>
      <c r="J1645" s="708">
        <f>J1644+M1644+P1644</f>
        <v>852851.7</v>
      </c>
    </row>
    <row r="1646" spans="1:19" ht="6" customHeight="1"/>
    <row r="1647" spans="1:19" ht="15" customHeight="1">
      <c r="A1647" s="708" t="s">
        <v>1232</v>
      </c>
      <c r="B1647" s="708" t="s">
        <v>2147</v>
      </c>
      <c r="J1647" s="708" t="s">
        <v>345</v>
      </c>
      <c r="M1647" s="708" t="str">
        <f>IF(J1649&gt;D1621,"TDC exceeds PUCL!","")</f>
        <v/>
      </c>
      <c r="S1647" s="708" t="s">
        <v>2651</v>
      </c>
    </row>
    <row r="1648" spans="1:19" ht="15" customHeight="1">
      <c r="B1648" s="708" t="s">
        <v>231</v>
      </c>
      <c r="J1648" s="708">
        <f>MIN(G1619,D1621)</f>
        <v>10430469</v>
      </c>
      <c r="M1648" s="708" t="s">
        <v>3645</v>
      </c>
    </row>
    <row r="1649" spans="1:20" ht="13.9" customHeight="1">
      <c r="B1649" s="708" t="s">
        <v>3604</v>
      </c>
      <c r="J1649" s="708">
        <f>'Part IV-Uses of Funds'!J153</f>
        <v>10430469</v>
      </c>
    </row>
    <row r="1650" spans="1:20" ht="13.9" customHeight="1">
      <c r="B1650" s="708" t="s">
        <v>341</v>
      </c>
      <c r="J1650" s="709">
        <f>'Part III A-Sources of Funds'!$H$49-'Part III A-Sources of Funds'!$H$37-'Part III A-Sources of Funds'!$H$40-'Part III A-Sources of Funds'!$H$41</f>
        <v>1540029</v>
      </c>
      <c r="T1650" s="708" t="s">
        <v>344</v>
      </c>
    </row>
    <row r="1651" spans="1:20" ht="13.9" customHeight="1">
      <c r="B1651" s="708" t="s">
        <v>3357</v>
      </c>
      <c r="J1651" s="708">
        <f>+J1649-J1650</f>
        <v>8890440</v>
      </c>
      <c r="M1651" s="708" t="s">
        <v>342</v>
      </c>
      <c r="O1651" s="708" t="s">
        <v>2653</v>
      </c>
      <c r="S1651" s="708" t="s">
        <v>2652</v>
      </c>
      <c r="T1651" s="708" t="str">
        <f>'Part IV-Uses of Funds'!T155</f>
        <v>No</v>
      </c>
    </row>
    <row r="1652" spans="1:20" ht="13.9" customHeight="1">
      <c r="B1652" s="708" t="s">
        <v>1987</v>
      </c>
      <c r="J1652" s="708" t="str">
        <f>"/ 10"</f>
        <v>/ 10</v>
      </c>
      <c r="M1652" s="708">
        <f>'Part IV-Uses of Funds'!M156</f>
        <v>0</v>
      </c>
      <c r="O1652" s="708">
        <f>'Part IV-Uses of Funds'!O156</f>
        <v>0</v>
      </c>
      <c r="S1652" s="708" t="s">
        <v>343</v>
      </c>
      <c r="T1652" s="708" t="str">
        <f>'Part IV-Uses of Funds'!T156</f>
        <v>No</v>
      </c>
    </row>
    <row r="1653" spans="1:20" ht="13.9" customHeight="1">
      <c r="B1653" s="708" t="s">
        <v>1988</v>
      </c>
      <c r="J1653" s="708">
        <f>J1651/10</f>
        <v>889044</v>
      </c>
      <c r="N1653" s="708" t="s">
        <v>1989</v>
      </c>
      <c r="Q1653" s="708" t="s">
        <v>2831</v>
      </c>
    </row>
    <row r="1654" spans="1:20" ht="13.9" customHeight="1">
      <c r="B1654" s="708" t="s">
        <v>4094</v>
      </c>
      <c r="J1654" s="708">
        <f>N1654+Q1654</f>
        <v>1.0425</v>
      </c>
      <c r="M1654" s="708" t="s">
        <v>1990</v>
      </c>
      <c r="N1654" s="708">
        <f>'Part IV-Uses of Funds'!N158</f>
        <v>0.76249999999999996</v>
      </c>
      <c r="P1654" s="708" t="s">
        <v>946</v>
      </c>
      <c r="Q1654" s="708">
        <f>'Part IV-Uses of Funds'!Q158</f>
        <v>0.28000000000000003</v>
      </c>
    </row>
    <row r="1655" spans="1:20" ht="13.9" customHeight="1">
      <c r="B1655" s="708" t="s">
        <v>2145</v>
      </c>
      <c r="J1655" s="708">
        <f>IF(J1654=0,"",J1653/J1654)</f>
        <v>852800</v>
      </c>
    </row>
    <row r="1656" spans="1:20" ht="9" customHeight="1"/>
    <row r="1657" spans="1:20" ht="16.149999999999999" customHeight="1">
      <c r="B1657" s="708" t="s">
        <v>3605</v>
      </c>
      <c r="J1657" s="708">
        <f>+MIN(J1645,J1655,'DCA Underwriting Assumptions'!$R$6)</f>
        <v>852800</v>
      </c>
    </row>
    <row r="1658" spans="1:20" ht="9.75" customHeight="1"/>
    <row r="1659" spans="1:20" ht="16.149999999999999" customHeight="1">
      <c r="B1659" s="708" t="s">
        <v>3606</v>
      </c>
      <c r="J1659" s="708">
        <f>'Part IV-Uses of Funds'!J163</f>
        <v>852800</v>
      </c>
      <c r="M1659" s="708" t="str">
        <f>IF(J1659&gt;J1657,"ALLOCATION CANNOT EXCEED MAXIMUM - REVISE ALLOCATION!","")</f>
        <v/>
      </c>
    </row>
    <row r="1660" spans="1:20" ht="9.75" customHeight="1"/>
    <row r="1661" spans="1:20" ht="16.149999999999999" customHeight="1">
      <c r="A1661" s="708" t="s">
        <v>2824</v>
      </c>
      <c r="B1661" s="708" t="s">
        <v>3607</v>
      </c>
      <c r="J1661" s="708">
        <f>+MIN(J1657,J1659)</f>
        <v>852800</v>
      </c>
    </row>
    <row r="1662" spans="1:20" ht="3.4" customHeight="1"/>
    <row r="1663" spans="1:20" ht="6" customHeight="1"/>
    <row r="1664" spans="1:20" ht="12.4" customHeight="1">
      <c r="A1664" s="708" t="s">
        <v>2826</v>
      </c>
      <c r="B1664" s="708" t="s">
        <v>880</v>
      </c>
      <c r="K1664" s="708" t="s">
        <v>823</v>
      </c>
      <c r="L1664" s="708" t="s">
        <v>89</v>
      </c>
    </row>
    <row r="1665" spans="1:12" ht="107.65" customHeight="1">
      <c r="A1665" s="708" t="str">
        <f>'Part IV-Uses of Funds'!A169</f>
        <v xml:space="preserve">Construction Hard Costs estimated by The Paradigm Group.    The "Accounting" line item includes the cost of the Contractor's Cost Certification, per DCA clarification that this item is to be paid for from the Development funds.  Syndicator Fees are based on the LOI from Hunt Capital.    The Building Permit fees are based on information from the City of Forsyth, dated June 2011. </v>
      </c>
      <c r="K1665" s="708">
        <f>'Part IV-Uses of Funds'!K169</f>
        <v>0</v>
      </c>
    </row>
    <row r="1666" spans="1:12" ht="107.65" customHeight="1">
      <c r="A1666" s="708" t="str">
        <f>'Part IV-Uses of Funds'!A170</f>
        <v>OTHER costs are for the cost to the owner for installation of site lighting by the City of Forsyth ($17,443), as well as for underground electric and cable, also installed by the City of Forsyth ($66,059).</v>
      </c>
      <c r="K1666" s="708">
        <f>'Part IV-Uses of Funds'!K170</f>
        <v>0</v>
      </c>
    </row>
    <row r="1667" spans="1:12" ht="107.65" customHeight="1">
      <c r="A1667" s="708" t="str">
        <f>'Part IV-Uses of Funds'!A171</f>
        <v>All budget line items are supported by third party quotes, proposals and/or our historical experience from 12 previous developments.</v>
      </c>
      <c r="K1667" s="708">
        <f>'Part IV-Uses of Funds'!K171</f>
        <v>0</v>
      </c>
    </row>
    <row r="1668" spans="1:12" ht="107.65" customHeight="1">
      <c r="A1668" s="708">
        <f>'Part IV-Uses of Funds'!A172</f>
        <v>0</v>
      </c>
      <c r="K1668" s="708">
        <f>'Part IV-Uses of Funds'!K172</f>
        <v>0</v>
      </c>
    </row>
    <row r="1669" spans="1:12" ht="11.25" customHeight="1"/>
    <row r="1670" spans="1:12" ht="12.4" customHeight="1"/>
    <row r="1673" spans="1:12">
      <c r="A1673" s="708" t="str">
        <f>CONCATENATE("PART FIVE - UTILITY ALLOWANCES","  -  ",'Part I-Project Information'!$O$4," ",'Part I-Project Information'!$F$22,", ",'Part I-Project Information'!F1692,", ",'Part I-Project Information'!J1693," County")</f>
        <v>PART FIVE - UTILITY ALLOWANCES  -  2011-044 Brentwood Place Apartments, ,  County</v>
      </c>
    </row>
    <row r="1675" spans="1:12">
      <c r="F1675" s="708" t="s">
        <v>807</v>
      </c>
      <c r="I1675" s="708" t="str">
        <f>VLOOKUP('Part I-Project Information'!$J$25,'Part I-Project Information'!$C$183:$D$342,2)</f>
        <v>Middle</v>
      </c>
    </row>
    <row r="1677" spans="1:12">
      <c r="A1677" s="708" t="s">
        <v>951</v>
      </c>
      <c r="B1677" s="708" t="s">
        <v>3352</v>
      </c>
      <c r="F1677" s="708" t="s">
        <v>3805</v>
      </c>
      <c r="I1677" s="708" t="str">
        <f>'Part V-Utility Allowances'!I5</f>
        <v>DCA Middle Region</v>
      </c>
    </row>
    <row r="1678" spans="1:12">
      <c r="F1678" s="708" t="s">
        <v>973</v>
      </c>
      <c r="I1678" s="708">
        <f>'Part V-Utility Allowances'!I6</f>
        <v>40695</v>
      </c>
      <c r="K1678" s="708" t="s">
        <v>834</v>
      </c>
      <c r="L1678" s="708" t="str">
        <f>'Part V-Utility Allowances'!L6</f>
        <v>3+ Story</v>
      </c>
    </row>
    <row r="1680" spans="1:12">
      <c r="F1680" s="708" t="s">
        <v>943</v>
      </c>
      <c r="I1680" s="708" t="s">
        <v>258</v>
      </c>
    </row>
    <row r="1681" spans="1:13">
      <c r="B1681" s="708" t="s">
        <v>1381</v>
      </c>
      <c r="D1681" s="708" t="s">
        <v>2362</v>
      </c>
      <c r="F1681" s="708" t="s">
        <v>979</v>
      </c>
      <c r="G1681" s="708" t="s">
        <v>2904</v>
      </c>
      <c r="I1681" s="708">
        <v>0</v>
      </c>
      <c r="J1681" s="708">
        <v>1</v>
      </c>
      <c r="K1681" s="708">
        <v>2</v>
      </c>
      <c r="L1681" s="708">
        <v>3</v>
      </c>
      <c r="M1681" s="708">
        <v>4</v>
      </c>
    </row>
    <row r="1682" spans="1:13">
      <c r="B1682" s="708" t="s">
        <v>2906</v>
      </c>
      <c r="D1682" s="708" t="str">
        <f>'Part V-Utility Allowances'!D10</f>
        <v>Electric Heat Pump</v>
      </c>
      <c r="F1682" s="708" t="str">
        <f>'Part V-Utility Allowances'!F10</f>
        <v>X</v>
      </c>
      <c r="G1682" s="708">
        <f>'Part V-Utility Allowances'!G10</f>
        <v>0</v>
      </c>
      <c r="I1682" s="708">
        <f>'Part V-Utility Allowances'!I10</f>
        <v>0</v>
      </c>
      <c r="J1682" s="708">
        <f>'Part V-Utility Allowances'!J10</f>
        <v>7</v>
      </c>
      <c r="K1682" s="708">
        <f>'Part V-Utility Allowances'!K10</f>
        <v>9</v>
      </c>
      <c r="L1682" s="708">
        <f>'Part V-Utility Allowances'!L10</f>
        <v>13</v>
      </c>
      <c r="M1682" s="708">
        <f>'Part V-Utility Allowances'!M10</f>
        <v>0</v>
      </c>
    </row>
    <row r="1683" spans="1:13">
      <c r="B1683" s="708" t="s">
        <v>687</v>
      </c>
      <c r="D1683" s="708" t="s">
        <v>2358</v>
      </c>
      <c r="F1683" s="708" t="str">
        <f>'Part V-Utility Allowances'!F11</f>
        <v>X</v>
      </c>
      <c r="G1683" s="708">
        <f>'Part V-Utility Allowances'!G11</f>
        <v>0</v>
      </c>
      <c r="I1683" s="708">
        <f>'Part V-Utility Allowances'!I11</f>
        <v>0</v>
      </c>
      <c r="J1683" s="708">
        <f>'Part V-Utility Allowances'!J11</f>
        <v>32</v>
      </c>
      <c r="K1683" s="708">
        <f>'Part V-Utility Allowances'!K11</f>
        <v>41</v>
      </c>
      <c r="L1683" s="708">
        <f>'Part V-Utility Allowances'!L11</f>
        <v>49</v>
      </c>
      <c r="M1683" s="708">
        <f>'Part V-Utility Allowances'!M11</f>
        <v>0</v>
      </c>
    </row>
    <row r="1684" spans="1:13">
      <c r="B1684" s="708" t="s">
        <v>2359</v>
      </c>
      <c r="D1684" s="708" t="str">
        <f>'Part V-Utility Allowances'!D12</f>
        <v>Electric</v>
      </c>
      <c r="F1684" s="708" t="str">
        <f>'Part V-Utility Allowances'!F12</f>
        <v>X</v>
      </c>
      <c r="G1684" s="708">
        <f>'Part V-Utility Allowances'!G12</f>
        <v>0</v>
      </c>
      <c r="I1684" s="708">
        <f>'Part V-Utility Allowances'!I12</f>
        <v>0</v>
      </c>
      <c r="J1684" s="708">
        <f>'Part V-Utility Allowances'!J12</f>
        <v>9</v>
      </c>
      <c r="K1684" s="708">
        <f>'Part V-Utility Allowances'!K12</f>
        <v>12</v>
      </c>
      <c r="L1684" s="708">
        <f>'Part V-Utility Allowances'!L12</f>
        <v>14</v>
      </c>
      <c r="M1684" s="708">
        <f>'Part V-Utility Allowances'!M12</f>
        <v>0</v>
      </c>
    </row>
    <row r="1685" spans="1:13">
      <c r="B1685" s="708" t="s">
        <v>2360</v>
      </c>
      <c r="D1685" s="708" t="str">
        <f>'Part V-Utility Allowances'!D13</f>
        <v>Electric</v>
      </c>
      <c r="F1685" s="708" t="str">
        <f>'Part V-Utility Allowances'!F13</f>
        <v>X</v>
      </c>
      <c r="G1685" s="708">
        <f>'Part V-Utility Allowances'!G13</f>
        <v>0</v>
      </c>
      <c r="I1685" s="708">
        <f>'Part V-Utility Allowances'!I13</f>
        <v>0</v>
      </c>
      <c r="J1685" s="708">
        <f>'Part V-Utility Allowances'!J13</f>
        <v>28</v>
      </c>
      <c r="K1685" s="708">
        <f>'Part V-Utility Allowances'!K13</f>
        <v>36</v>
      </c>
      <c r="L1685" s="708">
        <f>'Part V-Utility Allowances'!L13</f>
        <v>44</v>
      </c>
      <c r="M1685" s="708">
        <f>'Part V-Utility Allowances'!M13</f>
        <v>0</v>
      </c>
    </row>
    <row r="1686" spans="1:13">
      <c r="B1686" s="708" t="s">
        <v>2361</v>
      </c>
      <c r="D1686" s="708" t="s">
        <v>2358</v>
      </c>
      <c r="F1686" s="708" t="str">
        <f>'Part V-Utility Allowances'!F14</f>
        <v>X</v>
      </c>
      <c r="G1686" s="708">
        <f>'Part V-Utility Allowances'!G14</f>
        <v>0</v>
      </c>
      <c r="I1686" s="708">
        <f>'Part V-Utility Allowances'!I14</f>
        <v>0</v>
      </c>
      <c r="J1686" s="708">
        <f>'Part V-Utility Allowances'!J14</f>
        <v>26</v>
      </c>
      <c r="K1686" s="708">
        <f>'Part V-Utility Allowances'!K14</f>
        <v>33</v>
      </c>
      <c r="L1686" s="708">
        <f>'Part V-Utility Allowances'!L14</f>
        <v>41</v>
      </c>
      <c r="M1686" s="708">
        <f>'Part V-Utility Allowances'!M14</f>
        <v>0</v>
      </c>
    </row>
    <row r="1687" spans="1:13">
      <c r="B1687" s="708" t="s">
        <v>2073</v>
      </c>
      <c r="D1687" s="708" t="s">
        <v>3351</v>
      </c>
      <c r="E1687" s="708" t="str">
        <f>'Part V-Utility Allowances'!E15</f>
        <v>No</v>
      </c>
      <c r="F1687" s="708">
        <f>'Part V-Utility Allowances'!F15</f>
        <v>0</v>
      </c>
      <c r="G1687" s="708" t="str">
        <f>'Part V-Utility Allowances'!G15</f>
        <v>X</v>
      </c>
      <c r="I1687" s="708">
        <f>'Part V-Utility Allowances'!I15</f>
        <v>0</v>
      </c>
      <c r="J1687" s="708">
        <f>'Part V-Utility Allowances'!J15</f>
        <v>0</v>
      </c>
      <c r="K1687" s="708">
        <f>'Part V-Utility Allowances'!K15</f>
        <v>0</v>
      </c>
      <c r="L1687" s="708">
        <f>'Part V-Utility Allowances'!L15</f>
        <v>0</v>
      </c>
      <c r="M1687" s="708">
        <f>'Part V-Utility Allowances'!M15</f>
        <v>0</v>
      </c>
    </row>
    <row r="1688" spans="1:13">
      <c r="B1688" s="708" t="s">
        <v>2905</v>
      </c>
      <c r="F1688" s="708">
        <f>'Part V-Utility Allowances'!F16</f>
        <v>0</v>
      </c>
      <c r="G1688" s="708" t="str">
        <f>'Part V-Utility Allowances'!G16</f>
        <v>X</v>
      </c>
      <c r="I1688" s="708">
        <f>'Part V-Utility Allowances'!I16</f>
        <v>0</v>
      </c>
      <c r="J1688" s="708">
        <f>'Part V-Utility Allowances'!J16</f>
        <v>0</v>
      </c>
      <c r="K1688" s="708">
        <f>'Part V-Utility Allowances'!K16</f>
        <v>0</v>
      </c>
      <c r="L1688" s="708">
        <f>'Part V-Utility Allowances'!L16</f>
        <v>0</v>
      </c>
      <c r="M1688" s="708">
        <f>'Part V-Utility Allowances'!M16</f>
        <v>0</v>
      </c>
    </row>
    <row r="1689" spans="1:13">
      <c r="B1689" s="708" t="s">
        <v>1641</v>
      </c>
      <c r="I1689" s="708">
        <f>SUM(I1682:I1688)</f>
        <v>0</v>
      </c>
      <c r="J1689" s="708">
        <f>SUM(J1682:J1688)</f>
        <v>102</v>
      </c>
      <c r="K1689" s="708">
        <f>SUM(K1682:K1688)</f>
        <v>131</v>
      </c>
      <c r="L1689" s="708">
        <f>SUM(L1682:L1688)</f>
        <v>161</v>
      </c>
      <c r="M1689" s="708">
        <f>SUM(M1682:M1688)</f>
        <v>0</v>
      </c>
    </row>
    <row r="1691" spans="1:13">
      <c r="A1691" s="708" t="s">
        <v>1230</v>
      </c>
      <c r="B1691" s="708" t="s">
        <v>3353</v>
      </c>
      <c r="F1691" s="708" t="s">
        <v>3805</v>
      </c>
      <c r="I1691" s="708">
        <f>'Part V-Utility Allowances'!I19</f>
        <v>0</v>
      </c>
    </row>
    <row r="1692" spans="1:13">
      <c r="F1692" s="708" t="s">
        <v>973</v>
      </c>
      <c r="I1692" s="708">
        <f>'Part V-Utility Allowances'!I20</f>
        <v>0</v>
      </c>
      <c r="K1692" s="708" t="s">
        <v>834</v>
      </c>
      <c r="L1692" s="708">
        <f>'Part V-Utility Allowances'!L20</f>
        <v>0</v>
      </c>
    </row>
    <row r="1694" spans="1:13">
      <c r="F1694" s="708" t="s">
        <v>943</v>
      </c>
      <c r="I1694" s="708" t="s">
        <v>258</v>
      </c>
    </row>
    <row r="1695" spans="1:13">
      <c r="B1695" s="708" t="s">
        <v>1381</v>
      </c>
      <c r="D1695" s="708" t="s">
        <v>2362</v>
      </c>
      <c r="F1695" s="708" t="s">
        <v>979</v>
      </c>
      <c r="G1695" s="708" t="s">
        <v>2904</v>
      </c>
      <c r="I1695" s="708">
        <v>0</v>
      </c>
      <c r="J1695" s="708">
        <v>1</v>
      </c>
      <c r="K1695" s="708">
        <v>2</v>
      </c>
      <c r="L1695" s="708">
        <v>3</v>
      </c>
      <c r="M1695" s="708">
        <v>4</v>
      </c>
    </row>
    <row r="1696" spans="1:13">
      <c r="B1696" s="708" t="s">
        <v>2906</v>
      </c>
      <c r="D1696" s="708" t="str">
        <f>'Part V-Utility Allowances'!D24</f>
        <v>&lt;&lt;Select Fuel &gt;&gt;</v>
      </c>
      <c r="F1696" s="708">
        <f>'Part V-Utility Allowances'!F24</f>
        <v>0</v>
      </c>
      <c r="G1696" s="708">
        <f>'Part V-Utility Allowances'!G24</f>
        <v>0</v>
      </c>
      <c r="I1696" s="708">
        <f>'Part V-Utility Allowances'!I24</f>
        <v>0</v>
      </c>
      <c r="J1696" s="708">
        <f>'Part V-Utility Allowances'!J24</f>
        <v>0</v>
      </c>
      <c r="K1696" s="708">
        <f>'Part V-Utility Allowances'!K24</f>
        <v>0</v>
      </c>
      <c r="L1696" s="708">
        <f>'Part V-Utility Allowances'!L24</f>
        <v>0</v>
      </c>
      <c r="M1696" s="708">
        <f>'Part V-Utility Allowances'!M24</f>
        <v>0</v>
      </c>
    </row>
    <row r="1697" spans="2:13">
      <c r="B1697" s="708" t="s">
        <v>687</v>
      </c>
      <c r="D1697" s="708" t="s">
        <v>2358</v>
      </c>
      <c r="F1697" s="708">
        <f>'Part V-Utility Allowances'!F25</f>
        <v>0</v>
      </c>
      <c r="G1697" s="708">
        <f>'Part V-Utility Allowances'!G25</f>
        <v>0</v>
      </c>
      <c r="I1697" s="708">
        <f>'Part V-Utility Allowances'!I25</f>
        <v>0</v>
      </c>
      <c r="J1697" s="708">
        <f>'Part V-Utility Allowances'!J25</f>
        <v>0</v>
      </c>
      <c r="K1697" s="708">
        <f>'Part V-Utility Allowances'!K25</f>
        <v>0</v>
      </c>
      <c r="L1697" s="708">
        <f>'Part V-Utility Allowances'!L25</f>
        <v>0</v>
      </c>
      <c r="M1697" s="708">
        <f>'Part V-Utility Allowances'!M25</f>
        <v>0</v>
      </c>
    </row>
    <row r="1698" spans="2:13">
      <c r="B1698" s="708" t="s">
        <v>2359</v>
      </c>
      <c r="D1698" s="708" t="str">
        <f>'Part V-Utility Allowances'!D26</f>
        <v>&lt;&lt;Select Fuel &gt;&gt;</v>
      </c>
      <c r="F1698" s="708">
        <f>'Part V-Utility Allowances'!F26</f>
        <v>0</v>
      </c>
      <c r="G1698" s="708">
        <f>'Part V-Utility Allowances'!G26</f>
        <v>0</v>
      </c>
      <c r="I1698" s="708">
        <f>'Part V-Utility Allowances'!I26</f>
        <v>0</v>
      </c>
      <c r="J1698" s="708">
        <f>'Part V-Utility Allowances'!J26</f>
        <v>0</v>
      </c>
      <c r="K1698" s="708">
        <f>'Part V-Utility Allowances'!K26</f>
        <v>0</v>
      </c>
      <c r="L1698" s="708">
        <f>'Part V-Utility Allowances'!L26</f>
        <v>0</v>
      </c>
      <c r="M1698" s="708">
        <f>'Part V-Utility Allowances'!M26</f>
        <v>0</v>
      </c>
    </row>
    <row r="1699" spans="2:13">
      <c r="B1699" s="708" t="s">
        <v>2360</v>
      </c>
      <c r="D1699" s="708" t="str">
        <f>'Part V-Utility Allowances'!D27</f>
        <v>&lt;&lt;Select Fuel &gt;&gt;</v>
      </c>
      <c r="F1699" s="708">
        <f>'Part V-Utility Allowances'!F27</f>
        <v>0</v>
      </c>
      <c r="G1699" s="708">
        <f>'Part V-Utility Allowances'!G27</f>
        <v>0</v>
      </c>
      <c r="I1699" s="708">
        <f>'Part V-Utility Allowances'!I27</f>
        <v>0</v>
      </c>
      <c r="J1699" s="708">
        <f>'Part V-Utility Allowances'!J27</f>
        <v>0</v>
      </c>
      <c r="K1699" s="708">
        <f>'Part V-Utility Allowances'!K27</f>
        <v>0</v>
      </c>
      <c r="L1699" s="708">
        <f>'Part V-Utility Allowances'!L27</f>
        <v>0</v>
      </c>
      <c r="M1699" s="708">
        <f>'Part V-Utility Allowances'!M27</f>
        <v>0</v>
      </c>
    </row>
    <row r="1700" spans="2:13">
      <c r="B1700" s="708" t="s">
        <v>2361</v>
      </c>
      <c r="D1700" s="708" t="s">
        <v>2358</v>
      </c>
      <c r="F1700" s="708">
        <f>'Part V-Utility Allowances'!F28</f>
        <v>0</v>
      </c>
      <c r="G1700" s="708">
        <f>'Part V-Utility Allowances'!G28</f>
        <v>0</v>
      </c>
      <c r="I1700" s="708">
        <f>'Part V-Utility Allowances'!I28</f>
        <v>0</v>
      </c>
      <c r="J1700" s="708">
        <f>'Part V-Utility Allowances'!J28</f>
        <v>0</v>
      </c>
      <c r="K1700" s="708">
        <f>'Part V-Utility Allowances'!K28</f>
        <v>0</v>
      </c>
      <c r="L1700" s="708">
        <f>'Part V-Utility Allowances'!L28</f>
        <v>0</v>
      </c>
      <c r="M1700" s="708">
        <f>'Part V-Utility Allowances'!M28</f>
        <v>0</v>
      </c>
    </row>
    <row r="1701" spans="2:13">
      <c r="B1701" s="708" t="s">
        <v>2073</v>
      </c>
      <c r="D1701" s="708" t="s">
        <v>3351</v>
      </c>
      <c r="E1701" s="708" t="str">
        <f>'Part V-Utility Allowances'!E29</f>
        <v>&lt;Select&gt;</v>
      </c>
      <c r="F1701" s="708">
        <f>'Part V-Utility Allowances'!F29</f>
        <v>0</v>
      </c>
      <c r="G1701" s="708">
        <f>'Part V-Utility Allowances'!G29</f>
        <v>0</v>
      </c>
      <c r="I1701" s="708">
        <f>'Part V-Utility Allowances'!I29</f>
        <v>0</v>
      </c>
      <c r="J1701" s="708">
        <f>'Part V-Utility Allowances'!J29</f>
        <v>0</v>
      </c>
      <c r="K1701" s="708">
        <f>'Part V-Utility Allowances'!K29</f>
        <v>0</v>
      </c>
      <c r="L1701" s="708">
        <f>'Part V-Utility Allowances'!L29</f>
        <v>0</v>
      </c>
      <c r="M1701" s="708">
        <f>'Part V-Utility Allowances'!M29</f>
        <v>0</v>
      </c>
    </row>
    <row r="1702" spans="2:13">
      <c r="B1702" s="708" t="s">
        <v>2905</v>
      </c>
      <c r="F1702" s="708">
        <f>'Part V-Utility Allowances'!F30</f>
        <v>0</v>
      </c>
      <c r="G1702" s="708">
        <f>'Part V-Utility Allowances'!G30</f>
        <v>0</v>
      </c>
      <c r="I1702" s="708">
        <f>'Part V-Utility Allowances'!I30</f>
        <v>0</v>
      </c>
      <c r="J1702" s="708">
        <f>'Part V-Utility Allowances'!J30</f>
        <v>0</v>
      </c>
      <c r="K1702" s="708">
        <f>'Part V-Utility Allowances'!K30</f>
        <v>0</v>
      </c>
      <c r="L1702" s="708">
        <f>'Part V-Utility Allowances'!L30</f>
        <v>0</v>
      </c>
      <c r="M1702" s="708">
        <f>'Part V-Utility Allowances'!M30</f>
        <v>0</v>
      </c>
    </row>
    <row r="1703" spans="2:13">
      <c r="B1703" s="708" t="s">
        <v>1641</v>
      </c>
      <c r="I1703" s="708">
        <f>SUM(I1696:I1702)</f>
        <v>0</v>
      </c>
      <c r="J1703" s="708">
        <f>SUM(J1696:J1702)</f>
        <v>0</v>
      </c>
      <c r="K1703" s="708">
        <f>SUM(K1696:K1702)</f>
        <v>0</v>
      </c>
      <c r="L1703" s="708">
        <f>SUM(L1696:L1702)</f>
        <v>0</v>
      </c>
      <c r="M1703" s="708">
        <f>SUM(M1696:M1702)</f>
        <v>0</v>
      </c>
    </row>
    <row r="1705" spans="2:13">
      <c r="B1705" s="708" t="s">
        <v>2841</v>
      </c>
    </row>
    <row r="1707" spans="2:13">
      <c r="B1707" s="708" t="s">
        <v>880</v>
      </c>
    </row>
    <row r="1708" spans="2:13">
      <c r="B1708" s="708" t="str">
        <f>'Part V-Utility Allowances'!B36</f>
        <v>Monroe County is confirmed to be in the "Middle Region" per the map included in Tab 7.</v>
      </c>
    </row>
    <row r="1709" spans="2:13">
      <c r="B1709" s="708">
        <f>'Part V-Utility Allowances'!B37</f>
        <v>0</v>
      </c>
    </row>
    <row r="1711" spans="2:13">
      <c r="B1711" s="708" t="s">
        <v>2898</v>
      </c>
    </row>
    <row r="1712" spans="2:13">
      <c r="B1712" s="708">
        <f>'Part V-Utility Allowances'!B40</f>
        <v>0</v>
      </c>
    </row>
    <row r="1713" spans="1:219">
      <c r="B1713" s="708">
        <f>'Part V-Utility Allowances'!B41</f>
        <v>0</v>
      </c>
    </row>
    <row r="1716" spans="1:219" ht="13.9" customHeight="1">
      <c r="A1716" s="708" t="str">
        <f>CONCATENATE("PART SIX - PROJECTED REVENUES &amp; EXPENSES","  -  ",'Part I-Project Information'!$O$4," ",'Part I-Project Information'!$F$22,", ",'Part I-Project Information'!F1735,", ",'Part I-Project Information'!J1736," County")</f>
        <v>PART SIX - PROJECTED REVENUES &amp; EXPENSES  -  2011-044 Brentwood Place Apartments, ,  County</v>
      </c>
    </row>
    <row r="1717" spans="1:219" ht="12.4" customHeight="1"/>
    <row r="1718" spans="1:219" ht="12.6" customHeight="1">
      <c r="A1718" s="708" t="s">
        <v>951</v>
      </c>
      <c r="B1718" s="708" t="s">
        <v>3572</v>
      </c>
      <c r="D1718" s="708" t="s">
        <v>328</v>
      </c>
      <c r="N1718" s="708" t="s">
        <v>887</v>
      </c>
      <c r="O1718" s="708" t="str">
        <f>'Part I-Project Information'!$J$26</f>
        <v>Monroe Co.</v>
      </c>
      <c r="EY1718" s="708" t="s">
        <v>717</v>
      </c>
      <c r="EZ1718" s="708" t="s">
        <v>3686</v>
      </c>
      <c r="FA1718" s="708" t="s">
        <v>3687</v>
      </c>
      <c r="FB1718" s="708" t="s">
        <v>3688</v>
      </c>
      <c r="FC1718" s="708" t="s">
        <v>3689</v>
      </c>
      <c r="FI1718" s="708" t="s">
        <v>717</v>
      </c>
      <c r="FJ1718" s="708" t="s">
        <v>3686</v>
      </c>
      <c r="FK1718" s="708" t="s">
        <v>3687</v>
      </c>
      <c r="FL1718" s="708" t="s">
        <v>3688</v>
      </c>
      <c r="FM1718" s="708" t="s">
        <v>3689</v>
      </c>
      <c r="FN1718" s="708" t="s">
        <v>717</v>
      </c>
      <c r="FO1718" s="708" t="s">
        <v>3686</v>
      </c>
      <c r="FP1718" s="708" t="s">
        <v>3687</v>
      </c>
      <c r="FQ1718" s="708" t="s">
        <v>3688</v>
      </c>
      <c r="FR1718" s="708" t="s">
        <v>3689</v>
      </c>
      <c r="FS1718" s="708" t="s">
        <v>717</v>
      </c>
      <c r="FT1718" s="708" t="s">
        <v>3686</v>
      </c>
      <c r="FU1718" s="708" t="s">
        <v>3687</v>
      </c>
      <c r="FV1718" s="708" t="s">
        <v>3688</v>
      </c>
      <c r="FW1718" s="708" t="s">
        <v>3689</v>
      </c>
      <c r="FX1718" s="708" t="s">
        <v>717</v>
      </c>
      <c r="FY1718" s="708" t="s">
        <v>3686</v>
      </c>
      <c r="FZ1718" s="708" t="s">
        <v>3687</v>
      </c>
      <c r="GA1718" s="708" t="s">
        <v>3688</v>
      </c>
      <c r="GB1718" s="708" t="s">
        <v>3689</v>
      </c>
      <c r="GC1718" s="708" t="s">
        <v>717</v>
      </c>
      <c r="GD1718" s="708" t="s">
        <v>3686</v>
      </c>
      <c r="GE1718" s="708" t="s">
        <v>3687</v>
      </c>
      <c r="GF1718" s="708" t="s">
        <v>3688</v>
      </c>
      <c r="GG1718" s="708" t="s">
        <v>3689</v>
      </c>
      <c r="GH1718" s="708" t="s">
        <v>717</v>
      </c>
      <c r="GI1718" s="708" t="s">
        <v>3686</v>
      </c>
      <c r="GJ1718" s="708" t="s">
        <v>3687</v>
      </c>
      <c r="GK1718" s="708" t="s">
        <v>3688</v>
      </c>
      <c r="GL1718" s="708" t="s">
        <v>3689</v>
      </c>
    </row>
    <row r="1719" spans="1:219" ht="12.6" customHeight="1">
      <c r="T1719" s="708" t="s">
        <v>1514</v>
      </c>
      <c r="U1719" s="708" t="s">
        <v>1248</v>
      </c>
      <c r="V1719" s="708" t="s">
        <v>1249</v>
      </c>
      <c r="W1719" s="708" t="s">
        <v>1250</v>
      </c>
      <c r="X1719" s="708" t="s">
        <v>1251</v>
      </c>
      <c r="Y1719" s="708" t="s">
        <v>1515</v>
      </c>
      <c r="Z1719" s="708" t="s">
        <v>3453</v>
      </c>
      <c r="AA1719" s="708" t="s">
        <v>3454</v>
      </c>
      <c r="AB1719" s="708" t="s">
        <v>3455</v>
      </c>
      <c r="AC1719" s="708" t="s">
        <v>3456</v>
      </c>
      <c r="AD1719" s="708" t="s">
        <v>1516</v>
      </c>
      <c r="AE1719" s="708" t="s">
        <v>3457</v>
      </c>
      <c r="AF1719" s="708" t="s">
        <v>3458</v>
      </c>
      <c r="AG1719" s="708" t="s">
        <v>3459</v>
      </c>
      <c r="AH1719" s="708" t="s">
        <v>3460</v>
      </c>
      <c r="AI1719" s="708" t="s">
        <v>152</v>
      </c>
      <c r="AJ1719" s="708" t="s">
        <v>3461</v>
      </c>
      <c r="AK1719" s="708" t="s">
        <v>3462</v>
      </c>
      <c r="AL1719" s="708" t="s">
        <v>3463</v>
      </c>
      <c r="AM1719" s="708" t="s">
        <v>1791</v>
      </c>
      <c r="AN1719" s="708" t="s">
        <v>854</v>
      </c>
      <c r="AO1719" s="708" t="s">
        <v>855</v>
      </c>
      <c r="AP1719" s="708" t="s">
        <v>892</v>
      </c>
      <c r="AQ1719" s="708" t="s">
        <v>893</v>
      </c>
      <c r="AR1719" s="708" t="s">
        <v>894</v>
      </c>
      <c r="AS1719" s="708" t="s">
        <v>895</v>
      </c>
      <c r="AT1719" s="708" t="s">
        <v>896</v>
      </c>
      <c r="AU1719" s="708" t="s">
        <v>897</v>
      </c>
      <c r="AV1719" s="708" t="s">
        <v>898</v>
      </c>
      <c r="AW1719" s="708" t="s">
        <v>899</v>
      </c>
      <c r="AX1719" s="708" t="s">
        <v>900</v>
      </c>
      <c r="AY1719" s="708" t="s">
        <v>901</v>
      </c>
      <c r="AZ1719" s="708" t="s">
        <v>1527</v>
      </c>
      <c r="BA1719" s="708" t="s">
        <v>1528</v>
      </c>
      <c r="BB1719" s="708" t="s">
        <v>1529</v>
      </c>
      <c r="BC1719" s="708" t="s">
        <v>737</v>
      </c>
      <c r="BD1719" s="708" t="s">
        <v>738</v>
      </c>
      <c r="BE1719" s="708" t="s">
        <v>739</v>
      </c>
      <c r="BF1719" s="708" t="s">
        <v>740</v>
      </c>
      <c r="BG1719" s="708" t="s">
        <v>741</v>
      </c>
      <c r="BH1719" s="708" t="s">
        <v>1473</v>
      </c>
      <c r="BI1719" s="708" t="s">
        <v>1474</v>
      </c>
      <c r="BJ1719" s="708" t="s">
        <v>1475</v>
      </c>
      <c r="BK1719" s="708" t="s">
        <v>1476</v>
      </c>
      <c r="BL1719" s="708" t="s">
        <v>1477</v>
      </c>
      <c r="BM1719" s="708" t="s">
        <v>1478</v>
      </c>
      <c r="BN1719" s="708" t="s">
        <v>1479</v>
      </c>
      <c r="BO1719" s="708" t="s">
        <v>1480</v>
      </c>
      <c r="BP1719" s="708" t="s">
        <v>1481</v>
      </c>
      <c r="BQ1719" s="708" t="s">
        <v>1482</v>
      </c>
      <c r="BR1719" s="708" t="s">
        <v>3676</v>
      </c>
      <c r="BS1719" s="708" t="s">
        <v>3677</v>
      </c>
      <c r="BT1719" s="708" t="s">
        <v>3678</v>
      </c>
      <c r="BU1719" s="708" t="s">
        <v>3679</v>
      </c>
      <c r="BV1719" s="708" t="s">
        <v>3680</v>
      </c>
      <c r="BW1719" s="708" t="s">
        <v>132</v>
      </c>
      <c r="BX1719" s="708" t="s">
        <v>1794</v>
      </c>
      <c r="BY1719" s="708" t="s">
        <v>1795</v>
      </c>
      <c r="BZ1719" s="708" t="s">
        <v>1875</v>
      </c>
      <c r="CA1719" s="708" t="s">
        <v>1876</v>
      </c>
      <c r="CB1719" s="708" t="s">
        <v>155</v>
      </c>
      <c r="CC1719" s="708" t="s">
        <v>1877</v>
      </c>
      <c r="CD1719" s="708" t="s">
        <v>1878</v>
      </c>
      <c r="CE1719" s="708" t="s">
        <v>1879</v>
      </c>
      <c r="CF1719" s="708" t="s">
        <v>1880</v>
      </c>
      <c r="CG1719" s="708" t="s">
        <v>154</v>
      </c>
      <c r="CH1719" s="708" t="s">
        <v>1506</v>
      </c>
      <c r="CI1719" s="708" t="s">
        <v>1507</v>
      </c>
      <c r="CJ1719" s="708" t="s">
        <v>1508</v>
      </c>
      <c r="CK1719" s="708" t="s">
        <v>1509</v>
      </c>
      <c r="CL1719" s="708" t="s">
        <v>153</v>
      </c>
      <c r="CM1719" s="708" t="s">
        <v>1510</v>
      </c>
      <c r="CN1719" s="708" t="s">
        <v>1511</v>
      </c>
      <c r="CO1719" s="708" t="s">
        <v>1512</v>
      </c>
      <c r="CP1719" s="708" t="s">
        <v>1513</v>
      </c>
      <c r="CQ1719" s="708" t="s">
        <v>1392</v>
      </c>
      <c r="CR1719" s="708" t="s">
        <v>1393</v>
      </c>
      <c r="CS1719" s="708" t="s">
        <v>1394</v>
      </c>
      <c r="CT1719" s="708" t="s">
        <v>1395</v>
      </c>
      <c r="CU1719" s="708" t="s">
        <v>1396</v>
      </c>
      <c r="CV1719" s="708" t="s">
        <v>1557</v>
      </c>
      <c r="CW1719" s="708" t="s">
        <v>1558</v>
      </c>
      <c r="CX1719" s="708" t="s">
        <v>1559</v>
      </c>
      <c r="CY1719" s="708" t="s">
        <v>1560</v>
      </c>
      <c r="CZ1719" s="708" t="s">
        <v>3675</v>
      </c>
      <c r="DA1719" s="708" t="s">
        <v>2156</v>
      </c>
      <c r="DB1719" s="708" t="s">
        <v>2157</v>
      </c>
      <c r="DC1719" s="708" t="s">
        <v>2158</v>
      </c>
      <c r="DD1719" s="708" t="s">
        <v>2159</v>
      </c>
      <c r="DE1719" s="708" t="s">
        <v>2160</v>
      </c>
      <c r="DF1719" s="708" t="s">
        <v>646</v>
      </c>
      <c r="DG1719" s="708" t="s">
        <v>647</v>
      </c>
      <c r="DH1719" s="708" t="s">
        <v>648</v>
      </c>
      <c r="DI1719" s="708" t="s">
        <v>649</v>
      </c>
      <c r="DJ1719" s="708" t="s">
        <v>650</v>
      </c>
      <c r="DK1719" s="708" t="s">
        <v>19</v>
      </c>
      <c r="DL1719" s="708" t="s">
        <v>20</v>
      </c>
      <c r="DM1719" s="708" t="s">
        <v>21</v>
      </c>
      <c r="DN1719" s="708" t="s">
        <v>22</v>
      </c>
      <c r="DO1719" s="708" t="s">
        <v>23</v>
      </c>
      <c r="DP1719" s="708" t="s">
        <v>285</v>
      </c>
      <c r="DQ1719" s="708" t="s">
        <v>286</v>
      </c>
      <c r="DR1719" s="708" t="s">
        <v>287</v>
      </c>
      <c r="DS1719" s="708" t="s">
        <v>2849</v>
      </c>
      <c r="DT1719" s="708" t="s">
        <v>2850</v>
      </c>
      <c r="DU1719" s="708" t="s">
        <v>2851</v>
      </c>
      <c r="DV1719" s="708" t="s">
        <v>910</v>
      </c>
      <c r="DW1719" s="708" t="s">
        <v>911</v>
      </c>
      <c r="DX1719" s="708" t="s">
        <v>912</v>
      </c>
      <c r="DY1719" s="708" t="s">
        <v>913</v>
      </c>
      <c r="DZ1719" s="708" t="s">
        <v>24</v>
      </c>
      <c r="EA1719" s="708" t="s">
        <v>25</v>
      </c>
      <c r="EB1719" s="708" t="s">
        <v>26</v>
      </c>
      <c r="EC1719" s="708" t="s">
        <v>27</v>
      </c>
      <c r="ED1719" s="708" t="s">
        <v>28</v>
      </c>
      <c r="EE1719" s="708" t="s">
        <v>734</v>
      </c>
      <c r="EF1719" s="708" t="s">
        <v>642</v>
      </c>
      <c r="EG1719" s="708" t="s">
        <v>643</v>
      </c>
      <c r="EH1719" s="708" t="s">
        <v>644</v>
      </c>
      <c r="EI1719" s="708" t="s">
        <v>645</v>
      </c>
      <c r="EJ1719" s="708" t="s">
        <v>3322</v>
      </c>
      <c r="EK1719" s="708" t="s">
        <v>3323</v>
      </c>
      <c r="EL1719" s="708" t="s">
        <v>3324</v>
      </c>
      <c r="EM1719" s="708" t="s">
        <v>2214</v>
      </c>
      <c r="EN1719" s="708" t="s">
        <v>2215</v>
      </c>
      <c r="EO1719" s="708" t="s">
        <v>29</v>
      </c>
      <c r="EP1719" s="708" t="s">
        <v>30</v>
      </c>
      <c r="EQ1719" s="708" t="s">
        <v>31</v>
      </c>
      <c r="ER1719" s="708" t="s">
        <v>32</v>
      </c>
      <c r="ES1719" s="708" t="s">
        <v>33</v>
      </c>
      <c r="GM1719" s="708" t="s">
        <v>2529</v>
      </c>
      <c r="GN1719" s="708" t="s">
        <v>3811</v>
      </c>
      <c r="GO1719" s="708" t="s">
        <v>3812</v>
      </c>
      <c r="GP1719" s="708" t="s">
        <v>491</v>
      </c>
      <c r="GQ1719" s="708" t="s">
        <v>492</v>
      </c>
      <c r="GR1719" s="708" t="s">
        <v>493</v>
      </c>
      <c r="GS1719" s="708" t="s">
        <v>494</v>
      </c>
      <c r="GT1719" s="708" t="s">
        <v>495</v>
      </c>
      <c r="GU1719" s="708" t="s">
        <v>496</v>
      </c>
      <c r="GV1719" s="708" t="s">
        <v>497</v>
      </c>
      <c r="GW1719" s="708" t="s">
        <v>260</v>
      </c>
      <c r="GX1719" s="708" t="s">
        <v>261</v>
      </c>
      <c r="GY1719" s="708" t="s">
        <v>262</v>
      </c>
      <c r="GZ1719" s="708" t="s">
        <v>263</v>
      </c>
      <c r="HA1719" s="708" t="s">
        <v>264</v>
      </c>
      <c r="HB1719" s="708" t="s">
        <v>265</v>
      </c>
      <c r="HC1719" s="708" t="s">
        <v>266</v>
      </c>
      <c r="HD1719" s="708" t="s">
        <v>267</v>
      </c>
      <c r="HE1719" s="708" t="s">
        <v>268</v>
      </c>
      <c r="HF1719" s="708" t="s">
        <v>269</v>
      </c>
      <c r="HG1719" s="708" t="s">
        <v>270</v>
      </c>
      <c r="HH1719" s="708" t="s">
        <v>271</v>
      </c>
      <c r="HI1719" s="708" t="s">
        <v>272</v>
      </c>
      <c r="HJ1719" s="708" t="s">
        <v>273</v>
      </c>
      <c r="HK1719" s="708" t="s">
        <v>274</v>
      </c>
    </row>
    <row r="1720" spans="1:219" ht="13.15" customHeight="1">
      <c r="B1720" s="708" t="s">
        <v>2899</v>
      </c>
      <c r="G1720" s="708" t="str">
        <f>'Part VI-Revenues &amp; Expenses'!G5</f>
        <v>Floating</v>
      </c>
      <c r="P1720" s="708" t="s">
        <v>1659</v>
      </c>
    </row>
    <row r="1721" spans="1:219" ht="13.15" customHeight="1">
      <c r="B1721" s="708" t="s">
        <v>2840</v>
      </c>
      <c r="G1721" s="708" t="str">
        <f>'Part VI-Revenues &amp; Expenses'!G6</f>
        <v>No</v>
      </c>
      <c r="J1721" s="708" t="s">
        <v>3646</v>
      </c>
      <c r="P1721" s="708">
        <f>VLOOKUP('Part I-Project Information'!$J$26,'DCA Underwriting Assumptions'!$C$77:$D$187,2)</f>
        <v>38900</v>
      </c>
    </row>
    <row r="1722" spans="1:219" ht="13.9" customHeight="1">
      <c r="A1722" s="708" t="str">
        <f>IF(A1763&gt;0,"Finish!","")</f>
        <v/>
      </c>
      <c r="J1722" s="708" t="s">
        <v>3647</v>
      </c>
    </row>
    <row r="1723" spans="1:219" ht="13.9" customHeight="1">
      <c r="B1723" s="708" t="s">
        <v>2213</v>
      </c>
      <c r="C1723" s="708" t="s">
        <v>228</v>
      </c>
      <c r="D1723" s="708" t="s">
        <v>840</v>
      </c>
      <c r="E1723" s="708" t="s">
        <v>2211</v>
      </c>
      <c r="F1723" s="708" t="s">
        <v>2211</v>
      </c>
      <c r="G1723" s="708" t="s">
        <v>3618</v>
      </c>
      <c r="H1723" s="708" t="s">
        <v>3616</v>
      </c>
      <c r="I1723" s="708" t="s">
        <v>1381</v>
      </c>
      <c r="J1723" s="708" t="s">
        <v>4095</v>
      </c>
      <c r="K1723" s="708" t="s">
        <v>186</v>
      </c>
      <c r="M1723" s="708" t="s">
        <v>3573</v>
      </c>
      <c r="N1723" s="708" t="s">
        <v>826</v>
      </c>
      <c r="O1723" s="708" t="s">
        <v>488</v>
      </c>
      <c r="P1723" s="708" t="s">
        <v>1666</v>
      </c>
      <c r="ET1723" s="708" t="s">
        <v>2188</v>
      </c>
      <c r="EU1723" s="708" t="s">
        <v>3686</v>
      </c>
      <c r="EV1723" s="708" t="s">
        <v>3687</v>
      </c>
      <c r="EW1723" s="708" t="s">
        <v>3688</v>
      </c>
      <c r="EX1723" s="708" t="s">
        <v>3689</v>
      </c>
      <c r="EY1723" s="708" t="s">
        <v>3776</v>
      </c>
      <c r="EZ1723" s="708" t="s">
        <v>3776</v>
      </c>
      <c r="FA1723" s="708" t="s">
        <v>3776</v>
      </c>
      <c r="FB1723" s="708" t="s">
        <v>3776</v>
      </c>
      <c r="FC1723" s="708" t="s">
        <v>3776</v>
      </c>
      <c r="FD1723" s="708" t="s">
        <v>717</v>
      </c>
      <c r="FE1723" s="708" t="s">
        <v>3686</v>
      </c>
      <c r="FF1723" s="708" t="s">
        <v>3687</v>
      </c>
      <c r="FG1723" s="708" t="s">
        <v>3688</v>
      </c>
      <c r="FH1723" s="708" t="s">
        <v>3689</v>
      </c>
      <c r="FI1723" s="708" t="s">
        <v>3778</v>
      </c>
      <c r="FJ1723" s="708" t="s">
        <v>3778</v>
      </c>
      <c r="FK1723" s="708" t="s">
        <v>3778</v>
      </c>
      <c r="FL1723" s="708" t="s">
        <v>3778</v>
      </c>
      <c r="FM1723" s="708" t="s">
        <v>3778</v>
      </c>
      <c r="FN1723" s="708" t="s">
        <v>460</v>
      </c>
      <c r="FO1723" s="708" t="s">
        <v>460</v>
      </c>
      <c r="FP1723" s="708" t="s">
        <v>460</v>
      </c>
      <c r="FQ1723" s="708" t="s">
        <v>460</v>
      </c>
      <c r="FR1723" s="708" t="s">
        <v>460</v>
      </c>
      <c r="FS1723" s="708" t="s">
        <v>461</v>
      </c>
      <c r="FT1723" s="708" t="s">
        <v>461</v>
      </c>
      <c r="FU1723" s="708" t="s">
        <v>461</v>
      </c>
      <c r="FV1723" s="708" t="s">
        <v>461</v>
      </c>
      <c r="FW1723" s="708" t="s">
        <v>461</v>
      </c>
      <c r="FX1723" s="708" t="s">
        <v>462</v>
      </c>
      <c r="FY1723" s="708" t="s">
        <v>462</v>
      </c>
      <c r="FZ1723" s="708" t="s">
        <v>462</v>
      </c>
      <c r="GA1723" s="708" t="s">
        <v>462</v>
      </c>
      <c r="GB1723" s="708" t="s">
        <v>462</v>
      </c>
      <c r="GC1723" s="708" t="s">
        <v>463</v>
      </c>
      <c r="GD1723" s="708" t="s">
        <v>463</v>
      </c>
      <c r="GE1723" s="708" t="s">
        <v>463</v>
      </c>
      <c r="GF1723" s="708" t="s">
        <v>463</v>
      </c>
      <c r="GG1723" s="708" t="s">
        <v>463</v>
      </c>
      <c r="GH1723" s="708" t="s">
        <v>2187</v>
      </c>
      <c r="GI1723" s="708" t="s">
        <v>2187</v>
      </c>
      <c r="GJ1723" s="708" t="s">
        <v>2187</v>
      </c>
      <c r="GK1723" s="708" t="s">
        <v>2187</v>
      </c>
      <c r="GL1723" s="708" t="s">
        <v>2187</v>
      </c>
    </row>
    <row r="1724" spans="1:219" ht="13.9" customHeight="1">
      <c r="B1724" s="708" t="s">
        <v>1997</v>
      </c>
      <c r="C1724" s="708" t="s">
        <v>227</v>
      </c>
      <c r="D1724" s="708" t="s">
        <v>229</v>
      </c>
      <c r="E1724" s="708" t="s">
        <v>2212</v>
      </c>
      <c r="F1724" s="708" t="s">
        <v>1964</v>
      </c>
      <c r="G1724" s="708" t="s">
        <v>1965</v>
      </c>
      <c r="H1724" s="708" t="s">
        <v>3617</v>
      </c>
      <c r="I1724" s="708" t="s">
        <v>1382</v>
      </c>
      <c r="J1724" s="708" t="s">
        <v>451</v>
      </c>
      <c r="K1724" s="708" t="s">
        <v>2282</v>
      </c>
      <c r="L1724" s="708" t="s">
        <v>833</v>
      </c>
      <c r="M1724" s="708" t="s">
        <v>2211</v>
      </c>
      <c r="N1724" s="708" t="s">
        <v>1997</v>
      </c>
      <c r="O1724" s="708" t="s">
        <v>489</v>
      </c>
      <c r="P1724" s="708" t="s">
        <v>1664</v>
      </c>
      <c r="Q1724" s="708" t="s">
        <v>1665</v>
      </c>
      <c r="S1724" s="708" t="s">
        <v>657</v>
      </c>
      <c r="EU1724" s="708" t="s">
        <v>3775</v>
      </c>
      <c r="EV1724" s="708" t="s">
        <v>3775</v>
      </c>
      <c r="EW1724" s="708" t="s">
        <v>3775</v>
      </c>
      <c r="EX1724" s="708" t="s">
        <v>3775</v>
      </c>
      <c r="FD1724" s="708" t="s">
        <v>3777</v>
      </c>
      <c r="FE1724" s="708" t="s">
        <v>3777</v>
      </c>
      <c r="FF1724" s="708" t="s">
        <v>3777</v>
      </c>
      <c r="FG1724" s="708" t="s">
        <v>3777</v>
      </c>
      <c r="FH1724" s="708" t="s">
        <v>3777</v>
      </c>
    </row>
    <row r="1725" spans="1:219" ht="13.15" customHeight="1">
      <c r="A1725" s="708" t="str">
        <f>IF(AND(E1725&gt;0,OR(B1725="",C1725="",D1725="",F1725="",G1725="", H1725="",M1725="",N1725="",O1725="")),1,"")</f>
        <v/>
      </c>
      <c r="B1725" s="708" t="str">
        <f>'Part VI-Revenues &amp; Expenses'!B10</f>
        <v>50% AMI</v>
      </c>
      <c r="C1725" s="708">
        <f>'Part VI-Revenues &amp; Expenses'!C10</f>
        <v>1</v>
      </c>
      <c r="D1725" s="708">
        <f>'Part VI-Revenues &amp; Expenses'!D10</f>
        <v>1</v>
      </c>
      <c r="E1725" s="708">
        <f>'Part VI-Revenues &amp; Expenses'!E10</f>
        <v>1</v>
      </c>
      <c r="F1725" s="708">
        <f>'Part VI-Revenues &amp; Expenses'!F10</f>
        <v>750</v>
      </c>
      <c r="G1725" s="708">
        <f>'Part VI-Revenues &amp; Expenses'!G10</f>
        <v>596</v>
      </c>
      <c r="H1725" s="708">
        <f>'Part VI-Revenues &amp; Expenses'!H10</f>
        <v>542</v>
      </c>
      <c r="I1725" s="708">
        <f>'Part VI-Revenues &amp; Expenses'!I10</f>
        <v>102</v>
      </c>
      <c r="J1725" s="708">
        <f>'Part VI-Revenues &amp; Expenses'!J10</f>
        <v>0</v>
      </c>
      <c r="K1725" s="708">
        <f>MAX(0,H1725-I1725)</f>
        <v>440</v>
      </c>
      <c r="L1725" s="708">
        <f t="shared" ref="L1725:L1762" si="99">MAX(0,E1725*K1725)</f>
        <v>440</v>
      </c>
      <c r="M1725" s="708" t="str">
        <f>'Part VI-Revenues &amp; Expenses'!M10</f>
        <v>No</v>
      </c>
      <c r="N1725" s="708" t="str">
        <f>'Part VI-Revenues &amp; Expenses'!N10</f>
        <v>1-Story</v>
      </c>
      <c r="O1725" s="708" t="str">
        <f>'Part VI-Revenues &amp; Expenses'!O10</f>
        <v>New Construction</v>
      </c>
      <c r="P1725" s="708">
        <f>'Part VI-Revenues &amp; Expenses'!P10</f>
        <v>21680</v>
      </c>
      <c r="Q1725" s="708">
        <f>'Part VI-Revenues &amp; Expenses'!Q10</f>
        <v>0.74310197086546703</v>
      </c>
      <c r="R1725" s="708">
        <f>'Part VI-Revenues &amp; Expenses'!R10</f>
        <v>0</v>
      </c>
      <c r="T1725" s="708" t="str">
        <f t="shared" ref="T1725:T1762" si="100">IF(AND(C1725="Efficiency",B1725="60% AMI",NOT(M1725="Common")),E1725,"")</f>
        <v/>
      </c>
      <c r="U1725" s="708" t="str">
        <f t="shared" ref="U1725:U1762" si="101">IF(AND(C1725=1,B1725="60% AMI",NOT(M1725="Common")),E1725,"")</f>
        <v/>
      </c>
      <c r="V1725" s="708" t="str">
        <f t="shared" ref="V1725:V1762" si="102">IF(AND(C1725=2,B1725="60% AMI",NOT(M1725="Common")),E1725,"")</f>
        <v/>
      </c>
      <c r="W1725" s="708" t="str">
        <f t="shared" ref="W1725:W1762" si="103">IF(AND(C1725=3,B1725="60% AMI",NOT(M1725="Common")),E1725,"")</f>
        <v/>
      </c>
      <c r="X1725" s="708" t="str">
        <f t="shared" ref="X1725:X1762" si="104">IF(AND(C1725=4,B1725="60% AMI",NOT(M1725="Common")),E1725,"")</f>
        <v/>
      </c>
      <c r="Y1725" s="708" t="str">
        <f t="shared" ref="Y1725:Y1762" si="105">IF(AND(C1725="Efficiency",B1725="50% AMI",NOT(M1725="Common")),E1725,"")</f>
        <v/>
      </c>
      <c r="Z1725" s="708">
        <f t="shared" ref="Z1725:Z1762" si="106">IF(AND(C1725=1,B1725="50% AMI",NOT(M1725="Common")),E1725,"")</f>
        <v>1</v>
      </c>
      <c r="AA1725" s="708" t="str">
        <f t="shared" ref="AA1725:AA1762" si="107">IF(AND(C1725=2,B1725="50% AMI",NOT(M1725="Common")),E1725,"")</f>
        <v/>
      </c>
      <c r="AB1725" s="708" t="str">
        <f t="shared" ref="AB1725:AB1762" si="108">IF(AND(C1725=3,B1725="50% AMI",NOT(M1725="Common")),E1725,"")</f>
        <v/>
      </c>
      <c r="AC1725" s="708" t="str">
        <f t="shared" ref="AC1725:AC1762" si="109">IF(AND(C1725=4,B1725="50% AMI",NOT(M1725="Common")),E1725,"")</f>
        <v/>
      </c>
      <c r="AD1725" s="708" t="str">
        <f t="shared" ref="AD1725:AD1762" si="110">IF(AND(C1725="Efficiency",B1725="30% AMI",NOT(M1725="Common")),E1725,"")</f>
        <v/>
      </c>
      <c r="AE1725" s="708" t="str">
        <f t="shared" ref="AE1725:AE1762" si="111">IF(AND(C1725=1,B1725="30% AMI",NOT(M1725="Common")),E1725,"")</f>
        <v/>
      </c>
      <c r="AF1725" s="708" t="str">
        <f t="shared" ref="AF1725:AF1762" si="112">IF(AND(C1725=2,B1725="30% AMI",NOT(M1725="Common")),E1725,"")</f>
        <v/>
      </c>
      <c r="AG1725" s="708" t="str">
        <f t="shared" ref="AG1725:AG1762" si="113">IF(AND(C1725=3,B1725="30% AMI",NOT(M1725="Common")),E1725,"")</f>
        <v/>
      </c>
      <c r="AH1725" s="708" t="str">
        <f t="shared" ref="AH1725:AH1762" si="114">IF(AND(C1725=4,B1725="30% AMI",NOT(M1725="Common")),E1725,"")</f>
        <v/>
      </c>
      <c r="AI1725" s="708" t="str">
        <f t="shared" ref="AI1725:AI1762" si="115">IF(AND(C1725="Efficiency",B1725="Unrestricted",NOT(M1725="Common")),E1725,"")</f>
        <v/>
      </c>
      <c r="AJ1725" s="708" t="str">
        <f t="shared" ref="AJ1725:AJ1762" si="116">IF(AND(C1725=1,B1725="Unrestricted",NOT(M1725="Common")),E1725,"")</f>
        <v/>
      </c>
      <c r="AK1725" s="708" t="str">
        <f t="shared" ref="AK1725:AK1762" si="117">IF(AND(C1725=2,B1725="Unrestricted",NOT(M1725="Common")),E1725,"")</f>
        <v/>
      </c>
      <c r="AL1725" s="708" t="str">
        <f t="shared" ref="AL1725:AL1762" si="118">IF(AND(C1725=3,B1725="Unrestricted",NOT(M1725="Common")),E1725,"")</f>
        <v/>
      </c>
      <c r="AM1725" s="708" t="str">
        <f t="shared" ref="AM1725:AM1762" si="119">IF(AND(C1725=4,B1725="Unrestricted",NOT(M1725="Common")),E1725,"")</f>
        <v/>
      </c>
      <c r="AN1725" s="708" t="str">
        <f>IF(OR(AND($C1725="Efficiency",NOT($J1725=""),NOT($J1725="PHA Oper Sub"),$B1725="30% AMI",NOT($M1725="Common")),AND($C1725="Efficiency",NOT($J1725=""),NOT($J1725="PHA Oper Sub"),$B1725="HOME 30% AMI",NOT($M1725="Common"))),$E1725,"")</f>
        <v/>
      </c>
      <c r="AO1725" s="708" t="str">
        <f>IF(OR(AND($C1725=1,NOT($J1725=""),NOT($J1725="PHA Oper Sub"),$B1725="30% AMI",NOT($M1725="Common")),AND($C1725=1,NOT($J1725=""),NOT($J1725="PHA Oper Sub"),$B1725="HOME 30% AMI",NOT($M1725="Common"))),$E1725,"")</f>
        <v/>
      </c>
      <c r="AP1725" s="708" t="str">
        <f>IF(OR(AND($C1725=2,NOT($J1725=""),NOT($J1725="PHA Oper Sub"),$B1725="30% AMI",NOT($M1725="Common")),AND($C1725=2,NOT($J1725=""),NOT($J1725="PHA Oper Sub"),$B1725="HOME 30% AMI",NOT($M1725="Common"))),$E1725,"")</f>
        <v/>
      </c>
      <c r="AQ1725" s="708" t="str">
        <f>IF(OR(AND($C1725=3,NOT($J1725=""),NOT($J1725="PHA Oper Sub"),$B1725="30% AMI",NOT($M1725="Common")),AND($C1725=3,NOT($J1725=""),NOT($J1725="PHA Oper Sub"),$B1725="HOME 30% AMI",NOT($M1725="Common"))),$E1725,"")</f>
        <v/>
      </c>
      <c r="AR1725" s="708" t="str">
        <f>IF(OR(AND($C1725=4,NOT($J1725=""),NOT($J1725="PHA Oper Sub"),$B1725="30% AMI",NOT($M1725="Common")),AND($C1725=4,NOT($J1725=""),NOT($J1725="PHA Oper Sub"),$B1725="HOME 30% AMI",NOT($M1725="Common"))),$E1725,"")</f>
        <v/>
      </c>
      <c r="AS1725" s="708" t="str">
        <f>IF(OR(AND($C1725="Efficiency",NOT($J1725=""),NOT($J1725="PHA Oper Sub"),NOT($J1725=0),$B1725="50% AMI",NOT($M1725="Common")),AND($C1725="Efficiency",NOT($J1725=""),NOT($J1725=0),NOT($J1725="PHA Oper Sub"),$B1725="HOME 50% AMI",NOT($M1725="Common"))),$E1725,"")</f>
        <v/>
      </c>
      <c r="AT1725" s="708" t="str">
        <f>IF(OR(AND($C1725=1,NOT($J1725=""),NOT($J1725=0),NOT($J1725="PHA Oper Sub"),$B1725="50% AMI",NOT($M1725="Common")),AND($C1725=1,NOT($J1725=""),NOT($J1725=0),NOT($J1725="PHA Oper Sub"),$B1725="HOME 50% AMI",NOT($M1725="Common"))),$E1725,"")</f>
        <v/>
      </c>
      <c r="AU1725" s="708" t="str">
        <f>IF(OR(AND($C1725=2,NOT($J1725=""),NOT($J1725=0),NOT($J1725="PHA Oper Sub"),$B1725="50% AMI",NOT($M1725="Common")),AND($C1725=2,NOT($J1725=""),NOT($J1725=0),NOT($J1725="PHA Oper Sub"),$B1725="HOME 50% AMI",NOT($M1725="Common"))),$E1725,"")</f>
        <v/>
      </c>
      <c r="AV1725" s="708" t="str">
        <f>IF(OR(AND($C1725=3,NOT($J1725=""),NOT($J1725=0),NOT($J1725="PHA Oper Sub"),$B1725="50% AMI",NOT($M1725="Common")),AND($C1725=3,NOT($J1725=""),NOT($J1725=0),NOT($J1725="PHA Oper Sub"),$B1725="HOME 50% AMI",NOT($M1725="Common"))),$E1725,"")</f>
        <v/>
      </c>
      <c r="AW1725" s="708" t="str">
        <f>IF(OR(AND($C1725=4,NOT($J1725=""),NOT($J1725=0),NOT($J1725="PHA Oper Sub"),$B1725="50% AMI",NOT($M1725="Common")),AND($C1725=4,NOT($J1725=""),NOT($J1725=0),NOT($J1725="PHA Oper Sub"),$B1725="HOME 50% AMI",NOT($M1725="Common"))),$E1725,"")</f>
        <v/>
      </c>
      <c r="AX1725" s="708" t="str">
        <f>IF(OR(AND($C1725="Efficiency",NOT($J1725=""),NOT($J1725=0),NOT($J1725="PHA Oper Sub"),$B1725="60% AMI",NOT($M1725="Common")),AND($C1725="Efficiency",NOT($J1725=""),NOT($J1725=0),NOT($J1725="PHA Oper Sub"),$B1725="HOME 60% AMI",NOT($M1725="Common"))),$E1725,"")</f>
        <v/>
      </c>
      <c r="AY1725" s="708" t="str">
        <f>IF(OR(AND($C1725=1,NOT($J1725=""),NOT($J1725=0),NOT($J1725="PHA Oper Sub"),$B1725="60% AMI",NOT($M1725="Common")),AND($C1725=1,NOT($J1725=""),NOT($J1725=0),NOT($J1725="PHA Oper Sub"),$B1725="HOME 60% AMI",NOT($M1725="Common"))),$E1725,"")</f>
        <v/>
      </c>
      <c r="AZ1725" s="708" t="str">
        <f>IF(OR(AND($C1725=2,NOT($J1725=""),NOT($J1725=0),NOT($J1725="PHA Oper Sub"),$B1725="60% AMI",NOT($M1725="Common")),AND($C1725=2,NOT($J1725=""),NOT($J1725=0),NOT($J1725="PHA Oper Sub"),$B1725="HOME 60% AMI",NOT($M1725="Common"))),$E1725,"")</f>
        <v/>
      </c>
      <c r="BA1725" s="708" t="str">
        <f>IF(OR(AND($C1725=3,NOT($J1725=""),NOT($J1725=0),NOT($J1725="PHA Oper Sub"),$B1725="60% AMI",NOT($M1725="Common")),AND($C1725=3,NOT($J1725=""),NOT($J1725=0),NOT($J1725="PHA Oper Sub"),$B1725="HOME 60% AMI",NOT($M1725="Common"))),$E1725,"")</f>
        <v/>
      </c>
      <c r="BB1725" s="708" t="str">
        <f>IF(OR(AND($C1725=4,NOT($J1725=""),NOT($J1725=0),NOT($J1725="PHA Oper Sub"),$B1725="60% AMI",NOT($M1725="Common")),AND($C1725=4,NOT($J1725=""),NOT($J1725=0),NOT($J1725="PHA Oper Sub"),$B1725="HOME 60% AMI",NOT($M1725="Common"))),$E1725,"")</f>
        <v/>
      </c>
      <c r="BC1725" s="708" t="str">
        <f>IF(OR(AND($C1725="Efficiency",$J1725="PHA Oper Sub",$B1725="30% AMI",NOT($M1725="Common")),AND($C1725="Efficiency",$J1725="PHA Oper Sub",$B1725="HOME 30% AMI",NOT($M1725="Common"))),$E1725,"")</f>
        <v/>
      </c>
      <c r="BD1725" s="708" t="str">
        <f>IF(OR(AND($C1725=1,$J1725="PHA Oper Sub",$B1725="30% AMI",NOT($M1725="Common")),AND($C1725=1,$J1725="PHA Oper Sub",$B1725="HOME 30% AMI",NOT($M1725="Common"))),$E1725,"")</f>
        <v/>
      </c>
      <c r="BE1725" s="708" t="str">
        <f>IF(OR(AND($C1725=2,$J1725="PHA Oper Sub",$B1725="30% AMI",NOT($M1725="Common")),AND($C1725=2,$J1725="PHA Oper Sub",$B1725="HOME 30% AMI",NOT($M1725="Common"))),$E1725,"")</f>
        <v/>
      </c>
      <c r="BF1725" s="708" t="str">
        <f>IF(OR(AND($C1725=3,$J1725="PHA Oper Sub",$B1725="30% AMI",NOT($M1725="Common")),AND($C1725=3,$J1725="PHA Oper Sub",$B1725="HOME 30% AMI",NOT($M1725="Common"))),$E1725,"")</f>
        <v/>
      </c>
      <c r="BG1725" s="708" t="str">
        <f>IF(OR(AND($C1725=4,$J1725="PHA Oper Sub",$B1725="30% AMI",NOT($M1725="Common")),AND($C1725=4,$J1725="PHA Oper Sub",$B1725="HOME 30% AMI",NOT($M1725="Common"))),$E1725,"")</f>
        <v/>
      </c>
      <c r="BH1725" s="708" t="str">
        <f>IF(OR(AND($C1725="Efficiency",$J1725="PHA Oper Sub",$B1725="50% AMI",NOT($M1725="Common")),AND($C1725="Efficiency",$J1725="PHA Oper Sub",$B1725="HOME 50% AMI",NOT($M1725="Common"))),$E1725,"")</f>
        <v/>
      </c>
      <c r="BI1725" s="708" t="str">
        <f>IF(OR(AND($C1725=1,$J1725="PHA Oper Sub",,$B1725="50% AMI",NOT($M1725="Common")),AND($C1725=1,$J1725="PHA Oper Sub",$B1725="HOME 50% AMI",NOT($M1725="Common"))),$E1725,"")</f>
        <v/>
      </c>
      <c r="BJ1725" s="708" t="str">
        <f>IF(OR(AND($C1725=2,$J1725="PHA Oper Sub",$B1725="50% AMI",NOT($M1725="Common")),AND($C1725=2,$J1725="PHA Oper Sub",$B1725="HOME 50% AMI",NOT($M1725="Common"))),$E1725,"")</f>
        <v/>
      </c>
      <c r="BK1725" s="708" t="str">
        <f>IF(OR(AND($C1725=3,$J1725="PHA Oper Sub",$B1725="50% AMI",NOT($M1725="Common")),AND($C1725=3,$J1725="PHA Oper Sub",$B1725="HOME 50% AMI",NOT($M1725="Common"))),$E1725,"")</f>
        <v/>
      </c>
      <c r="BL1725" s="708" t="str">
        <f>IF(OR(AND($C1725=4,$J1725="PHA Oper Sub",$B1725="50% AMI",NOT($M1725="Common")),AND($C1725=4,$J1725="PHA Oper Sub",$B1725="HOME 50% AMI",NOT($M1725="Common"))),$E1725,"")</f>
        <v/>
      </c>
      <c r="BM1725" s="708" t="str">
        <f>IF(OR(AND($C1725="Efficiency",$J1725="PHA Oper Sub",$B1725="60% AMI",NOT($M1725="Common")),AND($C1725="Efficiency",$J1725="PHA Oper Sub",$B1725="HOME 60% AMI",NOT($M1725="Common"))),$E1725,"")</f>
        <v/>
      </c>
      <c r="BN1725" s="708" t="str">
        <f>IF(OR(AND($C1725=1,$J1725="PHA Oper Sub",$B1725="60% AMI",NOT($M1725="Common")),AND($C1725=1,$J1725="PHA Oper Sub",$B1725="HOME 60% AMI",NOT($M1725="Common"))),$E1725,"")</f>
        <v/>
      </c>
      <c r="BO1725" s="708" t="str">
        <f>IF(OR(AND($C1725=2,$J1725="PHA Oper Sub",$B1725="60% AMI",NOT($M1725="Common")),AND($C1725=2,$J1725="PHA Oper Sub",$B1725="HOME 60% AMI",NOT($M1725="Common"))),$E1725,"")</f>
        <v/>
      </c>
      <c r="BP1725" s="708" t="str">
        <f>IF(OR(AND($C1725=3,$J1725="PHA Oper Sub",$B1725="60% AMI",NOT($M1725="Common")),AND($C1725=3,$J1725="PHA Oper Sub",$B1725="HOME 60% AMI",NOT($M1725="Common"))),$E1725,"")</f>
        <v/>
      </c>
      <c r="BQ1725" s="708" t="str">
        <f>IF(OR(AND($C1725=4,$J1725="PHA Oper Sub",$B1725="60% AMI",NOT($M1725="Common")),AND($C1725=4,$J1725="PHA Oper Sub",$B1725="HOME 60% AMI",NOT($M1725="Common"))),$E1725,"")</f>
        <v/>
      </c>
      <c r="BR1725" s="708" t="str">
        <f t="shared" ref="BR1725:BR1762" si="120">IF(AND(C1725="Efficiency",M1725="Common"),E1725,"")</f>
        <v/>
      </c>
      <c r="BS1725" s="708" t="str">
        <f t="shared" ref="BS1725:BS1762" si="121">IF(AND(C1725=1,M1725="Common"),E1725,"")</f>
        <v/>
      </c>
      <c r="BT1725" s="708" t="str">
        <f t="shared" ref="BT1725:BT1762" si="122">IF(AND(C1725=2,M1725="Common"),E1725,"")</f>
        <v/>
      </c>
      <c r="BU1725" s="708" t="str">
        <f t="shared" ref="BU1725:BU1762" si="123">IF(AND(C1725=3,M1725="Common"),E1725,"")</f>
        <v/>
      </c>
      <c r="BV1725" s="708" t="str">
        <f t="shared" ref="BV1725:BV1762" si="124">IF(AND(C1725=4,M1725="Common"),E1725,"")</f>
        <v/>
      </c>
      <c r="BW1725" s="708" t="str">
        <f t="shared" ref="BW1725:BW1762" si="125">IF(OR(AND(C1725="Efficiency",B1725="60% AMI",NOT(M1725="Common")),AND(C1725="Efficiency",B1725="HOME 60% AMI",NOT(M1725="Common"))),E1725*F1725,"")</f>
        <v/>
      </c>
      <c r="BX1725" s="708" t="str">
        <f t="shared" ref="BX1725:BX1762" si="126">IF(OR(AND(C1725=1,B1725="60% AMI",NOT(M1725="Common")),AND(C1725=1,B1725="HOME 60% AMI",NOT(M1725="Common"))),E1725*F1725,"")</f>
        <v/>
      </c>
      <c r="BY1725" s="708" t="str">
        <f t="shared" ref="BY1725:BY1762" si="127">IF(OR(AND(C1725=2,B1725="60% AMI",NOT(M1725="Common")),AND(C1725=2,B1725="HOME 60% AMI",NOT(M1725="Common"))),E1725*F1725,"")</f>
        <v/>
      </c>
      <c r="BZ1725" s="708" t="str">
        <f t="shared" ref="BZ1725:BZ1762" si="128">IF(OR(AND(C1725=3,B1725="60% AMI",NOT(M1725="Common")),AND(C1725=3,B1725="HOME 60% AMI",NOT(M1725="Common"))),E1725*F1725,"")</f>
        <v/>
      </c>
      <c r="CA1725" s="708" t="str">
        <f t="shared" ref="CA1725:CA1762" si="129">IF(OR(AND(C1725=4,B1725="60% AMI",NOT(M1725="Common")),AND(C1725=4,B1725="HOME 60% AMI",NOT(M1725="Common"))),E1725*F1725,"")</f>
        <v/>
      </c>
      <c r="CB1725" s="708" t="str">
        <f t="shared" ref="CB1725:CB1762" si="130">IF(OR(AND(C1725="Efficiency",B1725="50% AMI",NOT(M1725="Common")),AND(C1725="Efficiency",B1725="HOME 50% AMI",NOT(M1725="Common"))),E1725*F1725,"")</f>
        <v/>
      </c>
      <c r="CC1725" s="708">
        <f t="shared" ref="CC1725:CC1762" si="131">IF(OR(AND(C1725=1,B1725="50% AMI",NOT(M1725="Common")),AND(C1725=1,B1725="HOME 50% AMI",NOT(M1725="Common"))),E1725*F1725,"")</f>
        <v>750</v>
      </c>
      <c r="CD1725" s="708" t="str">
        <f t="shared" ref="CD1725:CD1762" si="132">IF(OR(AND(C1725=2,B1725="50% AMI",NOT(M1725="Common")),AND(C1725=2,B1725="HOME 50% AMI",NOT(M1725="Common"))),E1725*F1725,"")</f>
        <v/>
      </c>
      <c r="CE1725" s="708" t="str">
        <f t="shared" ref="CE1725:CE1762" si="133">IF(OR(AND(C1725=3,B1725="50% AMI",NOT(M1725="Common")),AND(C1725=3,B1725="HOME 50% AMI",NOT(M1725="Common"))),E1725*F1725,"")</f>
        <v/>
      </c>
      <c r="CF1725" s="708" t="str">
        <f t="shared" ref="CF1725:CF1762" si="134">IF(OR(AND(C1725=4,B1725="50% AMI",NOT(M1725="Common")),AND(C1725=4,B1725="HOME 50% AMI",NOT(M1725="Common"))),E1725*F1725,"")</f>
        <v/>
      </c>
      <c r="CG1725" s="708" t="str">
        <f t="shared" ref="CG1725:CG1762" si="135">IF(OR(AND(C1725="Efficiency",B1725="30% AMI",NOT(M1725="Common")),AND(C1725="Efficiency",B1725="HOME 30% AMI",NOT(M1725="Common"))),E1725*F1725,"")</f>
        <v/>
      </c>
      <c r="CH1725" s="708" t="str">
        <f t="shared" ref="CH1725:CH1762" si="136">IF(OR(AND(C1725=1,B1725="30% AMI",NOT(M1725="Common")),AND(C1725=1,B1725="HOME 30% AMI",NOT(M1725="Common"))),E1725*F1725,"")</f>
        <v/>
      </c>
      <c r="CI1725" s="708" t="str">
        <f t="shared" ref="CI1725:CI1762" si="137">IF(OR(AND(C1725=2,B1725="30% AMI",NOT(M1725="Common")),AND(C1725=2,B1725="HOME 30% AMI",NOT(M1725="Common"))),E1725*F1725,"")</f>
        <v/>
      </c>
      <c r="CJ1725" s="708" t="str">
        <f t="shared" ref="CJ1725:CJ1762" si="138">IF(OR(AND(C1725=3,B1725="30% AMI",NOT(M1725="Common")),AND(C1725=3,B1725="HOME 30% AMI",NOT(M1725="Common"))),E1725*F1725,"")</f>
        <v/>
      </c>
      <c r="CK1725" s="708" t="str">
        <f t="shared" ref="CK1725:CK1762" si="139">IF(OR(AND(C1725=4,B1725="30% AMI",NOT(M1725="Common")),AND(C1725=4,B1725="HOME 30% AMI",NOT(M1725="Common"))),E1725*F1725,"")</f>
        <v/>
      </c>
      <c r="CL1725" s="708" t="str">
        <f t="shared" ref="CL1725:CL1762" si="140">IF(AND(C1725="Efficiency",B1725="Unrestricted",NOT(M1725="Common")),E1725*F1725,"")</f>
        <v/>
      </c>
      <c r="CM1725" s="708" t="str">
        <f t="shared" ref="CM1725:CM1762" si="141">IF(AND(C1725=1,B1725="Unrestricted",NOT(M1725="Common")),E1725*F1725,"")</f>
        <v/>
      </c>
      <c r="CN1725" s="708" t="str">
        <f t="shared" ref="CN1725:CN1762" si="142">IF(AND(C1725=2,B1725="Unrestricted",NOT(M1725="Common")),E1725*F1725,"")</f>
        <v/>
      </c>
      <c r="CO1725" s="708" t="str">
        <f t="shared" ref="CO1725:CO1762" si="143">IF(AND(C1725=3,B1725="Unrestricted",NOT(M1725="Common")),E1725*F1725,"")</f>
        <v/>
      </c>
      <c r="CP1725" s="708" t="str">
        <f t="shared" ref="CP1725:CP1762" si="144">IF(AND(C1725=4,B1725="Unrestricted",NOT(M1725="Common")),E1725*F1725,"")</f>
        <v/>
      </c>
      <c r="CQ1725" s="708" t="str">
        <f t="shared" ref="CQ1725:CQ1762" si="145">IF(AND(C1725="Efficiency",NOT(J1725=""),NOT($J1725=0),NOT(M1725="Common")),E1725*F1725,"")</f>
        <v/>
      </c>
      <c r="CR1725" s="708" t="str">
        <f t="shared" ref="CR1725:CR1762" si="146">IF(AND(C1725=1,NOT(J1725=""),NOT($J1725=0),NOT(M1725="Common")),E1725*F1725,"")</f>
        <v/>
      </c>
      <c r="CS1725" s="708" t="str">
        <f t="shared" ref="CS1725:CS1762" si="147">IF(AND(C1725=2,NOT(J1725=""),NOT($J1725=0),NOT(M1725="Common")),E1725*F1725,"")</f>
        <v/>
      </c>
      <c r="CT1725" s="708" t="str">
        <f t="shared" ref="CT1725:CT1762" si="148">IF(AND(C1725=3,NOT(J1725=""),NOT($J1725=0),NOT(M1725="Common")),E1725*F1725,"")</f>
        <v/>
      </c>
      <c r="CU1725" s="708" t="str">
        <f t="shared" ref="CU1725:CU1762" si="149">IF(AND(C1725=4,NOT(J1725=""),NOT($J1725=0),NOT(M1725="Common")),E1725*F1725,"")</f>
        <v/>
      </c>
      <c r="CV1725" s="708" t="str">
        <f t="shared" ref="CV1725:CV1762" si="150">IF(AND(C1725="Efficiency",M1725="Common"),E1725*F1725,"")</f>
        <v/>
      </c>
      <c r="CW1725" s="708" t="str">
        <f t="shared" ref="CW1725:CW1762" si="151">IF(AND(C1725=1,M1725="Common"),E1725*F1725,"")</f>
        <v/>
      </c>
      <c r="CX1725" s="708" t="str">
        <f t="shared" ref="CX1725:CX1762" si="152">IF(AND(C1725=2,M1725="Common"),E1725*F1725,"")</f>
        <v/>
      </c>
      <c r="CY1725" s="708" t="str">
        <f t="shared" ref="CY1725:CY1762" si="153">IF(AND(C1725=3,M1725="Common"),E1725*F1725,"")</f>
        <v/>
      </c>
      <c r="CZ1725" s="708" t="str">
        <f t="shared" ref="CZ1725:CZ1762" si="154">IF(AND(C1725=4,M1725="Common"),E1725*F1725,"")</f>
        <v/>
      </c>
      <c r="DA1725" s="708" t="str">
        <f t="shared" ref="DA1725:DA1762" si="155">IF(AND($C1725="Efficiency", $O1725="New Construction",NOT($B1725="Unrestricted"),NOT($B1725="NSP 120% AMI"),NOT($B1725="N/A-CS"),NOT($M1725="Common")),$E1725,"")</f>
        <v/>
      </c>
      <c r="DB1725" s="708">
        <f t="shared" ref="DB1725:DB1762" si="156">IF(AND($C1725=1, $O1725="New Construction",NOT($B1725="Unrestricted"),NOT($B1725="NSP 120% AMI"),NOT($B1725="N/A-CS"),NOT($M1725="Common")),$E1725,"")</f>
        <v>1</v>
      </c>
      <c r="DC1725" s="708" t="str">
        <f t="shared" ref="DC1725:DC1762" si="157">IF(AND($C1725=2, $O1725="New Construction",NOT($B1725="Unrestricted"),NOT($B1725="NSP 120% AMI"),NOT($B1725="N/A-CS"),NOT($M1725="Common")),$E1725,"")</f>
        <v/>
      </c>
      <c r="DD1725" s="708" t="str">
        <f t="shared" ref="DD1725:DD1762" si="158">IF(AND($C1725=3, $O1725="New Construction",NOT($B1725="Unrestricted"),NOT($B1725="NSP 120% AMI"),NOT($B1725="N/A-CS"),NOT($M1725="Common")),$E1725,"")</f>
        <v/>
      </c>
      <c r="DE1725" s="708" t="str">
        <f t="shared" ref="DE1725:DE1762" si="159">IF(AND($C1725=4, $O1725="New Construction",NOT($B1725="Unrestricted"),NOT($B1725="NSP 120% AMI"),NOT($B1725="N/A-CS"),NOT($M1725="Common")),$E1725,"")</f>
        <v/>
      </c>
      <c r="DF1725" s="708" t="str">
        <f t="shared" ref="DF1725:DF1762" si="160">IF(AND($C1725="Efficiency", $O1725="New Construction",$B1725="Unrestricted",NOT($B1725="N/A-CS"),NOT($M1725="Common")),$E1725,"")</f>
        <v/>
      </c>
      <c r="DG1725" s="708" t="str">
        <f t="shared" ref="DG1725:DG1762" si="161">IF(AND($C1725=1, $O1725="New Construction",$B1725="Unrestricted",NOT($B1725="N/A-CS"),NOT($M1725="Common")),$E1725,"")</f>
        <v/>
      </c>
      <c r="DH1725" s="708" t="str">
        <f t="shared" ref="DH1725:DH1762" si="162">IF(AND($C1725=2, $O1725="New Construction",$B1725="Unrestricted",NOT($B1725="N/A-CS"),NOT($M1725="Common")),$E1725,"")</f>
        <v/>
      </c>
      <c r="DI1725" s="708" t="str">
        <f t="shared" ref="DI1725:DI1762" si="163">IF(AND($C1725=3, $O1725="New Construction",$B1725="Unrestricted",NOT($B1725="N/A-CS"),NOT($M1725="Common")),$E1725,"")</f>
        <v/>
      </c>
      <c r="DJ1725" s="708" t="str">
        <f t="shared" ref="DJ1725:DJ1762" si="164">IF(AND($C1725=4, $O1725="New Construction",$B1725="Unrestricted",NOT($B1725="N/A-CS"),NOT($M1725="Common")),$E1725,"")</f>
        <v/>
      </c>
      <c r="DK1725" s="708" t="str">
        <f t="shared" ref="DK1725:DK1762" si="165">IF(AND($C1725="Efficiency", $O1725="New Construction",$B1725="N/A-CS",$M1725="Common"),$E1725,"")</f>
        <v/>
      </c>
      <c r="DL1725" s="708" t="str">
        <f t="shared" ref="DL1725:DL1762" si="166">IF(AND($C1725=1, $O1725="New Construction",$B1725="N/A-CS",$M1725="Common"),$E1725,"")</f>
        <v/>
      </c>
      <c r="DM1725" s="708" t="str">
        <f t="shared" ref="DM1725:DM1762" si="167">IF(AND($C1725=2, $O1725="New Construction",$B1725="N/A-CS",$M1725="Common"),$E1725,"")</f>
        <v/>
      </c>
      <c r="DN1725" s="708" t="str">
        <f t="shared" ref="DN1725:DN1762" si="168">IF(AND($C1725=3, $O1725="New Construction",$B1725="N/A-CS",$M1725="Common"),$E1725,"")</f>
        <v/>
      </c>
      <c r="DO1725" s="708" t="str">
        <f t="shared" ref="DO1725:DO1762" si="169">IF(AND($C1725=4, $O1725="New Construction",$B1725="N/A-CS",$M1725="Common"),$E1725,"")</f>
        <v/>
      </c>
      <c r="DP1725" s="708" t="str">
        <f t="shared" ref="DP1725:DP1762" si="170">IF(AND($C1725="Efficiency", $O1725="Acquisition/Rehab",NOT($B1725="Unrestricted"),NOT($B1725="NSP 120% AMI"),NOT($B1725="N/A-CS"),NOT($M1725="Common")),$E1725,"")</f>
        <v/>
      </c>
      <c r="DQ1725" s="708" t="str">
        <f t="shared" ref="DQ1725:DQ1762" si="171">IF(AND($C1725=1, $O1725="Acquisition/Rehab",NOT($B1725="Unrestricted"),NOT($B1725="NSP 120% AMI"),NOT($B1725="N/A-CS"),NOT($M1725="Common")),$E1725,"")</f>
        <v/>
      </c>
      <c r="DR1725" s="708" t="str">
        <f t="shared" ref="DR1725:DR1762" si="172">IF(AND($C1725=2, $O1725="Acquisition/Rehab",NOT($B1725="Unrestricted"),NOT($B1725="NSP 120% AMI"),NOT($B1725="N/A-CS"),NOT($M1725="Common")),$E1725,"")</f>
        <v/>
      </c>
      <c r="DS1725" s="708" t="str">
        <f t="shared" ref="DS1725:DS1762" si="173">IF(AND($C1725=3, $O1725="Acquisition/Rehab",NOT($B1725="Unrestricted"),NOT($B1725="NSP 120% AMI"),NOT($B1725="N/A-CS"),NOT($M1725="Common")),$E1725,"")</f>
        <v/>
      </c>
      <c r="DT1725" s="708" t="str">
        <f t="shared" ref="DT1725:DT1762" si="174">IF(AND($C1725=4, $O1725="Acquisition/Rehab",NOT($B1725="Unrestricted"),NOT($B1725="NSP 120% AMI"),NOT($B1725="N/A-CS"),NOT($M1725="Common")),$E1725,"")</f>
        <v/>
      </c>
      <c r="DU1725" s="708" t="str">
        <f t="shared" ref="DU1725:DU1762" si="175">IF(AND($C1725="Efficiency", $O1725="Acquisition/Rehab",$B1725="Unrestricted",NOT($B1725="N/A-CS"),NOT($M1725="Common")),$E1725,"")</f>
        <v/>
      </c>
      <c r="DV1725" s="708" t="str">
        <f t="shared" ref="DV1725:DV1762" si="176">IF(AND($C1725=1, $O1725="Acquisition/Rehab",$B1725="Unrestricted",NOT($B1725="N/A-CS"),NOT($M1725="Common")),$E1725,"")</f>
        <v/>
      </c>
      <c r="DW1725" s="708" t="str">
        <f t="shared" ref="DW1725:DW1762" si="177">IF(AND($C1725=2, $O1725="Acquisition/Rehab",$B1725="Unrestricted",NOT($B1725="N/A-CS"),NOT($M1725="Common")),$E1725,"")</f>
        <v/>
      </c>
      <c r="DX1725" s="708" t="str">
        <f t="shared" ref="DX1725:DX1762" si="178">IF(AND($C1725=3, $O1725="Acquisition/Rehab",$B1725="Unrestricted",NOT($B1725="N/A-CS"),NOT($M1725="Common")),$E1725,"")</f>
        <v/>
      </c>
      <c r="DY1725" s="708" t="str">
        <f t="shared" ref="DY1725:DY1762" si="179">IF(AND($C1725=4, $O1725="Acquisition/Rehab",$B1725="Unrestricted",NOT($B1725="N/A-CS"),NOT($M1725="Common")),$E1725,"")</f>
        <v/>
      </c>
      <c r="DZ1725" s="708" t="str">
        <f t="shared" ref="DZ1725:DZ1762" si="180">IF(AND($C1725="Efficiency", $O1725="Acquisition/Rehab",$B1725="N/A-CS",$M1725="Common"),$E1725,"")</f>
        <v/>
      </c>
      <c r="EA1725" s="708" t="str">
        <f t="shared" ref="EA1725:EA1762" si="181">IF(AND($C1725=1, $O1725="Acquisition/Rehab",$B1725="N/A-CS",$M1725="Common"),$E1725,"")</f>
        <v/>
      </c>
      <c r="EB1725" s="708" t="str">
        <f t="shared" ref="EB1725:EB1762" si="182">IF(AND($C1725=2, $O1725="Acquisition/Rehab",$B1725="N/A-CS",$M1725="Common"),$E1725,"")</f>
        <v/>
      </c>
      <c r="EC1725" s="708" t="str">
        <f t="shared" ref="EC1725:EC1762" si="183">IF(AND($C1725=3, $O1725="Acquisition/Rehab",$B1725="N/A-CS",$M1725="Common"),$E1725,"")</f>
        <v/>
      </c>
      <c r="ED1725" s="708" t="str">
        <f t="shared" ref="ED1725:ED1762" si="184">IF(AND($C1725=4, $O1725="Acquisition/Rehab",$B1725="N/A-CS",$M1725="Common"),$E1725,"")</f>
        <v/>
      </c>
      <c r="EE1725" s="708" t="str">
        <f t="shared" ref="EE1725:EE1762" si="185">IF(AND($C1725="Efficiency", $O1725="Rehabilitation",NOT($B1725="Unrestricted"),NOT($B1725="NSP 120% AMI"),NOT($B1725="N/A-CS"),NOT($M1725="Common")),$E1725,"")</f>
        <v/>
      </c>
      <c r="EF1725" s="708" t="str">
        <f t="shared" ref="EF1725:EF1762" si="186">IF(AND($C1725=1, $O1725="Rehabilitation",NOT($B1725="Unrestricted"),NOT($B1725="NSP 120% AMI"),NOT($B1725="N/A-CS"),NOT($M1725="Common")),$E1725,"")</f>
        <v/>
      </c>
      <c r="EG1725" s="708" t="str">
        <f t="shared" ref="EG1725:EG1762" si="187">IF(AND($C1725=2, $O1725="Rehabilitation",NOT($B1725="Unrestricted"),NOT($B1725="NSP 120% AMI"),NOT($B1725="N/A-CS"),NOT($M1725="Common")),$E1725,"")</f>
        <v/>
      </c>
      <c r="EH1725" s="708" t="str">
        <f t="shared" ref="EH1725:EH1762" si="188">IF(AND($C1725=3, $O1725="Rehabilitation",NOT($B1725="Unrestricted"),NOT($B1725="NSP 120% AMI"),NOT($B1725="N/A-CS"),NOT($M1725="Common")),$E1725,"")</f>
        <v/>
      </c>
      <c r="EI1725" s="708" t="str">
        <f t="shared" ref="EI1725:EI1762" si="189">IF(AND($C1725=4, $O1725="Rehabilitation",NOT($B1725="Unrestricted"),NOT($B1725="NSP 120% AMI"),NOT($B1725="N/A-CS"),NOT($M1725="Common")),$E1725,"")</f>
        <v/>
      </c>
      <c r="EJ1725" s="708" t="str">
        <f t="shared" ref="EJ1725:EJ1762" si="190">IF(AND($C1725="Efficiency", $O1725="Rehabilitation",$B1725="Unrestricted",NOT($B1725="N/A-CS"),NOT($M1725="Common")),$E1725,"")</f>
        <v/>
      </c>
      <c r="EK1725" s="708" t="str">
        <f t="shared" ref="EK1725:EK1762" si="191">IF(AND($C1725=1, $O1725="Rehabilitation",$B1725="Unrestricted",NOT($B1725="N/A-CS"),NOT($M1725="Common")),$E1725,"")</f>
        <v/>
      </c>
      <c r="EL1725" s="708" t="str">
        <f t="shared" ref="EL1725:EL1762" si="192">IF(AND($C1725=2, $O1725="Rehabilitation",$B1725="Unrestricted",NOT($B1725="N/A-CS"),NOT($M1725="Common")),$E1725,"")</f>
        <v/>
      </c>
      <c r="EM1725" s="708" t="str">
        <f t="shared" ref="EM1725:EM1762" si="193">IF(AND($C1725=3, $O1725="Rehabilitation",$B1725="Unrestricted",NOT($B1725="N/A-CS"),NOT($M1725="Common")),$E1725,"")</f>
        <v/>
      </c>
      <c r="EN1725" s="708" t="str">
        <f t="shared" ref="EN1725:EN1762" si="194">IF(AND($C1725=4, $O1725="Rehabilitation",$B1725="Unrestricted",NOT($B1725="N/A-CS"),NOT($M1725="Common")),$E1725,"")</f>
        <v/>
      </c>
      <c r="EO1725" s="708" t="str">
        <f t="shared" ref="EO1725:EO1762" si="195">IF(AND($C1725="Efficiency", $O1725="Rehabilitation",$B1725="N/A-CS",$M1725="Common"),$E1725,"")</f>
        <v/>
      </c>
      <c r="EP1725" s="708" t="str">
        <f t="shared" ref="EP1725:EP1762" si="196">IF(AND($C1725=1, $O1725="Rehabilitation",$B1725="N/A-CS",$M1725="Common"),$E1725,"")</f>
        <v/>
      </c>
      <c r="EQ1725" s="708" t="str">
        <f t="shared" ref="EQ1725:EQ1762" si="197">IF(AND($C1725=2, $O1725="Rehabilitation",$B1725="N/A-CS",$M1725="Common"),$E1725,"")</f>
        <v/>
      </c>
      <c r="ER1725" s="708" t="str">
        <f t="shared" ref="ER1725:ER1762" si="198">IF(AND($C1725=3, $O1725="Rehabilitation",$B1725="N/A-CS",$M1725="Common"),$E1725,"")</f>
        <v/>
      </c>
      <c r="ES1725" s="708" t="str">
        <f t="shared" ref="ES1725:ES1762" si="199">IF(AND($C1725=4, $O1725="Rehabilitation",$B1725="N/A-CS",$M1725="Common"),$E1725,"")</f>
        <v/>
      </c>
      <c r="ET1725" s="708" t="str">
        <f t="shared" ref="ET1725:ET1762" si="200">IF(AND($C1725="Efficiency", NOT(OR($N1725="SF Detached",$N1725="Mfd Home",$N1725="Duplex",$N1725="Townhome"))),$E1725,"")</f>
        <v/>
      </c>
      <c r="EU1725" s="708">
        <f t="shared" ref="EU1725:EU1762" si="201">IF(AND($C1725=1, NOT(OR($N1725="SF Detached",$N1725="Mfd Home",$N1725="Duplex",$N1725="Townhome"))),$E1725,"")</f>
        <v>1</v>
      </c>
      <c r="EV1725" s="708" t="str">
        <f t="shared" ref="EV1725:EV1762" si="202">IF(AND($C1725=2, NOT(OR($N1725="SF Detached",$N1725="Mfd Home",$N1725="Duplex",$N1725="Townhome"))),$E1725,"")</f>
        <v/>
      </c>
      <c r="EW1725" s="708" t="str">
        <f t="shared" ref="EW1725:EW1762" si="203">IF(AND($C1725=3, NOT(OR($N1725="SF Detached",$N1725="Mfd Home",$N1725="Duplex",$N1725="Townhome"))),$E1725,"")</f>
        <v/>
      </c>
      <c r="EX1725" s="708" t="str">
        <f t="shared" ref="EX1725:EX1762" si="204">IF(AND($C1725=4, NOT(OR($N1725="SF Detached",$N1725="Mfd Home",$N1725="Duplex",$N1725="Townhome"))),$E1725,"")</f>
        <v/>
      </c>
      <c r="EY1725" s="708" t="str">
        <f t="shared" ref="EY1725:EY1762" si="205">IF(AND($C1725="Efficiency", $N1725="SF Detached"),$E1725,"")</f>
        <v/>
      </c>
      <c r="EZ1725" s="708" t="str">
        <f t="shared" ref="EZ1725:EZ1762" si="206">IF(AND($C1725=1, $N1725="SF Detached"),$E1725,"")</f>
        <v/>
      </c>
      <c r="FA1725" s="708" t="str">
        <f t="shared" ref="FA1725:FA1762" si="207">IF(AND($C1725=2, $N1725="SF Detached"),$E1725,"")</f>
        <v/>
      </c>
      <c r="FB1725" s="708" t="str">
        <f t="shared" ref="FB1725:FB1762" si="208">IF(AND($C1725=3, $N1725="SF Detached"),$E1725,"")</f>
        <v/>
      </c>
      <c r="FC1725" s="708" t="str">
        <f t="shared" ref="FC1725:FC1762" si="209">IF(AND($C1725=4, $N1725="SF Detached"),$E1725,"")</f>
        <v/>
      </c>
      <c r="FD1725" s="708" t="str">
        <f t="shared" ref="FD1725:FD1762" si="210">IF(AND($C1725="Efficiency", $N1725="MH"),$E1725,"")</f>
        <v/>
      </c>
      <c r="FE1725" s="708" t="str">
        <f t="shared" ref="FE1725:FE1762" si="211">IF(AND($C1725=1, $N1725="MH"),$E1725,"")</f>
        <v/>
      </c>
      <c r="FF1725" s="708" t="str">
        <f t="shared" ref="FF1725:FF1762" si="212">IF(AND($C1725=2, $N1725="MH"),$E1725,"")</f>
        <v/>
      </c>
      <c r="FG1725" s="708" t="str">
        <f t="shared" ref="FG1725:FG1762" si="213">IF(AND($C1725=3, $N1725="MH"),$E1725,"")</f>
        <v/>
      </c>
      <c r="FH1725" s="708" t="str">
        <f t="shared" ref="FH1725:FH1762" si="214">IF(AND($C1725=4, $N1725="MH"),$E1725,"")</f>
        <v/>
      </c>
      <c r="FI1725" s="708" t="str">
        <f t="shared" ref="FI1725:FI1762" si="215">IF(AND($C1725="Efficiency", $N1725="Duplex"),$E1725,"")</f>
        <v/>
      </c>
      <c r="FJ1725" s="708" t="str">
        <f t="shared" ref="FJ1725:FJ1762" si="216">IF(AND($C1725=1, $N1725="Duplex"),$E1725,"")</f>
        <v/>
      </c>
      <c r="FK1725" s="708" t="str">
        <f t="shared" ref="FK1725:FK1762" si="217">IF(AND($C1725=2, $N1725="Duplex"),$E1725,"")</f>
        <v/>
      </c>
      <c r="FL1725" s="708" t="str">
        <f t="shared" ref="FL1725:FL1762" si="218">IF(AND($C1725=3, $N1725="Duplex"),$E1725,"")</f>
        <v/>
      </c>
      <c r="FM1725" s="708" t="str">
        <f t="shared" ref="FM1725:FM1762" si="219">IF(AND($C1725=4, $N1725="Duplex"),$E1725,"")</f>
        <v/>
      </c>
      <c r="FN1725" s="708" t="str">
        <f t="shared" ref="FN1725:FN1762" si="220">IF(AND($C1725="Efficiency", $N1725="Townhome"),$E1725,"")</f>
        <v/>
      </c>
      <c r="FO1725" s="708" t="str">
        <f t="shared" ref="FO1725:FO1762" si="221">IF(AND($C1725=1, $N1725="Townhome"),$E1725,"")</f>
        <v/>
      </c>
      <c r="FP1725" s="708" t="str">
        <f t="shared" ref="FP1725:FP1762" si="222">IF(AND($C1725=2, $N1725="Townhome"),$E1725,"")</f>
        <v/>
      </c>
      <c r="FQ1725" s="708" t="str">
        <f t="shared" ref="FQ1725:FQ1762" si="223">IF(AND($C1725=3, $N1725="Townhome"),$E1725,"")</f>
        <v/>
      </c>
      <c r="FR1725" s="708" t="str">
        <f t="shared" ref="FR1725:FR1762" si="224">IF(AND($C1725=4, $N1725="Townhome"),$E1725,"")</f>
        <v/>
      </c>
      <c r="FS1725" s="708" t="str">
        <f t="shared" ref="FS1725:FS1762" si="225">IF(AND($C1725="Efficiency", $N1725="1-Story"),$E1725,"")</f>
        <v/>
      </c>
      <c r="FT1725" s="708">
        <f t="shared" ref="FT1725:FT1762" si="226">IF(AND($C1725=1, $N1725="1-Story"),$E1725,"")</f>
        <v>1</v>
      </c>
      <c r="FU1725" s="708" t="str">
        <f t="shared" ref="FU1725:FU1762" si="227">IF(AND($C1725=2, $N1725="1-Story"),$E1725,"")</f>
        <v/>
      </c>
      <c r="FV1725" s="708" t="str">
        <f t="shared" ref="FV1725:FV1762" si="228">IF(AND($C1725=3, $N1725="1-Story"),$E1725,"")</f>
        <v/>
      </c>
      <c r="FW1725" s="708" t="str">
        <f t="shared" ref="FW1725:FW1762" si="229">IF(AND($C1725=4, $N1725="1-Story"),$E1725,"")</f>
        <v/>
      </c>
      <c r="FX1725" s="708" t="str">
        <f t="shared" ref="FX1725:FX1762" si="230">IF(AND($C1725="Efficiency", $N1725="2-Story"),$E1725,"")</f>
        <v/>
      </c>
      <c r="FY1725" s="708" t="str">
        <f t="shared" ref="FY1725:FY1762" si="231">IF(AND($C1725=1, $N1725="2-Story"),$E1725,"")</f>
        <v/>
      </c>
      <c r="FZ1725" s="708" t="str">
        <f t="shared" ref="FZ1725:FZ1762" si="232">IF(AND($C1725=2, $N1725="2-Story"),$E1725,"")</f>
        <v/>
      </c>
      <c r="GA1725" s="708" t="str">
        <f t="shared" ref="GA1725:GA1762" si="233">IF(AND($C1725=3, $N1725="2-Story"),$E1725,"")</f>
        <v/>
      </c>
      <c r="GB1725" s="708" t="str">
        <f t="shared" ref="GB1725:GB1762" si="234">IF(AND($C1725=4, $N1725="2-Story"),$E1725,"")</f>
        <v/>
      </c>
      <c r="GC1725" s="708" t="str">
        <f t="shared" ref="GC1725:GC1762" si="235">IF(AND($C1725="Efficiency", $N1725="2-Story Walkup"),$E1725,"")</f>
        <v/>
      </c>
      <c r="GD1725" s="708" t="str">
        <f t="shared" ref="GD1725:GD1762" si="236">IF(AND($C1725=1, $N1725="2-Story Walkup"),$E1725,"")</f>
        <v/>
      </c>
      <c r="GE1725" s="708" t="str">
        <f t="shared" ref="GE1725:GE1762" si="237">IF(AND($C1725=2, $N1725="2-Story Walkup"),$E1725,"")</f>
        <v/>
      </c>
      <c r="GF1725" s="708" t="str">
        <f t="shared" ref="GF1725:GF1762" si="238">IF(AND($C1725=3, $N1725="2-Story Walkup"),$E1725,"")</f>
        <v/>
      </c>
      <c r="GG1725" s="708" t="str">
        <f t="shared" ref="GG1725:GG1762" si="239">IF(AND($C1725=4, $N1725="2-Story Walkup"),$E1725,"")</f>
        <v/>
      </c>
      <c r="GH1725" s="708" t="str">
        <f t="shared" ref="GH1725:GH1762" si="240">IF(AND($C1725="Efficiency", $N1725="3+ Story"),$E1725,"")</f>
        <v/>
      </c>
      <c r="GI1725" s="708" t="str">
        <f t="shared" ref="GI1725:GI1762" si="241">IF(AND($C1725=1, $N1725="3+ Story"),$E1725,"")</f>
        <v/>
      </c>
      <c r="GJ1725" s="708" t="str">
        <f t="shared" ref="GJ1725:GJ1762" si="242">IF(AND($C1725=2, $N1725="3+ Story"),$E1725,"")</f>
        <v/>
      </c>
      <c r="GK1725" s="708" t="str">
        <f t="shared" ref="GK1725:GK1762" si="243">IF(AND($C1725=3, $N1725="3+ Story"),$E1725,"")</f>
        <v/>
      </c>
      <c r="GL1725" s="708" t="str">
        <f t="shared" ref="GL1725:GL1762" si="244">IF(AND($C1725=4, $N1725="3+ Story"),$E1725,"")</f>
        <v/>
      </c>
      <c r="GM1725" s="708" t="str">
        <f t="shared" ref="GM1725:GM1762" si="245">IF(AND($B1725="NSP 120% AMI",$C1725="Efficiency", NOT($M1725="Common")),$E1725,"")</f>
        <v/>
      </c>
      <c r="GN1725" s="708" t="str">
        <f t="shared" ref="GN1725:GN1762" si="246">IF(AND($B1725="NSP 120% AMI",$C1725=1,NOT($M1725="Common")),$E1725,"")</f>
        <v/>
      </c>
      <c r="GO1725" s="708" t="str">
        <f t="shared" ref="GO1725:GO1762" si="247">IF(AND($B1725="NSP 120% AMI",$C1725=2,NOT($M1725="Common")),$E1725,"")</f>
        <v/>
      </c>
      <c r="GP1725" s="708" t="str">
        <f t="shared" ref="GP1725:GP1762" si="248">IF(AND($B1725="NSP 120% AMI",$C1725=3,NOT($M1725="Common")),$E1725,"")</f>
        <v/>
      </c>
      <c r="GQ1725" s="708" t="str">
        <f t="shared" ref="GQ1725:GQ1762" si="249">IF(AND($B1725="NSP 120% AMI",$C1725=4,NOT($M1725="Common")),$E1725,"")</f>
        <v/>
      </c>
      <c r="GR1725" s="708" t="str">
        <f t="shared" ref="GR1725:GR1762" si="250">IF(AND(C1725="Efficiency",B1725="NSP 120% AMI",NOT(M1725="Common")),E1725*F1725,"")</f>
        <v/>
      </c>
      <c r="GS1725" s="708" t="str">
        <f t="shared" ref="GS1725:GS1762" si="251">IF(AND(C1725=1,B1725="NSP 120% AMI",NOT(M1725="Common")),E1725*F1725,"")</f>
        <v/>
      </c>
      <c r="GT1725" s="708" t="str">
        <f t="shared" ref="GT1725:GT1762" si="252">IF(AND(C1725=2,B1725="NSP 120% AMI",NOT(M1725="Common")),E1725*F1725,"")</f>
        <v/>
      </c>
      <c r="GU1725" s="708" t="str">
        <f t="shared" ref="GU1725:GU1762" si="253">IF(AND(C1725=3,B1725="NSP 120% AMI",NOT(M1725="Common")),E1725*F1725,"")</f>
        <v/>
      </c>
      <c r="GV1725" s="708" t="str">
        <f t="shared" ref="GV1725:GV1762" si="254">IF(AND(C1725=4,B1725="NSP 120% AMI",NOT(M1725="Common")),E1725*F1725,"")</f>
        <v/>
      </c>
      <c r="GW1725" s="708" t="str">
        <f t="shared" ref="GW1725:GW1762" si="255">IF(AND($C1725="Efficiency", $O1725="New Construction",$B1725="NSP 120% AMI",NOT($M1725="Common")),$E1725,"")</f>
        <v/>
      </c>
      <c r="GX1725" s="708" t="str">
        <f t="shared" ref="GX1725:GX1762" si="256">IF(AND($C1725=1, $O1725="New Construction",$B1725="NSP 120% AMI",NOT($M1725="Common")),$E1725,"")</f>
        <v/>
      </c>
      <c r="GY1725" s="708" t="str">
        <f t="shared" ref="GY1725:GY1762" si="257">IF(AND($C1725=2, $O1725="New Construction",$B1725="NSP 120% AMI",NOT($M1725="Common")),$E1725,"")</f>
        <v/>
      </c>
      <c r="GZ1725" s="708" t="str">
        <f t="shared" ref="GZ1725:GZ1762" si="258">IF(AND($C1725=3, $O1725="New Construction",$B1725="NSP 120% AMI",NOT($M1725="Common")),$E1725,"")</f>
        <v/>
      </c>
      <c r="HA1725" s="708" t="str">
        <f t="shared" ref="HA1725:HA1762" si="259">IF(AND($C1725=4, $O1725="New Construction",$B1725="NSP 120% AMI",NOT($M1725="Common")),$E1725,"")</f>
        <v/>
      </c>
      <c r="HB1725" s="708" t="str">
        <f t="shared" ref="HB1725:HB1762" si="260">IF(AND($C1725="Efficiency", $O1725="Acquisition/Rehab",$B1725="NSP 120% AMI",NOT($M1725="Common")),$E1725,"")</f>
        <v/>
      </c>
      <c r="HC1725" s="708" t="str">
        <f t="shared" ref="HC1725:HC1762" si="261">IF(AND($C1725=1, $O1725="Acquisition/Rehab",$B1725="NSP 120% AMI",NOT($M1725="Common")),$E1725,"")</f>
        <v/>
      </c>
      <c r="HD1725" s="708" t="str">
        <f t="shared" ref="HD1725:HD1762" si="262">IF(AND($C1725=2, $O1725="Acquisition/Rehab",$B1725="NSP 120% AMI",NOT($M1725="Common")),$E1725,"")</f>
        <v/>
      </c>
      <c r="HE1725" s="708" t="str">
        <f t="shared" ref="HE1725:HE1762" si="263">IF(AND($C1725=3, $O1725="Acquisition/Rehab",$B1725="NSP 120% AMI",NOT($M1725="Common")),$E1725,"")</f>
        <v/>
      </c>
      <c r="HF1725" s="708" t="str">
        <f t="shared" ref="HF1725:HF1762" si="264">IF(AND($C1725=4, $O1725="Acquisition/Rehab",$B1725="NSP 120% AMI",NOT($M1725="Common")),$E1725,"")</f>
        <v/>
      </c>
      <c r="HG1725" s="708" t="str">
        <f t="shared" ref="HG1725:HG1762" si="265">IF(AND($C1725="Efficiency", $O1725="Rehabilitation",$B1725="NSP 120% AMI",NOT($M1725="Common")),$E1725,"")</f>
        <v/>
      </c>
      <c r="HH1725" s="708" t="str">
        <f t="shared" ref="HH1725:HH1762" si="266">IF(AND($C1725=1, $O1725="Rehabilitation",$B1725="NSP 120% AMI",NOT($M1725="Common")),$E1725,"")</f>
        <v/>
      </c>
      <c r="HI1725" s="708" t="str">
        <f t="shared" ref="HI1725:HI1762" si="267">IF(AND($C1725=2, $O1725="Rehabilitation",$B1725="NSP 120% AMI",NOT($M1725="Common")),$E1725,"")</f>
        <v/>
      </c>
      <c r="HJ1725" s="708" t="str">
        <f t="shared" ref="HJ1725:HJ1762" si="268">IF(AND($C1725=3, $O1725="Rehabilitation",$B1725="NSP 120% AMI",NOT($M1725="Common")),$E1725,"")</f>
        <v/>
      </c>
      <c r="HK1725" s="708" t="str">
        <f t="shared" ref="HK1725:HK1762" si="269">IF(AND($C1725=4, $O1725="Rehabilitation",$B1725="NSP 120% AMI",NOT($M1725="Common")),$E1725,"")</f>
        <v/>
      </c>
    </row>
    <row r="1726" spans="1:219" ht="13.15" customHeight="1">
      <c r="A1726" s="708" t="str">
        <f t="shared" ref="A1726:A1762" si="270">IF(AND(E1726&gt;0,OR(B1726="",C1726="",D1726="",F1726="",G1726="", H1726="",M1726="",N1726="",O1726="")),1,"")</f>
        <v/>
      </c>
      <c r="B1726" s="708" t="str">
        <f>'Part VI-Revenues &amp; Expenses'!B11</f>
        <v>50% AMI</v>
      </c>
      <c r="C1726" s="708">
        <f>'Part VI-Revenues &amp; Expenses'!C11</f>
        <v>1</v>
      </c>
      <c r="D1726" s="708">
        <f>'Part VI-Revenues &amp; Expenses'!D11</f>
        <v>1</v>
      </c>
      <c r="E1726" s="708">
        <f>'Part VI-Revenues &amp; Expenses'!E11</f>
        <v>1</v>
      </c>
      <c r="F1726" s="708">
        <f>'Part VI-Revenues &amp; Expenses'!F11</f>
        <v>750</v>
      </c>
      <c r="G1726" s="708">
        <f>'Part VI-Revenues &amp; Expenses'!G11</f>
        <v>596</v>
      </c>
      <c r="H1726" s="708">
        <f>'Part VI-Revenues &amp; Expenses'!H11</f>
        <v>542</v>
      </c>
      <c r="I1726" s="708">
        <f>'Part VI-Revenues &amp; Expenses'!I11</f>
        <v>102</v>
      </c>
      <c r="J1726" s="708">
        <f>'Part VI-Revenues &amp; Expenses'!J11</f>
        <v>0</v>
      </c>
      <c r="K1726" s="708">
        <f t="shared" ref="K1726:K1742" si="271">MAX(0,H1726-I1726)</f>
        <v>440</v>
      </c>
      <c r="L1726" s="708">
        <f t="shared" si="99"/>
        <v>440</v>
      </c>
      <c r="M1726" s="708" t="str">
        <f>'Part VI-Revenues &amp; Expenses'!M11</f>
        <v>No</v>
      </c>
      <c r="N1726" s="708" t="str">
        <f>'Part VI-Revenues &amp; Expenses'!N11</f>
        <v>3+ Story</v>
      </c>
      <c r="O1726" s="708" t="str">
        <f>'Part VI-Revenues &amp; Expenses'!O11</f>
        <v>New Construction</v>
      </c>
      <c r="P1726" s="708">
        <f>'Part VI-Revenues &amp; Expenses'!P11</f>
        <v>21680</v>
      </c>
      <c r="Q1726" s="708">
        <f>'Part VI-Revenues &amp; Expenses'!Q11</f>
        <v>0.74310197086546703</v>
      </c>
      <c r="R1726" s="708">
        <f>'Part VI-Revenues &amp; Expenses'!R11</f>
        <v>0</v>
      </c>
      <c r="T1726" s="708" t="str">
        <f t="shared" si="100"/>
        <v/>
      </c>
      <c r="U1726" s="708" t="str">
        <f t="shared" si="101"/>
        <v/>
      </c>
      <c r="V1726" s="708" t="str">
        <f t="shared" si="102"/>
        <v/>
      </c>
      <c r="W1726" s="708" t="str">
        <f t="shared" si="103"/>
        <v/>
      </c>
      <c r="X1726" s="708" t="str">
        <f t="shared" si="104"/>
        <v/>
      </c>
      <c r="Y1726" s="708" t="str">
        <f t="shared" si="105"/>
        <v/>
      </c>
      <c r="Z1726" s="708">
        <f t="shared" si="106"/>
        <v>1</v>
      </c>
      <c r="AA1726" s="708" t="str">
        <f t="shared" si="107"/>
        <v/>
      </c>
      <c r="AB1726" s="708" t="str">
        <f t="shared" si="108"/>
        <v/>
      </c>
      <c r="AC1726" s="708" t="str">
        <f t="shared" si="109"/>
        <v/>
      </c>
      <c r="AD1726" s="708" t="str">
        <f t="shared" si="110"/>
        <v/>
      </c>
      <c r="AE1726" s="708" t="str">
        <f t="shared" si="111"/>
        <v/>
      </c>
      <c r="AF1726" s="708" t="str">
        <f t="shared" si="112"/>
        <v/>
      </c>
      <c r="AG1726" s="708" t="str">
        <f t="shared" si="113"/>
        <v/>
      </c>
      <c r="AH1726" s="708" t="str">
        <f t="shared" si="114"/>
        <v/>
      </c>
      <c r="AI1726" s="708" t="str">
        <f t="shared" si="115"/>
        <v/>
      </c>
      <c r="AJ1726" s="708" t="str">
        <f t="shared" si="116"/>
        <v/>
      </c>
      <c r="AK1726" s="708" t="str">
        <f t="shared" si="117"/>
        <v/>
      </c>
      <c r="AL1726" s="708" t="str">
        <f t="shared" si="118"/>
        <v/>
      </c>
      <c r="AM1726" s="708" t="str">
        <f t="shared" si="119"/>
        <v/>
      </c>
      <c r="AN1726" s="708" t="str">
        <f t="shared" ref="AN1726:AN1762" si="272">IF(OR(AND($C1726="Efficiency",NOT($J1726=""),NOT($J1726="PHA Oper Sub"),$B1726="30% AMI",NOT($M1726="Common")),AND($C1726="Efficiency",NOT($J1726=""),NOT($J1726="PHA Oper Sub"),$B1726="HOME 30% AMI",NOT($M1726="Common"))),$E1726,"")</f>
        <v/>
      </c>
      <c r="AO1726" s="708" t="str">
        <f t="shared" ref="AO1726:AO1762" si="273">IF(OR(AND($C1726=1,NOT($J1726=""),NOT($J1726="PHA Oper Sub"),$B1726="30% AMI",NOT($M1726="Common")),AND($C1726=1,NOT($J1726=""),NOT($J1726="PHA Oper Sub"),$B1726="HOME 30% AMI",NOT($M1726="Common"))),$E1726,"")</f>
        <v/>
      </c>
      <c r="AP1726" s="708" t="str">
        <f t="shared" ref="AP1726:AP1762" si="274">IF(OR(AND($C1726=2,NOT($J1726=""),NOT($J1726="PHA Oper Sub"),$B1726="30% AMI",NOT($M1726="Common")),AND($C1726=2,NOT($J1726=""),NOT($J1726="PHA Oper Sub"),$B1726="HOME 30% AMI",NOT($M1726="Common"))),$E1726,"")</f>
        <v/>
      </c>
      <c r="AQ1726" s="708" t="str">
        <f t="shared" ref="AQ1726:AQ1762" si="275">IF(OR(AND($C1726=3,NOT($J1726=""),NOT($J1726="PHA Oper Sub"),$B1726="30% AMI",NOT($M1726="Common")),AND($C1726=3,NOT($J1726=""),NOT($J1726="PHA Oper Sub"),$B1726="HOME 30% AMI",NOT($M1726="Common"))),$E1726,"")</f>
        <v/>
      </c>
      <c r="AR1726" s="708" t="str">
        <f t="shared" ref="AR1726:AR1762" si="276">IF(OR(AND($C1726=4,NOT($J1726=""),NOT($J1726="PHA Oper Sub"),$B1726="30% AMI",NOT($M1726="Common")),AND($C1726=4,NOT($J1726=""),NOT($J1726="PHA Oper Sub"),$B1726="HOME 30% AMI",NOT($M1726="Common"))),$E1726,"")</f>
        <v/>
      </c>
      <c r="AS1726" s="708" t="str">
        <f t="shared" ref="AS1726:AS1762" si="277">IF(OR(AND($C1726="Efficiency",NOT($J1726=""),NOT($J1726="PHA Oper Sub"),NOT($J1726=0),$B1726="50% AMI",NOT($M1726="Common")),AND($C1726="Efficiency",NOT($J1726=""),NOT($J1726=0),NOT($J1726="PHA Oper Sub"),$B1726="HOME 50% AMI",NOT($M1726="Common"))),$E1726,"")</f>
        <v/>
      </c>
      <c r="AT1726" s="708" t="str">
        <f t="shared" ref="AT1726:AT1762" si="278">IF(OR(AND($C1726=1,NOT($J1726=""),NOT($J1726=0),NOT($J1726="PHA Oper Sub"),$B1726="50% AMI",NOT($M1726="Common")),AND($C1726=1,NOT($J1726=""),NOT($J1726=0),NOT($J1726="PHA Oper Sub"),$B1726="HOME 50% AMI",NOT($M1726="Common"))),$E1726,"")</f>
        <v/>
      </c>
      <c r="AU1726" s="708" t="str">
        <f t="shared" ref="AU1726:AU1762" si="279">IF(OR(AND($C1726=2,NOT($J1726=""),NOT($J1726=0),NOT($J1726="PHA Oper Sub"),$B1726="50% AMI",NOT($M1726="Common")),AND($C1726=2,NOT($J1726=""),NOT($J1726=0),NOT($J1726="PHA Oper Sub"),$B1726="HOME 50% AMI",NOT($M1726="Common"))),$E1726,"")</f>
        <v/>
      </c>
      <c r="AV1726" s="708" t="str">
        <f t="shared" ref="AV1726:AV1762" si="280">IF(OR(AND($C1726=3,NOT($J1726=""),NOT($J1726=0),NOT($J1726="PHA Oper Sub"),$B1726="50% AMI",NOT($M1726="Common")),AND($C1726=3,NOT($J1726=""),NOT($J1726=0),NOT($J1726="PHA Oper Sub"),$B1726="HOME 50% AMI",NOT($M1726="Common"))),$E1726,"")</f>
        <v/>
      </c>
      <c r="AW1726" s="708" t="str">
        <f t="shared" ref="AW1726:AW1762" si="281">IF(OR(AND($C1726=4,NOT($J1726=""),NOT($J1726=0),NOT($J1726="PHA Oper Sub"),$B1726="50% AMI",NOT($M1726="Common")),AND($C1726=4,NOT($J1726=""),NOT($J1726=0),NOT($J1726="PHA Oper Sub"),$B1726="HOME 50% AMI",NOT($M1726="Common"))),$E1726,"")</f>
        <v/>
      </c>
      <c r="AX1726" s="708" t="str">
        <f t="shared" ref="AX1726:AX1762" si="282">IF(OR(AND($C1726="Efficiency",NOT($J1726=""),NOT($J1726=0),NOT($J1726="PHA Oper Sub"),$B1726="60% AMI",NOT($M1726="Common")),AND($C1726="Efficiency",NOT($J1726=""),NOT($J1726=0),NOT($J1726="PHA Oper Sub"),$B1726="HOME 60% AMI",NOT($M1726="Common"))),$E1726,"")</f>
        <v/>
      </c>
      <c r="AY1726" s="708" t="str">
        <f t="shared" ref="AY1726:AY1762" si="283">IF(OR(AND($C1726=1,NOT($J1726=""),NOT($J1726=0),NOT($J1726="PHA Oper Sub"),$B1726="60% AMI",NOT($M1726="Common")),AND($C1726=1,NOT($J1726=""),NOT($J1726=0),NOT($J1726="PHA Oper Sub"),$B1726="HOME 60% AMI",NOT($M1726="Common"))),$E1726,"")</f>
        <v/>
      </c>
      <c r="AZ1726" s="708" t="str">
        <f t="shared" ref="AZ1726:AZ1762" si="284">IF(OR(AND($C1726=2,NOT($J1726=""),NOT($J1726=0),NOT($J1726="PHA Oper Sub"),$B1726="60% AMI",NOT($M1726="Common")),AND($C1726=2,NOT($J1726=""),NOT($J1726=0),NOT($J1726="PHA Oper Sub"),$B1726="HOME 60% AMI",NOT($M1726="Common"))),$E1726,"")</f>
        <v/>
      </c>
      <c r="BA1726" s="708" t="str">
        <f t="shared" ref="BA1726:BA1762" si="285">IF(OR(AND($C1726=3,NOT($J1726=""),NOT($J1726=0),NOT($J1726="PHA Oper Sub"),$B1726="60% AMI",NOT($M1726="Common")),AND($C1726=3,NOT($J1726=""),NOT($J1726=0),NOT($J1726="PHA Oper Sub"),$B1726="HOME 60% AMI",NOT($M1726="Common"))),$E1726,"")</f>
        <v/>
      </c>
      <c r="BB1726" s="708" t="str">
        <f t="shared" ref="BB1726:BB1762" si="286">IF(OR(AND($C1726=4,NOT($J1726=""),NOT($J1726=0),NOT($J1726="PHA Oper Sub"),$B1726="60% AMI",NOT($M1726="Common")),AND($C1726=4,NOT($J1726=""),NOT($J1726=0),NOT($J1726="PHA Oper Sub"),$B1726="HOME 60% AMI",NOT($M1726="Common"))),$E1726,"")</f>
        <v/>
      </c>
      <c r="BC1726" s="708" t="str">
        <f t="shared" ref="BC1726:BC1762" si="287">IF(OR(AND($C1726="Efficiency",$J1726="PHA Oper Sub",$B1726="30% AMI",NOT($M1726="Common")),AND($C1726="Efficiency",$J1726="PHA Oper Sub",$B1726="HOME 30% AMI",NOT($M1726="Common"))),$E1726,"")</f>
        <v/>
      </c>
      <c r="BD1726" s="708" t="str">
        <f t="shared" ref="BD1726:BD1762" si="288">IF(OR(AND($C1726=1,$J1726="PHA Oper Sub",$B1726="30% AMI",NOT($M1726="Common")),AND($C1726=1,$J1726="PHA Oper Sub",$B1726="HOME 30% AMI",NOT($M1726="Common"))),$E1726,"")</f>
        <v/>
      </c>
      <c r="BE1726" s="708" t="str">
        <f t="shared" ref="BE1726:BE1762" si="289">IF(OR(AND($C1726=2,$J1726="PHA Oper Sub",$B1726="30% AMI",NOT($M1726="Common")),AND($C1726=2,$J1726="PHA Oper Sub",$B1726="HOME 30% AMI",NOT($M1726="Common"))),$E1726,"")</f>
        <v/>
      </c>
      <c r="BF1726" s="708" t="str">
        <f t="shared" ref="BF1726:BF1762" si="290">IF(OR(AND($C1726=3,$J1726="PHA Oper Sub",$B1726="30% AMI",NOT($M1726="Common")),AND($C1726=3,$J1726="PHA Oper Sub",$B1726="HOME 30% AMI",NOT($M1726="Common"))),$E1726,"")</f>
        <v/>
      </c>
      <c r="BG1726" s="708" t="str">
        <f t="shared" ref="BG1726:BG1762" si="291">IF(OR(AND($C1726=4,$J1726="PHA Oper Sub",$B1726="30% AMI",NOT($M1726="Common")),AND($C1726=4,$J1726="PHA Oper Sub",$B1726="HOME 30% AMI",NOT($M1726="Common"))),$E1726,"")</f>
        <v/>
      </c>
      <c r="BH1726" s="708" t="str">
        <f t="shared" ref="BH1726:BH1762" si="292">IF(OR(AND($C1726="Efficiency",$J1726="PHA Oper Sub",$B1726="50% AMI",NOT($M1726="Common")),AND($C1726="Efficiency",$J1726="PHA Oper Sub",$B1726="HOME 50% AMI",NOT($M1726="Common"))),$E1726,"")</f>
        <v/>
      </c>
      <c r="BI1726" s="708" t="str">
        <f t="shared" ref="BI1726:BI1762" si="293">IF(OR(AND($C1726=1,$J1726="PHA Oper Sub",,$B1726="50% AMI",NOT($M1726="Common")),AND($C1726=1,$J1726="PHA Oper Sub",$B1726="HOME 50% AMI",NOT($M1726="Common"))),$E1726,"")</f>
        <v/>
      </c>
      <c r="BJ1726" s="708" t="str">
        <f t="shared" ref="BJ1726:BJ1762" si="294">IF(OR(AND($C1726=2,$J1726="PHA Oper Sub",$B1726="50% AMI",NOT($M1726="Common")),AND($C1726=2,$J1726="PHA Oper Sub",$B1726="HOME 50% AMI",NOT($M1726="Common"))),$E1726,"")</f>
        <v/>
      </c>
      <c r="BK1726" s="708" t="str">
        <f t="shared" ref="BK1726:BK1762" si="295">IF(OR(AND($C1726=3,$J1726="PHA Oper Sub",$B1726="50% AMI",NOT($M1726="Common")),AND($C1726=3,$J1726="PHA Oper Sub",$B1726="HOME 50% AMI",NOT($M1726="Common"))),$E1726,"")</f>
        <v/>
      </c>
      <c r="BL1726" s="708" t="str">
        <f t="shared" ref="BL1726:BL1762" si="296">IF(OR(AND($C1726=4,$J1726="PHA Oper Sub",$B1726="50% AMI",NOT($M1726="Common")),AND($C1726=4,$J1726="PHA Oper Sub",$B1726="HOME 50% AMI",NOT($M1726="Common"))),$E1726,"")</f>
        <v/>
      </c>
      <c r="BM1726" s="708" t="str">
        <f t="shared" ref="BM1726:BM1762" si="297">IF(OR(AND($C1726="Efficiency",$J1726="PHA Oper Sub",$B1726="60% AMI",NOT($M1726="Common")),AND($C1726="Efficiency",$J1726="PHA Oper Sub",$B1726="HOME 60% AMI",NOT($M1726="Common"))),$E1726,"")</f>
        <v/>
      </c>
      <c r="BN1726" s="708" t="str">
        <f t="shared" ref="BN1726:BN1762" si="298">IF(OR(AND($C1726=1,$J1726="PHA Oper Sub",$B1726="60% AMI",NOT($M1726="Common")),AND($C1726=1,$J1726="PHA Oper Sub",$B1726="HOME 60% AMI",NOT($M1726="Common"))),$E1726,"")</f>
        <v/>
      </c>
      <c r="BO1726" s="708" t="str">
        <f t="shared" ref="BO1726:BO1762" si="299">IF(OR(AND($C1726=2,$J1726="PHA Oper Sub",$B1726="60% AMI",NOT($M1726="Common")),AND($C1726=2,$J1726="PHA Oper Sub",$B1726="HOME 60% AMI",NOT($M1726="Common"))),$E1726,"")</f>
        <v/>
      </c>
      <c r="BP1726" s="708" t="str">
        <f t="shared" ref="BP1726:BP1762" si="300">IF(OR(AND($C1726=3,$J1726="PHA Oper Sub",$B1726="60% AMI",NOT($M1726="Common")),AND($C1726=3,$J1726="PHA Oper Sub",$B1726="HOME 60% AMI",NOT($M1726="Common"))),$E1726,"")</f>
        <v/>
      </c>
      <c r="BQ1726" s="708" t="str">
        <f t="shared" ref="BQ1726:BQ1762" si="301">IF(OR(AND($C1726=4,$J1726="PHA Oper Sub",$B1726="60% AMI",NOT($M1726="Common")),AND($C1726=4,$J1726="PHA Oper Sub",$B1726="HOME 60% AMI",NOT($M1726="Common"))),$E1726,"")</f>
        <v/>
      </c>
      <c r="BR1726" s="708" t="str">
        <f t="shared" si="120"/>
        <v/>
      </c>
      <c r="BS1726" s="708" t="str">
        <f t="shared" si="121"/>
        <v/>
      </c>
      <c r="BT1726" s="708" t="str">
        <f t="shared" si="122"/>
        <v/>
      </c>
      <c r="BU1726" s="708" t="str">
        <f t="shared" si="123"/>
        <v/>
      </c>
      <c r="BV1726" s="708" t="str">
        <f t="shared" si="124"/>
        <v/>
      </c>
      <c r="BW1726" s="708" t="str">
        <f t="shared" si="125"/>
        <v/>
      </c>
      <c r="BX1726" s="708" t="str">
        <f t="shared" si="126"/>
        <v/>
      </c>
      <c r="BY1726" s="708" t="str">
        <f t="shared" si="127"/>
        <v/>
      </c>
      <c r="BZ1726" s="708" t="str">
        <f t="shared" si="128"/>
        <v/>
      </c>
      <c r="CA1726" s="708" t="str">
        <f t="shared" si="129"/>
        <v/>
      </c>
      <c r="CB1726" s="708" t="str">
        <f t="shared" si="130"/>
        <v/>
      </c>
      <c r="CC1726" s="708">
        <f t="shared" si="131"/>
        <v>750</v>
      </c>
      <c r="CD1726" s="708" t="str">
        <f t="shared" si="132"/>
        <v/>
      </c>
      <c r="CE1726" s="708" t="str">
        <f t="shared" si="133"/>
        <v/>
      </c>
      <c r="CF1726" s="708" t="str">
        <f t="shared" si="134"/>
        <v/>
      </c>
      <c r="CG1726" s="708" t="str">
        <f t="shared" si="135"/>
        <v/>
      </c>
      <c r="CH1726" s="708" t="str">
        <f t="shared" si="136"/>
        <v/>
      </c>
      <c r="CI1726" s="708" t="str">
        <f t="shared" si="137"/>
        <v/>
      </c>
      <c r="CJ1726" s="708" t="str">
        <f t="shared" si="138"/>
        <v/>
      </c>
      <c r="CK1726" s="708" t="str">
        <f t="shared" si="139"/>
        <v/>
      </c>
      <c r="CL1726" s="708" t="str">
        <f t="shared" si="140"/>
        <v/>
      </c>
      <c r="CM1726" s="708" t="str">
        <f t="shared" si="141"/>
        <v/>
      </c>
      <c r="CN1726" s="708" t="str">
        <f t="shared" si="142"/>
        <v/>
      </c>
      <c r="CO1726" s="708" t="str">
        <f t="shared" si="143"/>
        <v/>
      </c>
      <c r="CP1726" s="708" t="str">
        <f t="shared" si="144"/>
        <v/>
      </c>
      <c r="CQ1726" s="708" t="str">
        <f t="shared" si="145"/>
        <v/>
      </c>
      <c r="CR1726" s="708" t="str">
        <f t="shared" si="146"/>
        <v/>
      </c>
      <c r="CS1726" s="708" t="str">
        <f t="shared" si="147"/>
        <v/>
      </c>
      <c r="CT1726" s="708" t="str">
        <f t="shared" si="148"/>
        <v/>
      </c>
      <c r="CU1726" s="708" t="str">
        <f t="shared" si="149"/>
        <v/>
      </c>
      <c r="CV1726" s="708" t="str">
        <f t="shared" si="150"/>
        <v/>
      </c>
      <c r="CW1726" s="708" t="str">
        <f t="shared" si="151"/>
        <v/>
      </c>
      <c r="CX1726" s="708" t="str">
        <f t="shared" si="152"/>
        <v/>
      </c>
      <c r="CY1726" s="708" t="str">
        <f t="shared" si="153"/>
        <v/>
      </c>
      <c r="CZ1726" s="708" t="str">
        <f t="shared" si="154"/>
        <v/>
      </c>
      <c r="DA1726" s="708" t="str">
        <f t="shared" si="155"/>
        <v/>
      </c>
      <c r="DB1726" s="708">
        <f t="shared" si="156"/>
        <v>1</v>
      </c>
      <c r="DC1726" s="708" t="str">
        <f t="shared" si="157"/>
        <v/>
      </c>
      <c r="DD1726" s="708" t="str">
        <f t="shared" si="158"/>
        <v/>
      </c>
      <c r="DE1726" s="708" t="str">
        <f t="shared" si="159"/>
        <v/>
      </c>
      <c r="DF1726" s="708" t="str">
        <f t="shared" si="160"/>
        <v/>
      </c>
      <c r="DG1726" s="708" t="str">
        <f t="shared" si="161"/>
        <v/>
      </c>
      <c r="DH1726" s="708" t="str">
        <f t="shared" si="162"/>
        <v/>
      </c>
      <c r="DI1726" s="708" t="str">
        <f t="shared" si="163"/>
        <v/>
      </c>
      <c r="DJ1726" s="708" t="str">
        <f t="shared" si="164"/>
        <v/>
      </c>
      <c r="DK1726" s="708" t="str">
        <f t="shared" si="165"/>
        <v/>
      </c>
      <c r="DL1726" s="708" t="str">
        <f t="shared" si="166"/>
        <v/>
      </c>
      <c r="DM1726" s="708" t="str">
        <f t="shared" si="167"/>
        <v/>
      </c>
      <c r="DN1726" s="708" t="str">
        <f t="shared" si="168"/>
        <v/>
      </c>
      <c r="DO1726" s="708" t="str">
        <f t="shared" si="169"/>
        <v/>
      </c>
      <c r="DP1726" s="708" t="str">
        <f t="shared" si="170"/>
        <v/>
      </c>
      <c r="DQ1726" s="708" t="str">
        <f t="shared" si="171"/>
        <v/>
      </c>
      <c r="DR1726" s="708" t="str">
        <f t="shared" si="172"/>
        <v/>
      </c>
      <c r="DS1726" s="708" t="str">
        <f t="shared" si="173"/>
        <v/>
      </c>
      <c r="DT1726" s="708" t="str">
        <f t="shared" si="174"/>
        <v/>
      </c>
      <c r="DU1726" s="708" t="str">
        <f t="shared" si="175"/>
        <v/>
      </c>
      <c r="DV1726" s="708" t="str">
        <f t="shared" si="176"/>
        <v/>
      </c>
      <c r="DW1726" s="708" t="str">
        <f t="shared" si="177"/>
        <v/>
      </c>
      <c r="DX1726" s="708" t="str">
        <f t="shared" si="178"/>
        <v/>
      </c>
      <c r="DY1726" s="708" t="str">
        <f t="shared" si="179"/>
        <v/>
      </c>
      <c r="DZ1726" s="708" t="str">
        <f t="shared" si="180"/>
        <v/>
      </c>
      <c r="EA1726" s="708" t="str">
        <f t="shared" si="181"/>
        <v/>
      </c>
      <c r="EB1726" s="708" t="str">
        <f t="shared" si="182"/>
        <v/>
      </c>
      <c r="EC1726" s="708" t="str">
        <f t="shared" si="183"/>
        <v/>
      </c>
      <c r="ED1726" s="708" t="str">
        <f t="shared" si="184"/>
        <v/>
      </c>
      <c r="EE1726" s="708" t="str">
        <f t="shared" si="185"/>
        <v/>
      </c>
      <c r="EF1726" s="708" t="str">
        <f t="shared" si="186"/>
        <v/>
      </c>
      <c r="EG1726" s="708" t="str">
        <f t="shared" si="187"/>
        <v/>
      </c>
      <c r="EH1726" s="708" t="str">
        <f t="shared" si="188"/>
        <v/>
      </c>
      <c r="EI1726" s="708" t="str">
        <f t="shared" si="189"/>
        <v/>
      </c>
      <c r="EJ1726" s="708" t="str">
        <f t="shared" si="190"/>
        <v/>
      </c>
      <c r="EK1726" s="708" t="str">
        <f t="shared" si="191"/>
        <v/>
      </c>
      <c r="EL1726" s="708" t="str">
        <f t="shared" si="192"/>
        <v/>
      </c>
      <c r="EM1726" s="708" t="str">
        <f t="shared" si="193"/>
        <v/>
      </c>
      <c r="EN1726" s="708" t="str">
        <f t="shared" si="194"/>
        <v/>
      </c>
      <c r="EO1726" s="708" t="str">
        <f t="shared" si="195"/>
        <v/>
      </c>
      <c r="EP1726" s="708" t="str">
        <f t="shared" si="196"/>
        <v/>
      </c>
      <c r="EQ1726" s="708" t="str">
        <f t="shared" si="197"/>
        <v/>
      </c>
      <c r="ER1726" s="708" t="str">
        <f t="shared" si="198"/>
        <v/>
      </c>
      <c r="ES1726" s="708" t="str">
        <f t="shared" si="199"/>
        <v/>
      </c>
      <c r="ET1726" s="708" t="str">
        <f t="shared" si="200"/>
        <v/>
      </c>
      <c r="EU1726" s="708">
        <f t="shared" si="201"/>
        <v>1</v>
      </c>
      <c r="EV1726" s="708" t="str">
        <f t="shared" si="202"/>
        <v/>
      </c>
      <c r="EW1726" s="708" t="str">
        <f t="shared" si="203"/>
        <v/>
      </c>
      <c r="EX1726" s="708" t="str">
        <f t="shared" si="204"/>
        <v/>
      </c>
      <c r="EY1726" s="708" t="str">
        <f t="shared" si="205"/>
        <v/>
      </c>
      <c r="EZ1726" s="708" t="str">
        <f t="shared" si="206"/>
        <v/>
      </c>
      <c r="FA1726" s="708" t="str">
        <f t="shared" si="207"/>
        <v/>
      </c>
      <c r="FB1726" s="708" t="str">
        <f t="shared" si="208"/>
        <v/>
      </c>
      <c r="FC1726" s="708" t="str">
        <f t="shared" si="209"/>
        <v/>
      </c>
      <c r="FD1726" s="708" t="str">
        <f t="shared" si="210"/>
        <v/>
      </c>
      <c r="FE1726" s="708" t="str">
        <f t="shared" si="211"/>
        <v/>
      </c>
      <c r="FF1726" s="708" t="str">
        <f t="shared" si="212"/>
        <v/>
      </c>
      <c r="FG1726" s="708" t="str">
        <f t="shared" si="213"/>
        <v/>
      </c>
      <c r="FH1726" s="708" t="str">
        <f t="shared" si="214"/>
        <v/>
      </c>
      <c r="FI1726" s="708" t="str">
        <f t="shared" si="215"/>
        <v/>
      </c>
      <c r="FJ1726" s="708" t="str">
        <f t="shared" si="216"/>
        <v/>
      </c>
      <c r="FK1726" s="708" t="str">
        <f t="shared" si="217"/>
        <v/>
      </c>
      <c r="FL1726" s="708" t="str">
        <f t="shared" si="218"/>
        <v/>
      </c>
      <c r="FM1726" s="708" t="str">
        <f t="shared" si="219"/>
        <v/>
      </c>
      <c r="FN1726" s="708" t="str">
        <f t="shared" si="220"/>
        <v/>
      </c>
      <c r="FO1726" s="708" t="str">
        <f t="shared" si="221"/>
        <v/>
      </c>
      <c r="FP1726" s="708" t="str">
        <f t="shared" si="222"/>
        <v/>
      </c>
      <c r="FQ1726" s="708" t="str">
        <f t="shared" si="223"/>
        <v/>
      </c>
      <c r="FR1726" s="708" t="str">
        <f t="shared" si="224"/>
        <v/>
      </c>
      <c r="FS1726" s="708" t="str">
        <f t="shared" si="225"/>
        <v/>
      </c>
      <c r="FT1726" s="708" t="str">
        <f t="shared" si="226"/>
        <v/>
      </c>
      <c r="FU1726" s="708" t="str">
        <f t="shared" si="227"/>
        <v/>
      </c>
      <c r="FV1726" s="708" t="str">
        <f t="shared" si="228"/>
        <v/>
      </c>
      <c r="FW1726" s="708" t="str">
        <f t="shared" si="229"/>
        <v/>
      </c>
      <c r="FX1726" s="708" t="str">
        <f t="shared" si="230"/>
        <v/>
      </c>
      <c r="FY1726" s="708" t="str">
        <f t="shared" si="231"/>
        <v/>
      </c>
      <c r="FZ1726" s="708" t="str">
        <f t="shared" si="232"/>
        <v/>
      </c>
      <c r="GA1726" s="708" t="str">
        <f t="shared" si="233"/>
        <v/>
      </c>
      <c r="GB1726" s="708" t="str">
        <f t="shared" si="234"/>
        <v/>
      </c>
      <c r="GC1726" s="708" t="str">
        <f t="shared" si="235"/>
        <v/>
      </c>
      <c r="GD1726" s="708" t="str">
        <f t="shared" si="236"/>
        <v/>
      </c>
      <c r="GE1726" s="708" t="str">
        <f t="shared" si="237"/>
        <v/>
      </c>
      <c r="GF1726" s="708" t="str">
        <f t="shared" si="238"/>
        <v/>
      </c>
      <c r="GG1726" s="708" t="str">
        <f t="shared" si="239"/>
        <v/>
      </c>
      <c r="GH1726" s="708" t="str">
        <f t="shared" si="240"/>
        <v/>
      </c>
      <c r="GI1726" s="708">
        <f t="shared" si="241"/>
        <v>1</v>
      </c>
      <c r="GJ1726" s="708" t="str">
        <f t="shared" si="242"/>
        <v/>
      </c>
      <c r="GK1726" s="708" t="str">
        <f t="shared" si="243"/>
        <v/>
      </c>
      <c r="GL1726" s="708" t="str">
        <f t="shared" si="244"/>
        <v/>
      </c>
      <c r="GM1726" s="708" t="str">
        <f t="shared" si="245"/>
        <v/>
      </c>
      <c r="GN1726" s="708" t="str">
        <f t="shared" si="246"/>
        <v/>
      </c>
      <c r="GO1726" s="708" t="str">
        <f t="shared" si="247"/>
        <v/>
      </c>
      <c r="GP1726" s="708" t="str">
        <f t="shared" si="248"/>
        <v/>
      </c>
      <c r="GQ1726" s="708" t="str">
        <f t="shared" si="249"/>
        <v/>
      </c>
      <c r="GR1726" s="708" t="str">
        <f t="shared" si="250"/>
        <v/>
      </c>
      <c r="GS1726" s="708" t="str">
        <f t="shared" si="251"/>
        <v/>
      </c>
      <c r="GT1726" s="708" t="str">
        <f t="shared" si="252"/>
        <v/>
      </c>
      <c r="GU1726" s="708" t="str">
        <f t="shared" si="253"/>
        <v/>
      </c>
      <c r="GV1726" s="708" t="str">
        <f t="shared" si="254"/>
        <v/>
      </c>
      <c r="GW1726" s="708" t="str">
        <f t="shared" si="255"/>
        <v/>
      </c>
      <c r="GX1726" s="708" t="str">
        <f t="shared" si="256"/>
        <v/>
      </c>
      <c r="GY1726" s="708" t="str">
        <f t="shared" si="257"/>
        <v/>
      </c>
      <c r="GZ1726" s="708" t="str">
        <f t="shared" si="258"/>
        <v/>
      </c>
      <c r="HA1726" s="708" t="str">
        <f t="shared" si="259"/>
        <v/>
      </c>
      <c r="HB1726" s="708" t="str">
        <f t="shared" si="260"/>
        <v/>
      </c>
      <c r="HC1726" s="708" t="str">
        <f t="shared" si="261"/>
        <v/>
      </c>
      <c r="HD1726" s="708" t="str">
        <f t="shared" si="262"/>
        <v/>
      </c>
      <c r="HE1726" s="708" t="str">
        <f t="shared" si="263"/>
        <v/>
      </c>
      <c r="HF1726" s="708" t="str">
        <f t="shared" si="264"/>
        <v/>
      </c>
      <c r="HG1726" s="708" t="str">
        <f t="shared" si="265"/>
        <v/>
      </c>
      <c r="HH1726" s="708" t="str">
        <f t="shared" si="266"/>
        <v/>
      </c>
      <c r="HI1726" s="708" t="str">
        <f t="shared" si="267"/>
        <v/>
      </c>
      <c r="HJ1726" s="708" t="str">
        <f t="shared" si="268"/>
        <v/>
      </c>
      <c r="HK1726" s="708" t="str">
        <f t="shared" si="269"/>
        <v/>
      </c>
    </row>
    <row r="1727" spans="1:219" ht="13.15" customHeight="1">
      <c r="A1727" s="708" t="str">
        <f t="shared" si="270"/>
        <v/>
      </c>
      <c r="B1727" s="708" t="str">
        <f>'Part VI-Revenues &amp; Expenses'!B12</f>
        <v>50% AMI</v>
      </c>
      <c r="C1727" s="708">
        <f>'Part VI-Revenues &amp; Expenses'!C12</f>
        <v>2</v>
      </c>
      <c r="D1727" s="708">
        <f>'Part VI-Revenues &amp; Expenses'!D12</f>
        <v>2</v>
      </c>
      <c r="E1727" s="708">
        <f>'Part VI-Revenues &amp; Expenses'!E12</f>
        <v>1</v>
      </c>
      <c r="F1727" s="708">
        <f>'Part VI-Revenues &amp; Expenses'!F12</f>
        <v>950</v>
      </c>
      <c r="G1727" s="708">
        <f>'Part VI-Revenues &amp; Expenses'!G12</f>
        <v>716</v>
      </c>
      <c r="H1727" s="708">
        <f>'Part VI-Revenues &amp; Expenses'!H12</f>
        <v>601</v>
      </c>
      <c r="I1727" s="708">
        <f>'Part VI-Revenues &amp; Expenses'!I12</f>
        <v>131</v>
      </c>
      <c r="J1727" s="708">
        <f>'Part VI-Revenues &amp; Expenses'!J12</f>
        <v>0</v>
      </c>
      <c r="K1727" s="708">
        <f t="shared" si="271"/>
        <v>470</v>
      </c>
      <c r="L1727" s="708">
        <f t="shared" si="99"/>
        <v>470</v>
      </c>
      <c r="M1727" s="708" t="str">
        <f>'Part VI-Revenues &amp; Expenses'!M12</f>
        <v>No</v>
      </c>
      <c r="N1727" s="708" t="str">
        <f>'Part VI-Revenues &amp; Expenses'!N12</f>
        <v>1-Story</v>
      </c>
      <c r="O1727" s="708" t="str">
        <f>'Part VI-Revenues &amp; Expenses'!O12</f>
        <v>New Construction</v>
      </c>
      <c r="P1727" s="708">
        <f>'Part VI-Revenues &amp; Expenses'!P12</f>
        <v>24040</v>
      </c>
      <c r="Q1727" s="708">
        <f>'Part VI-Revenues &amp; Expenses'!Q12</f>
        <v>0.68666095401313909</v>
      </c>
      <c r="R1727" s="708">
        <f>'Part VI-Revenues &amp; Expenses'!R12</f>
        <v>0</v>
      </c>
      <c r="T1727" s="708" t="str">
        <f t="shared" si="100"/>
        <v/>
      </c>
      <c r="U1727" s="708" t="str">
        <f t="shared" si="101"/>
        <v/>
      </c>
      <c r="V1727" s="708" t="str">
        <f t="shared" si="102"/>
        <v/>
      </c>
      <c r="W1727" s="708" t="str">
        <f t="shared" si="103"/>
        <v/>
      </c>
      <c r="X1727" s="708" t="str">
        <f t="shared" si="104"/>
        <v/>
      </c>
      <c r="Y1727" s="708" t="str">
        <f t="shared" si="105"/>
        <v/>
      </c>
      <c r="Z1727" s="708" t="str">
        <f t="shared" si="106"/>
        <v/>
      </c>
      <c r="AA1727" s="708">
        <f t="shared" si="107"/>
        <v>1</v>
      </c>
      <c r="AB1727" s="708" t="str">
        <f t="shared" si="108"/>
        <v/>
      </c>
      <c r="AC1727" s="708" t="str">
        <f t="shared" si="109"/>
        <v/>
      </c>
      <c r="AD1727" s="708" t="str">
        <f t="shared" si="110"/>
        <v/>
      </c>
      <c r="AE1727" s="708" t="str">
        <f t="shared" si="111"/>
        <v/>
      </c>
      <c r="AF1727" s="708" t="str">
        <f t="shared" si="112"/>
        <v/>
      </c>
      <c r="AG1727" s="708" t="str">
        <f t="shared" si="113"/>
        <v/>
      </c>
      <c r="AH1727" s="708" t="str">
        <f t="shared" si="114"/>
        <v/>
      </c>
      <c r="AI1727" s="708" t="str">
        <f t="shared" si="115"/>
        <v/>
      </c>
      <c r="AJ1727" s="708" t="str">
        <f t="shared" si="116"/>
        <v/>
      </c>
      <c r="AK1727" s="708" t="str">
        <f t="shared" si="117"/>
        <v/>
      </c>
      <c r="AL1727" s="708" t="str">
        <f t="shared" si="118"/>
        <v/>
      </c>
      <c r="AM1727" s="708" t="str">
        <f t="shared" si="119"/>
        <v/>
      </c>
      <c r="AN1727" s="708" t="str">
        <f t="shared" si="272"/>
        <v/>
      </c>
      <c r="AO1727" s="708" t="str">
        <f t="shared" si="273"/>
        <v/>
      </c>
      <c r="AP1727" s="708" t="str">
        <f t="shared" si="274"/>
        <v/>
      </c>
      <c r="AQ1727" s="708" t="str">
        <f t="shared" si="275"/>
        <v/>
      </c>
      <c r="AR1727" s="708" t="str">
        <f t="shared" si="276"/>
        <v/>
      </c>
      <c r="AS1727" s="708" t="str">
        <f t="shared" si="277"/>
        <v/>
      </c>
      <c r="AT1727" s="708" t="str">
        <f t="shared" si="278"/>
        <v/>
      </c>
      <c r="AU1727" s="708" t="str">
        <f t="shared" si="279"/>
        <v/>
      </c>
      <c r="AV1727" s="708" t="str">
        <f t="shared" si="280"/>
        <v/>
      </c>
      <c r="AW1727" s="708" t="str">
        <f t="shared" si="281"/>
        <v/>
      </c>
      <c r="AX1727" s="708" t="str">
        <f t="shared" si="282"/>
        <v/>
      </c>
      <c r="AY1727" s="708" t="str">
        <f t="shared" si="283"/>
        <v/>
      </c>
      <c r="AZ1727" s="708" t="str">
        <f t="shared" si="284"/>
        <v/>
      </c>
      <c r="BA1727" s="708" t="str">
        <f t="shared" si="285"/>
        <v/>
      </c>
      <c r="BB1727" s="708" t="str">
        <f t="shared" si="286"/>
        <v/>
      </c>
      <c r="BC1727" s="708" t="str">
        <f t="shared" si="287"/>
        <v/>
      </c>
      <c r="BD1727" s="708" t="str">
        <f t="shared" si="288"/>
        <v/>
      </c>
      <c r="BE1727" s="708" t="str">
        <f t="shared" si="289"/>
        <v/>
      </c>
      <c r="BF1727" s="708" t="str">
        <f t="shared" si="290"/>
        <v/>
      </c>
      <c r="BG1727" s="708" t="str">
        <f t="shared" si="291"/>
        <v/>
      </c>
      <c r="BH1727" s="708" t="str">
        <f t="shared" si="292"/>
        <v/>
      </c>
      <c r="BI1727" s="708" t="str">
        <f t="shared" si="293"/>
        <v/>
      </c>
      <c r="BJ1727" s="708" t="str">
        <f t="shared" si="294"/>
        <v/>
      </c>
      <c r="BK1727" s="708" t="str">
        <f t="shared" si="295"/>
        <v/>
      </c>
      <c r="BL1727" s="708" t="str">
        <f t="shared" si="296"/>
        <v/>
      </c>
      <c r="BM1727" s="708" t="str">
        <f t="shared" si="297"/>
        <v/>
      </c>
      <c r="BN1727" s="708" t="str">
        <f t="shared" si="298"/>
        <v/>
      </c>
      <c r="BO1727" s="708" t="str">
        <f t="shared" si="299"/>
        <v/>
      </c>
      <c r="BP1727" s="708" t="str">
        <f t="shared" si="300"/>
        <v/>
      </c>
      <c r="BQ1727" s="708" t="str">
        <f t="shared" si="301"/>
        <v/>
      </c>
      <c r="BR1727" s="708" t="str">
        <f t="shared" si="120"/>
        <v/>
      </c>
      <c r="BS1727" s="708" t="str">
        <f t="shared" si="121"/>
        <v/>
      </c>
      <c r="BT1727" s="708" t="str">
        <f t="shared" si="122"/>
        <v/>
      </c>
      <c r="BU1727" s="708" t="str">
        <f t="shared" si="123"/>
        <v/>
      </c>
      <c r="BV1727" s="708" t="str">
        <f t="shared" si="124"/>
        <v/>
      </c>
      <c r="BW1727" s="708" t="str">
        <f t="shared" si="125"/>
        <v/>
      </c>
      <c r="BX1727" s="708" t="str">
        <f t="shared" si="126"/>
        <v/>
      </c>
      <c r="BY1727" s="708" t="str">
        <f t="shared" si="127"/>
        <v/>
      </c>
      <c r="BZ1727" s="708" t="str">
        <f t="shared" si="128"/>
        <v/>
      </c>
      <c r="CA1727" s="708" t="str">
        <f t="shared" si="129"/>
        <v/>
      </c>
      <c r="CB1727" s="708" t="str">
        <f t="shared" si="130"/>
        <v/>
      </c>
      <c r="CC1727" s="708" t="str">
        <f t="shared" si="131"/>
        <v/>
      </c>
      <c r="CD1727" s="708">
        <f t="shared" si="132"/>
        <v>950</v>
      </c>
      <c r="CE1727" s="708" t="str">
        <f t="shared" si="133"/>
        <v/>
      </c>
      <c r="CF1727" s="708" t="str">
        <f t="shared" si="134"/>
        <v/>
      </c>
      <c r="CG1727" s="708" t="str">
        <f t="shared" si="135"/>
        <v/>
      </c>
      <c r="CH1727" s="708" t="str">
        <f t="shared" si="136"/>
        <v/>
      </c>
      <c r="CI1727" s="708" t="str">
        <f t="shared" si="137"/>
        <v/>
      </c>
      <c r="CJ1727" s="708" t="str">
        <f t="shared" si="138"/>
        <v/>
      </c>
      <c r="CK1727" s="708" t="str">
        <f t="shared" si="139"/>
        <v/>
      </c>
      <c r="CL1727" s="708" t="str">
        <f t="shared" si="140"/>
        <v/>
      </c>
      <c r="CM1727" s="708" t="str">
        <f t="shared" si="141"/>
        <v/>
      </c>
      <c r="CN1727" s="708" t="str">
        <f t="shared" si="142"/>
        <v/>
      </c>
      <c r="CO1727" s="708" t="str">
        <f t="shared" si="143"/>
        <v/>
      </c>
      <c r="CP1727" s="708" t="str">
        <f t="shared" si="144"/>
        <v/>
      </c>
      <c r="CQ1727" s="708" t="str">
        <f t="shared" si="145"/>
        <v/>
      </c>
      <c r="CR1727" s="708" t="str">
        <f t="shared" si="146"/>
        <v/>
      </c>
      <c r="CS1727" s="708" t="str">
        <f t="shared" si="147"/>
        <v/>
      </c>
      <c r="CT1727" s="708" t="str">
        <f t="shared" si="148"/>
        <v/>
      </c>
      <c r="CU1727" s="708" t="str">
        <f t="shared" si="149"/>
        <v/>
      </c>
      <c r="CV1727" s="708" t="str">
        <f t="shared" si="150"/>
        <v/>
      </c>
      <c r="CW1727" s="708" t="str">
        <f t="shared" si="151"/>
        <v/>
      </c>
      <c r="CX1727" s="708" t="str">
        <f t="shared" si="152"/>
        <v/>
      </c>
      <c r="CY1727" s="708" t="str">
        <f t="shared" si="153"/>
        <v/>
      </c>
      <c r="CZ1727" s="708" t="str">
        <f t="shared" si="154"/>
        <v/>
      </c>
      <c r="DA1727" s="708" t="str">
        <f t="shared" si="155"/>
        <v/>
      </c>
      <c r="DB1727" s="708" t="str">
        <f t="shared" si="156"/>
        <v/>
      </c>
      <c r="DC1727" s="708">
        <f t="shared" si="157"/>
        <v>1</v>
      </c>
      <c r="DD1727" s="708" t="str">
        <f t="shared" si="158"/>
        <v/>
      </c>
      <c r="DE1727" s="708" t="str">
        <f t="shared" si="159"/>
        <v/>
      </c>
      <c r="DF1727" s="708" t="str">
        <f t="shared" si="160"/>
        <v/>
      </c>
      <c r="DG1727" s="708" t="str">
        <f t="shared" si="161"/>
        <v/>
      </c>
      <c r="DH1727" s="708" t="str">
        <f t="shared" si="162"/>
        <v/>
      </c>
      <c r="DI1727" s="708" t="str">
        <f t="shared" si="163"/>
        <v/>
      </c>
      <c r="DJ1727" s="708" t="str">
        <f t="shared" si="164"/>
        <v/>
      </c>
      <c r="DK1727" s="708" t="str">
        <f t="shared" si="165"/>
        <v/>
      </c>
      <c r="DL1727" s="708" t="str">
        <f t="shared" si="166"/>
        <v/>
      </c>
      <c r="DM1727" s="708" t="str">
        <f t="shared" si="167"/>
        <v/>
      </c>
      <c r="DN1727" s="708" t="str">
        <f t="shared" si="168"/>
        <v/>
      </c>
      <c r="DO1727" s="708" t="str">
        <f t="shared" si="169"/>
        <v/>
      </c>
      <c r="DP1727" s="708" t="str">
        <f t="shared" si="170"/>
        <v/>
      </c>
      <c r="DQ1727" s="708" t="str">
        <f t="shared" si="171"/>
        <v/>
      </c>
      <c r="DR1727" s="708" t="str">
        <f t="shared" si="172"/>
        <v/>
      </c>
      <c r="DS1727" s="708" t="str">
        <f t="shared" si="173"/>
        <v/>
      </c>
      <c r="DT1727" s="708" t="str">
        <f t="shared" si="174"/>
        <v/>
      </c>
      <c r="DU1727" s="708" t="str">
        <f t="shared" si="175"/>
        <v/>
      </c>
      <c r="DV1727" s="708" t="str">
        <f t="shared" si="176"/>
        <v/>
      </c>
      <c r="DW1727" s="708" t="str">
        <f t="shared" si="177"/>
        <v/>
      </c>
      <c r="DX1727" s="708" t="str">
        <f t="shared" si="178"/>
        <v/>
      </c>
      <c r="DY1727" s="708" t="str">
        <f t="shared" si="179"/>
        <v/>
      </c>
      <c r="DZ1727" s="708" t="str">
        <f t="shared" si="180"/>
        <v/>
      </c>
      <c r="EA1727" s="708" t="str">
        <f t="shared" si="181"/>
        <v/>
      </c>
      <c r="EB1727" s="708" t="str">
        <f t="shared" si="182"/>
        <v/>
      </c>
      <c r="EC1727" s="708" t="str">
        <f t="shared" si="183"/>
        <v/>
      </c>
      <c r="ED1727" s="708" t="str">
        <f t="shared" si="184"/>
        <v/>
      </c>
      <c r="EE1727" s="708" t="str">
        <f t="shared" si="185"/>
        <v/>
      </c>
      <c r="EF1727" s="708" t="str">
        <f t="shared" si="186"/>
        <v/>
      </c>
      <c r="EG1727" s="708" t="str">
        <f t="shared" si="187"/>
        <v/>
      </c>
      <c r="EH1727" s="708" t="str">
        <f t="shared" si="188"/>
        <v/>
      </c>
      <c r="EI1727" s="708" t="str">
        <f t="shared" si="189"/>
        <v/>
      </c>
      <c r="EJ1727" s="708" t="str">
        <f t="shared" si="190"/>
        <v/>
      </c>
      <c r="EK1727" s="708" t="str">
        <f t="shared" si="191"/>
        <v/>
      </c>
      <c r="EL1727" s="708" t="str">
        <f t="shared" si="192"/>
        <v/>
      </c>
      <c r="EM1727" s="708" t="str">
        <f t="shared" si="193"/>
        <v/>
      </c>
      <c r="EN1727" s="708" t="str">
        <f t="shared" si="194"/>
        <v/>
      </c>
      <c r="EO1727" s="708" t="str">
        <f t="shared" si="195"/>
        <v/>
      </c>
      <c r="EP1727" s="708" t="str">
        <f t="shared" si="196"/>
        <v/>
      </c>
      <c r="EQ1727" s="708" t="str">
        <f t="shared" si="197"/>
        <v/>
      </c>
      <c r="ER1727" s="708" t="str">
        <f t="shared" si="198"/>
        <v/>
      </c>
      <c r="ES1727" s="708" t="str">
        <f t="shared" si="199"/>
        <v/>
      </c>
      <c r="ET1727" s="708" t="str">
        <f t="shared" si="200"/>
        <v/>
      </c>
      <c r="EU1727" s="708" t="str">
        <f t="shared" si="201"/>
        <v/>
      </c>
      <c r="EV1727" s="708">
        <f t="shared" si="202"/>
        <v>1</v>
      </c>
      <c r="EW1727" s="708" t="str">
        <f t="shared" si="203"/>
        <v/>
      </c>
      <c r="EX1727" s="708" t="str">
        <f t="shared" si="204"/>
        <v/>
      </c>
      <c r="EY1727" s="708" t="str">
        <f t="shared" si="205"/>
        <v/>
      </c>
      <c r="EZ1727" s="708" t="str">
        <f t="shared" si="206"/>
        <v/>
      </c>
      <c r="FA1727" s="708" t="str">
        <f t="shared" si="207"/>
        <v/>
      </c>
      <c r="FB1727" s="708" t="str">
        <f t="shared" si="208"/>
        <v/>
      </c>
      <c r="FC1727" s="708" t="str">
        <f t="shared" si="209"/>
        <v/>
      </c>
      <c r="FD1727" s="708" t="str">
        <f t="shared" si="210"/>
        <v/>
      </c>
      <c r="FE1727" s="708" t="str">
        <f t="shared" si="211"/>
        <v/>
      </c>
      <c r="FF1727" s="708" t="str">
        <f t="shared" si="212"/>
        <v/>
      </c>
      <c r="FG1727" s="708" t="str">
        <f t="shared" si="213"/>
        <v/>
      </c>
      <c r="FH1727" s="708" t="str">
        <f t="shared" si="214"/>
        <v/>
      </c>
      <c r="FI1727" s="708" t="str">
        <f t="shared" si="215"/>
        <v/>
      </c>
      <c r="FJ1727" s="708" t="str">
        <f t="shared" si="216"/>
        <v/>
      </c>
      <c r="FK1727" s="708" t="str">
        <f t="shared" si="217"/>
        <v/>
      </c>
      <c r="FL1727" s="708" t="str">
        <f t="shared" si="218"/>
        <v/>
      </c>
      <c r="FM1727" s="708" t="str">
        <f t="shared" si="219"/>
        <v/>
      </c>
      <c r="FN1727" s="708" t="str">
        <f t="shared" si="220"/>
        <v/>
      </c>
      <c r="FO1727" s="708" t="str">
        <f t="shared" si="221"/>
        <v/>
      </c>
      <c r="FP1727" s="708" t="str">
        <f t="shared" si="222"/>
        <v/>
      </c>
      <c r="FQ1727" s="708" t="str">
        <f t="shared" si="223"/>
        <v/>
      </c>
      <c r="FR1727" s="708" t="str">
        <f t="shared" si="224"/>
        <v/>
      </c>
      <c r="FS1727" s="708" t="str">
        <f t="shared" si="225"/>
        <v/>
      </c>
      <c r="FT1727" s="708" t="str">
        <f t="shared" si="226"/>
        <v/>
      </c>
      <c r="FU1727" s="708">
        <f t="shared" si="227"/>
        <v>1</v>
      </c>
      <c r="FV1727" s="708" t="str">
        <f t="shared" si="228"/>
        <v/>
      </c>
      <c r="FW1727" s="708" t="str">
        <f t="shared" si="229"/>
        <v/>
      </c>
      <c r="FX1727" s="708" t="str">
        <f t="shared" si="230"/>
        <v/>
      </c>
      <c r="FY1727" s="708" t="str">
        <f t="shared" si="231"/>
        <v/>
      </c>
      <c r="FZ1727" s="708" t="str">
        <f t="shared" si="232"/>
        <v/>
      </c>
      <c r="GA1727" s="708" t="str">
        <f t="shared" si="233"/>
        <v/>
      </c>
      <c r="GB1727" s="708" t="str">
        <f t="shared" si="234"/>
        <v/>
      </c>
      <c r="GC1727" s="708" t="str">
        <f t="shared" si="235"/>
        <v/>
      </c>
      <c r="GD1727" s="708" t="str">
        <f t="shared" si="236"/>
        <v/>
      </c>
      <c r="GE1727" s="708" t="str">
        <f t="shared" si="237"/>
        <v/>
      </c>
      <c r="GF1727" s="708" t="str">
        <f t="shared" si="238"/>
        <v/>
      </c>
      <c r="GG1727" s="708" t="str">
        <f t="shared" si="239"/>
        <v/>
      </c>
      <c r="GH1727" s="708" t="str">
        <f t="shared" si="240"/>
        <v/>
      </c>
      <c r="GI1727" s="708" t="str">
        <f t="shared" si="241"/>
        <v/>
      </c>
      <c r="GJ1727" s="708" t="str">
        <f t="shared" si="242"/>
        <v/>
      </c>
      <c r="GK1727" s="708" t="str">
        <f t="shared" si="243"/>
        <v/>
      </c>
      <c r="GL1727" s="708" t="str">
        <f t="shared" si="244"/>
        <v/>
      </c>
      <c r="GM1727" s="708" t="str">
        <f t="shared" si="245"/>
        <v/>
      </c>
      <c r="GN1727" s="708" t="str">
        <f t="shared" si="246"/>
        <v/>
      </c>
      <c r="GO1727" s="708" t="str">
        <f t="shared" si="247"/>
        <v/>
      </c>
      <c r="GP1727" s="708" t="str">
        <f t="shared" si="248"/>
        <v/>
      </c>
      <c r="GQ1727" s="708" t="str">
        <f t="shared" si="249"/>
        <v/>
      </c>
      <c r="GR1727" s="708" t="str">
        <f t="shared" si="250"/>
        <v/>
      </c>
      <c r="GS1727" s="708" t="str">
        <f t="shared" si="251"/>
        <v/>
      </c>
      <c r="GT1727" s="708" t="str">
        <f t="shared" si="252"/>
        <v/>
      </c>
      <c r="GU1727" s="708" t="str">
        <f t="shared" si="253"/>
        <v/>
      </c>
      <c r="GV1727" s="708" t="str">
        <f t="shared" si="254"/>
        <v/>
      </c>
      <c r="GW1727" s="708" t="str">
        <f t="shared" si="255"/>
        <v/>
      </c>
      <c r="GX1727" s="708" t="str">
        <f t="shared" si="256"/>
        <v/>
      </c>
      <c r="GY1727" s="708" t="str">
        <f t="shared" si="257"/>
        <v/>
      </c>
      <c r="GZ1727" s="708" t="str">
        <f t="shared" si="258"/>
        <v/>
      </c>
      <c r="HA1727" s="708" t="str">
        <f t="shared" si="259"/>
        <v/>
      </c>
      <c r="HB1727" s="708" t="str">
        <f t="shared" si="260"/>
        <v/>
      </c>
      <c r="HC1727" s="708" t="str">
        <f t="shared" si="261"/>
        <v/>
      </c>
      <c r="HD1727" s="708" t="str">
        <f t="shared" si="262"/>
        <v/>
      </c>
      <c r="HE1727" s="708" t="str">
        <f t="shared" si="263"/>
        <v/>
      </c>
      <c r="HF1727" s="708" t="str">
        <f t="shared" si="264"/>
        <v/>
      </c>
      <c r="HG1727" s="708" t="str">
        <f t="shared" si="265"/>
        <v/>
      </c>
      <c r="HH1727" s="708" t="str">
        <f t="shared" si="266"/>
        <v/>
      </c>
      <c r="HI1727" s="708" t="str">
        <f t="shared" si="267"/>
        <v/>
      </c>
      <c r="HJ1727" s="708" t="str">
        <f t="shared" si="268"/>
        <v/>
      </c>
      <c r="HK1727" s="708" t="str">
        <f t="shared" si="269"/>
        <v/>
      </c>
    </row>
    <row r="1728" spans="1:219" ht="13.15" customHeight="1">
      <c r="A1728" s="708" t="str">
        <f t="shared" si="270"/>
        <v/>
      </c>
      <c r="B1728" s="708" t="str">
        <f>'Part VI-Revenues &amp; Expenses'!B13</f>
        <v>50% AMI</v>
      </c>
      <c r="C1728" s="708">
        <f>'Part VI-Revenues &amp; Expenses'!C13</f>
        <v>2</v>
      </c>
      <c r="D1728" s="708">
        <f>'Part VI-Revenues &amp; Expenses'!D13</f>
        <v>2</v>
      </c>
      <c r="E1728" s="708">
        <f>'Part VI-Revenues &amp; Expenses'!E13</f>
        <v>9</v>
      </c>
      <c r="F1728" s="708">
        <f>'Part VI-Revenues &amp; Expenses'!F13</f>
        <v>950</v>
      </c>
      <c r="G1728" s="708">
        <f>'Part VI-Revenues &amp; Expenses'!G13</f>
        <v>716</v>
      </c>
      <c r="H1728" s="708">
        <f>'Part VI-Revenues &amp; Expenses'!H13</f>
        <v>601</v>
      </c>
      <c r="I1728" s="708">
        <f>'Part VI-Revenues &amp; Expenses'!I13</f>
        <v>131</v>
      </c>
      <c r="J1728" s="708">
        <f>'Part VI-Revenues &amp; Expenses'!J13</f>
        <v>0</v>
      </c>
      <c r="K1728" s="708">
        <f t="shared" si="271"/>
        <v>470</v>
      </c>
      <c r="L1728" s="708">
        <f t="shared" si="99"/>
        <v>4230</v>
      </c>
      <c r="M1728" s="708" t="str">
        <f>'Part VI-Revenues &amp; Expenses'!M13</f>
        <v>No</v>
      </c>
      <c r="N1728" s="708" t="str">
        <f>'Part VI-Revenues &amp; Expenses'!N13</f>
        <v>3+ Story</v>
      </c>
      <c r="O1728" s="708" t="str">
        <f>'Part VI-Revenues &amp; Expenses'!O13</f>
        <v>New Construction</v>
      </c>
      <c r="P1728" s="708">
        <f>'Part VI-Revenues &amp; Expenses'!P13</f>
        <v>24040</v>
      </c>
      <c r="Q1728" s="708">
        <f>'Part VI-Revenues &amp; Expenses'!Q13</f>
        <v>0.68666095401313909</v>
      </c>
      <c r="R1728" s="708">
        <f>'Part VI-Revenues &amp; Expenses'!R13</f>
        <v>0</v>
      </c>
      <c r="T1728" s="708" t="str">
        <f t="shared" si="100"/>
        <v/>
      </c>
      <c r="U1728" s="708" t="str">
        <f t="shared" si="101"/>
        <v/>
      </c>
      <c r="V1728" s="708" t="str">
        <f t="shared" si="102"/>
        <v/>
      </c>
      <c r="W1728" s="708" t="str">
        <f t="shared" si="103"/>
        <v/>
      </c>
      <c r="X1728" s="708" t="str">
        <f t="shared" si="104"/>
        <v/>
      </c>
      <c r="Y1728" s="708" t="str">
        <f t="shared" si="105"/>
        <v/>
      </c>
      <c r="Z1728" s="708" t="str">
        <f t="shared" si="106"/>
        <v/>
      </c>
      <c r="AA1728" s="708">
        <f t="shared" si="107"/>
        <v>9</v>
      </c>
      <c r="AB1728" s="708" t="str">
        <f t="shared" si="108"/>
        <v/>
      </c>
      <c r="AC1728" s="708" t="str">
        <f t="shared" si="109"/>
        <v/>
      </c>
      <c r="AD1728" s="708" t="str">
        <f t="shared" si="110"/>
        <v/>
      </c>
      <c r="AE1728" s="708" t="str">
        <f t="shared" si="111"/>
        <v/>
      </c>
      <c r="AF1728" s="708" t="str">
        <f t="shared" si="112"/>
        <v/>
      </c>
      <c r="AG1728" s="708" t="str">
        <f t="shared" si="113"/>
        <v/>
      </c>
      <c r="AH1728" s="708" t="str">
        <f t="shared" si="114"/>
        <v/>
      </c>
      <c r="AI1728" s="708" t="str">
        <f t="shared" si="115"/>
        <v/>
      </c>
      <c r="AJ1728" s="708" t="str">
        <f t="shared" si="116"/>
        <v/>
      </c>
      <c r="AK1728" s="708" t="str">
        <f t="shared" si="117"/>
        <v/>
      </c>
      <c r="AL1728" s="708" t="str">
        <f t="shared" si="118"/>
        <v/>
      </c>
      <c r="AM1728" s="708" t="str">
        <f t="shared" si="119"/>
        <v/>
      </c>
      <c r="AN1728" s="708" t="str">
        <f t="shared" si="272"/>
        <v/>
      </c>
      <c r="AO1728" s="708" t="str">
        <f t="shared" si="273"/>
        <v/>
      </c>
      <c r="AP1728" s="708" t="str">
        <f t="shared" si="274"/>
        <v/>
      </c>
      <c r="AQ1728" s="708" t="str">
        <f t="shared" si="275"/>
        <v/>
      </c>
      <c r="AR1728" s="708" t="str">
        <f t="shared" si="276"/>
        <v/>
      </c>
      <c r="AS1728" s="708" t="str">
        <f t="shared" si="277"/>
        <v/>
      </c>
      <c r="AT1728" s="708" t="str">
        <f t="shared" si="278"/>
        <v/>
      </c>
      <c r="AU1728" s="708" t="str">
        <f t="shared" si="279"/>
        <v/>
      </c>
      <c r="AV1728" s="708" t="str">
        <f t="shared" si="280"/>
        <v/>
      </c>
      <c r="AW1728" s="708" t="str">
        <f t="shared" si="281"/>
        <v/>
      </c>
      <c r="AX1728" s="708" t="str">
        <f t="shared" si="282"/>
        <v/>
      </c>
      <c r="AY1728" s="708" t="str">
        <f t="shared" si="283"/>
        <v/>
      </c>
      <c r="AZ1728" s="708" t="str">
        <f t="shared" si="284"/>
        <v/>
      </c>
      <c r="BA1728" s="708" t="str">
        <f t="shared" si="285"/>
        <v/>
      </c>
      <c r="BB1728" s="708" t="str">
        <f t="shared" si="286"/>
        <v/>
      </c>
      <c r="BC1728" s="708" t="str">
        <f t="shared" si="287"/>
        <v/>
      </c>
      <c r="BD1728" s="708" t="str">
        <f t="shared" si="288"/>
        <v/>
      </c>
      <c r="BE1728" s="708" t="str">
        <f t="shared" si="289"/>
        <v/>
      </c>
      <c r="BF1728" s="708" t="str">
        <f t="shared" si="290"/>
        <v/>
      </c>
      <c r="BG1728" s="708" t="str">
        <f t="shared" si="291"/>
        <v/>
      </c>
      <c r="BH1728" s="708" t="str">
        <f t="shared" si="292"/>
        <v/>
      </c>
      <c r="BI1728" s="708" t="str">
        <f t="shared" si="293"/>
        <v/>
      </c>
      <c r="BJ1728" s="708" t="str">
        <f t="shared" si="294"/>
        <v/>
      </c>
      <c r="BK1728" s="708" t="str">
        <f t="shared" si="295"/>
        <v/>
      </c>
      <c r="BL1728" s="708" t="str">
        <f t="shared" si="296"/>
        <v/>
      </c>
      <c r="BM1728" s="708" t="str">
        <f t="shared" si="297"/>
        <v/>
      </c>
      <c r="BN1728" s="708" t="str">
        <f t="shared" si="298"/>
        <v/>
      </c>
      <c r="BO1728" s="708" t="str">
        <f t="shared" si="299"/>
        <v/>
      </c>
      <c r="BP1728" s="708" t="str">
        <f t="shared" si="300"/>
        <v/>
      </c>
      <c r="BQ1728" s="708" t="str">
        <f t="shared" si="301"/>
        <v/>
      </c>
      <c r="BR1728" s="708" t="str">
        <f t="shared" si="120"/>
        <v/>
      </c>
      <c r="BS1728" s="708" t="str">
        <f t="shared" si="121"/>
        <v/>
      </c>
      <c r="BT1728" s="708" t="str">
        <f t="shared" si="122"/>
        <v/>
      </c>
      <c r="BU1728" s="708" t="str">
        <f t="shared" si="123"/>
        <v/>
      </c>
      <c r="BV1728" s="708" t="str">
        <f t="shared" si="124"/>
        <v/>
      </c>
      <c r="BW1728" s="708" t="str">
        <f t="shared" si="125"/>
        <v/>
      </c>
      <c r="BX1728" s="708" t="str">
        <f t="shared" si="126"/>
        <v/>
      </c>
      <c r="BY1728" s="708" t="str">
        <f t="shared" si="127"/>
        <v/>
      </c>
      <c r="BZ1728" s="708" t="str">
        <f t="shared" si="128"/>
        <v/>
      </c>
      <c r="CA1728" s="708" t="str">
        <f t="shared" si="129"/>
        <v/>
      </c>
      <c r="CB1728" s="708" t="str">
        <f t="shared" si="130"/>
        <v/>
      </c>
      <c r="CC1728" s="708" t="str">
        <f t="shared" si="131"/>
        <v/>
      </c>
      <c r="CD1728" s="708">
        <f t="shared" si="132"/>
        <v>8550</v>
      </c>
      <c r="CE1728" s="708" t="str">
        <f t="shared" si="133"/>
        <v/>
      </c>
      <c r="CF1728" s="708" t="str">
        <f t="shared" si="134"/>
        <v/>
      </c>
      <c r="CG1728" s="708" t="str">
        <f t="shared" si="135"/>
        <v/>
      </c>
      <c r="CH1728" s="708" t="str">
        <f t="shared" si="136"/>
        <v/>
      </c>
      <c r="CI1728" s="708" t="str">
        <f t="shared" si="137"/>
        <v/>
      </c>
      <c r="CJ1728" s="708" t="str">
        <f t="shared" si="138"/>
        <v/>
      </c>
      <c r="CK1728" s="708" t="str">
        <f t="shared" si="139"/>
        <v/>
      </c>
      <c r="CL1728" s="708" t="str">
        <f t="shared" si="140"/>
        <v/>
      </c>
      <c r="CM1728" s="708" t="str">
        <f t="shared" si="141"/>
        <v/>
      </c>
      <c r="CN1728" s="708" t="str">
        <f t="shared" si="142"/>
        <v/>
      </c>
      <c r="CO1728" s="708" t="str">
        <f t="shared" si="143"/>
        <v/>
      </c>
      <c r="CP1728" s="708" t="str">
        <f t="shared" si="144"/>
        <v/>
      </c>
      <c r="CQ1728" s="708" t="str">
        <f t="shared" si="145"/>
        <v/>
      </c>
      <c r="CR1728" s="708" t="str">
        <f t="shared" si="146"/>
        <v/>
      </c>
      <c r="CS1728" s="708" t="str">
        <f t="shared" si="147"/>
        <v/>
      </c>
      <c r="CT1728" s="708" t="str">
        <f t="shared" si="148"/>
        <v/>
      </c>
      <c r="CU1728" s="708" t="str">
        <f t="shared" si="149"/>
        <v/>
      </c>
      <c r="CV1728" s="708" t="str">
        <f t="shared" si="150"/>
        <v/>
      </c>
      <c r="CW1728" s="708" t="str">
        <f t="shared" si="151"/>
        <v/>
      </c>
      <c r="CX1728" s="708" t="str">
        <f t="shared" si="152"/>
        <v/>
      </c>
      <c r="CY1728" s="708" t="str">
        <f t="shared" si="153"/>
        <v/>
      </c>
      <c r="CZ1728" s="708" t="str">
        <f t="shared" si="154"/>
        <v/>
      </c>
      <c r="DA1728" s="708" t="str">
        <f t="shared" si="155"/>
        <v/>
      </c>
      <c r="DB1728" s="708" t="str">
        <f t="shared" si="156"/>
        <v/>
      </c>
      <c r="DC1728" s="708">
        <f t="shared" si="157"/>
        <v>9</v>
      </c>
      <c r="DD1728" s="708" t="str">
        <f t="shared" si="158"/>
        <v/>
      </c>
      <c r="DE1728" s="708" t="str">
        <f t="shared" si="159"/>
        <v/>
      </c>
      <c r="DF1728" s="708" t="str">
        <f t="shared" si="160"/>
        <v/>
      </c>
      <c r="DG1728" s="708" t="str">
        <f t="shared" si="161"/>
        <v/>
      </c>
      <c r="DH1728" s="708" t="str">
        <f t="shared" si="162"/>
        <v/>
      </c>
      <c r="DI1728" s="708" t="str">
        <f t="shared" si="163"/>
        <v/>
      </c>
      <c r="DJ1728" s="708" t="str">
        <f t="shared" si="164"/>
        <v/>
      </c>
      <c r="DK1728" s="708" t="str">
        <f t="shared" si="165"/>
        <v/>
      </c>
      <c r="DL1728" s="708" t="str">
        <f t="shared" si="166"/>
        <v/>
      </c>
      <c r="DM1728" s="708" t="str">
        <f t="shared" si="167"/>
        <v/>
      </c>
      <c r="DN1728" s="708" t="str">
        <f t="shared" si="168"/>
        <v/>
      </c>
      <c r="DO1728" s="708" t="str">
        <f t="shared" si="169"/>
        <v/>
      </c>
      <c r="DP1728" s="708" t="str">
        <f t="shared" si="170"/>
        <v/>
      </c>
      <c r="DQ1728" s="708" t="str">
        <f t="shared" si="171"/>
        <v/>
      </c>
      <c r="DR1728" s="708" t="str">
        <f t="shared" si="172"/>
        <v/>
      </c>
      <c r="DS1728" s="708" t="str">
        <f t="shared" si="173"/>
        <v/>
      </c>
      <c r="DT1728" s="708" t="str">
        <f t="shared" si="174"/>
        <v/>
      </c>
      <c r="DU1728" s="708" t="str">
        <f t="shared" si="175"/>
        <v/>
      </c>
      <c r="DV1728" s="708" t="str">
        <f t="shared" si="176"/>
        <v/>
      </c>
      <c r="DW1728" s="708" t="str">
        <f t="shared" si="177"/>
        <v/>
      </c>
      <c r="DX1728" s="708" t="str">
        <f t="shared" si="178"/>
        <v/>
      </c>
      <c r="DY1728" s="708" t="str">
        <f t="shared" si="179"/>
        <v/>
      </c>
      <c r="DZ1728" s="708" t="str">
        <f t="shared" si="180"/>
        <v/>
      </c>
      <c r="EA1728" s="708" t="str">
        <f t="shared" si="181"/>
        <v/>
      </c>
      <c r="EB1728" s="708" t="str">
        <f t="shared" si="182"/>
        <v/>
      </c>
      <c r="EC1728" s="708" t="str">
        <f t="shared" si="183"/>
        <v/>
      </c>
      <c r="ED1728" s="708" t="str">
        <f t="shared" si="184"/>
        <v/>
      </c>
      <c r="EE1728" s="708" t="str">
        <f t="shared" si="185"/>
        <v/>
      </c>
      <c r="EF1728" s="708" t="str">
        <f t="shared" si="186"/>
        <v/>
      </c>
      <c r="EG1728" s="708" t="str">
        <f t="shared" si="187"/>
        <v/>
      </c>
      <c r="EH1728" s="708" t="str">
        <f t="shared" si="188"/>
        <v/>
      </c>
      <c r="EI1728" s="708" t="str">
        <f t="shared" si="189"/>
        <v/>
      </c>
      <c r="EJ1728" s="708" t="str">
        <f t="shared" si="190"/>
        <v/>
      </c>
      <c r="EK1728" s="708" t="str">
        <f t="shared" si="191"/>
        <v/>
      </c>
      <c r="EL1728" s="708" t="str">
        <f t="shared" si="192"/>
        <v/>
      </c>
      <c r="EM1728" s="708" t="str">
        <f t="shared" si="193"/>
        <v/>
      </c>
      <c r="EN1728" s="708" t="str">
        <f t="shared" si="194"/>
        <v/>
      </c>
      <c r="EO1728" s="708" t="str">
        <f t="shared" si="195"/>
        <v/>
      </c>
      <c r="EP1728" s="708" t="str">
        <f t="shared" si="196"/>
        <v/>
      </c>
      <c r="EQ1728" s="708" t="str">
        <f t="shared" si="197"/>
        <v/>
      </c>
      <c r="ER1728" s="708" t="str">
        <f t="shared" si="198"/>
        <v/>
      </c>
      <c r="ES1728" s="708" t="str">
        <f t="shared" si="199"/>
        <v/>
      </c>
      <c r="ET1728" s="708" t="str">
        <f t="shared" si="200"/>
        <v/>
      </c>
      <c r="EU1728" s="708" t="str">
        <f t="shared" si="201"/>
        <v/>
      </c>
      <c r="EV1728" s="708">
        <f t="shared" si="202"/>
        <v>9</v>
      </c>
      <c r="EW1728" s="708" t="str">
        <f t="shared" si="203"/>
        <v/>
      </c>
      <c r="EX1728" s="708" t="str">
        <f t="shared" si="204"/>
        <v/>
      </c>
      <c r="EY1728" s="708" t="str">
        <f t="shared" si="205"/>
        <v/>
      </c>
      <c r="EZ1728" s="708" t="str">
        <f t="shared" si="206"/>
        <v/>
      </c>
      <c r="FA1728" s="708" t="str">
        <f t="shared" si="207"/>
        <v/>
      </c>
      <c r="FB1728" s="708" t="str">
        <f t="shared" si="208"/>
        <v/>
      </c>
      <c r="FC1728" s="708" t="str">
        <f t="shared" si="209"/>
        <v/>
      </c>
      <c r="FD1728" s="708" t="str">
        <f t="shared" si="210"/>
        <v/>
      </c>
      <c r="FE1728" s="708" t="str">
        <f t="shared" si="211"/>
        <v/>
      </c>
      <c r="FF1728" s="708" t="str">
        <f t="shared" si="212"/>
        <v/>
      </c>
      <c r="FG1728" s="708" t="str">
        <f t="shared" si="213"/>
        <v/>
      </c>
      <c r="FH1728" s="708" t="str">
        <f t="shared" si="214"/>
        <v/>
      </c>
      <c r="FI1728" s="708" t="str">
        <f t="shared" si="215"/>
        <v/>
      </c>
      <c r="FJ1728" s="708" t="str">
        <f t="shared" si="216"/>
        <v/>
      </c>
      <c r="FK1728" s="708" t="str">
        <f t="shared" si="217"/>
        <v/>
      </c>
      <c r="FL1728" s="708" t="str">
        <f t="shared" si="218"/>
        <v/>
      </c>
      <c r="FM1728" s="708" t="str">
        <f t="shared" si="219"/>
        <v/>
      </c>
      <c r="FN1728" s="708" t="str">
        <f t="shared" si="220"/>
        <v/>
      </c>
      <c r="FO1728" s="708" t="str">
        <f t="shared" si="221"/>
        <v/>
      </c>
      <c r="FP1728" s="708" t="str">
        <f t="shared" si="222"/>
        <v/>
      </c>
      <c r="FQ1728" s="708" t="str">
        <f t="shared" si="223"/>
        <v/>
      </c>
      <c r="FR1728" s="708" t="str">
        <f t="shared" si="224"/>
        <v/>
      </c>
      <c r="FS1728" s="708" t="str">
        <f t="shared" si="225"/>
        <v/>
      </c>
      <c r="FT1728" s="708" t="str">
        <f t="shared" si="226"/>
        <v/>
      </c>
      <c r="FU1728" s="708" t="str">
        <f t="shared" si="227"/>
        <v/>
      </c>
      <c r="FV1728" s="708" t="str">
        <f t="shared" si="228"/>
        <v/>
      </c>
      <c r="FW1728" s="708" t="str">
        <f t="shared" si="229"/>
        <v/>
      </c>
      <c r="FX1728" s="708" t="str">
        <f t="shared" si="230"/>
        <v/>
      </c>
      <c r="FY1728" s="708" t="str">
        <f t="shared" si="231"/>
        <v/>
      </c>
      <c r="FZ1728" s="708" t="str">
        <f t="shared" si="232"/>
        <v/>
      </c>
      <c r="GA1728" s="708" t="str">
        <f t="shared" si="233"/>
        <v/>
      </c>
      <c r="GB1728" s="708" t="str">
        <f t="shared" si="234"/>
        <v/>
      </c>
      <c r="GC1728" s="708" t="str">
        <f t="shared" si="235"/>
        <v/>
      </c>
      <c r="GD1728" s="708" t="str">
        <f t="shared" si="236"/>
        <v/>
      </c>
      <c r="GE1728" s="708" t="str">
        <f t="shared" si="237"/>
        <v/>
      </c>
      <c r="GF1728" s="708" t="str">
        <f t="shared" si="238"/>
        <v/>
      </c>
      <c r="GG1728" s="708" t="str">
        <f t="shared" si="239"/>
        <v/>
      </c>
      <c r="GH1728" s="708" t="str">
        <f t="shared" si="240"/>
        <v/>
      </c>
      <c r="GI1728" s="708" t="str">
        <f t="shared" si="241"/>
        <v/>
      </c>
      <c r="GJ1728" s="708">
        <f t="shared" si="242"/>
        <v>9</v>
      </c>
      <c r="GK1728" s="708" t="str">
        <f t="shared" si="243"/>
        <v/>
      </c>
      <c r="GL1728" s="708" t="str">
        <f t="shared" si="244"/>
        <v/>
      </c>
      <c r="GM1728" s="708" t="str">
        <f t="shared" si="245"/>
        <v/>
      </c>
      <c r="GN1728" s="708" t="str">
        <f t="shared" si="246"/>
        <v/>
      </c>
      <c r="GO1728" s="708" t="str">
        <f t="shared" si="247"/>
        <v/>
      </c>
      <c r="GP1728" s="708" t="str">
        <f t="shared" si="248"/>
        <v/>
      </c>
      <c r="GQ1728" s="708" t="str">
        <f t="shared" si="249"/>
        <v/>
      </c>
      <c r="GR1728" s="708" t="str">
        <f t="shared" si="250"/>
        <v/>
      </c>
      <c r="GS1728" s="708" t="str">
        <f t="shared" si="251"/>
        <v/>
      </c>
      <c r="GT1728" s="708" t="str">
        <f t="shared" si="252"/>
        <v/>
      </c>
      <c r="GU1728" s="708" t="str">
        <f t="shared" si="253"/>
        <v/>
      </c>
      <c r="GV1728" s="708" t="str">
        <f t="shared" si="254"/>
        <v/>
      </c>
      <c r="GW1728" s="708" t="str">
        <f t="shared" si="255"/>
        <v/>
      </c>
      <c r="GX1728" s="708" t="str">
        <f t="shared" si="256"/>
        <v/>
      </c>
      <c r="GY1728" s="708" t="str">
        <f t="shared" si="257"/>
        <v/>
      </c>
      <c r="GZ1728" s="708" t="str">
        <f t="shared" si="258"/>
        <v/>
      </c>
      <c r="HA1728" s="708" t="str">
        <f t="shared" si="259"/>
        <v/>
      </c>
      <c r="HB1728" s="708" t="str">
        <f t="shared" si="260"/>
        <v/>
      </c>
      <c r="HC1728" s="708" t="str">
        <f t="shared" si="261"/>
        <v/>
      </c>
      <c r="HD1728" s="708" t="str">
        <f t="shared" si="262"/>
        <v/>
      </c>
      <c r="HE1728" s="708" t="str">
        <f t="shared" si="263"/>
        <v/>
      </c>
      <c r="HF1728" s="708" t="str">
        <f t="shared" si="264"/>
        <v/>
      </c>
      <c r="HG1728" s="708" t="str">
        <f t="shared" si="265"/>
        <v/>
      </c>
      <c r="HH1728" s="708" t="str">
        <f t="shared" si="266"/>
        <v/>
      </c>
      <c r="HI1728" s="708" t="str">
        <f t="shared" si="267"/>
        <v/>
      </c>
      <c r="HJ1728" s="708" t="str">
        <f t="shared" si="268"/>
        <v/>
      </c>
      <c r="HK1728" s="708" t="str">
        <f t="shared" si="269"/>
        <v/>
      </c>
    </row>
    <row r="1729" spans="1:219" ht="13.15" customHeight="1">
      <c r="A1729" s="708" t="str">
        <f t="shared" si="270"/>
        <v/>
      </c>
      <c r="B1729" s="708" t="str">
        <f>'Part VI-Revenues &amp; Expenses'!B14</f>
        <v>50% AMI</v>
      </c>
      <c r="C1729" s="708">
        <f>'Part VI-Revenues &amp; Expenses'!C14</f>
        <v>3</v>
      </c>
      <c r="D1729" s="708">
        <f>'Part VI-Revenues &amp; Expenses'!D14</f>
        <v>2</v>
      </c>
      <c r="E1729" s="708">
        <f>'Part VI-Revenues &amp; Expenses'!E14</f>
        <v>4</v>
      </c>
      <c r="F1729" s="708">
        <f>'Part VI-Revenues &amp; Expenses'!F14</f>
        <v>1100</v>
      </c>
      <c r="G1729" s="708">
        <f>'Part VI-Revenues &amp; Expenses'!G14</f>
        <v>826</v>
      </c>
      <c r="H1729" s="708">
        <f>'Part VI-Revenues &amp; Expenses'!H14</f>
        <v>721</v>
      </c>
      <c r="I1729" s="708">
        <f>'Part VI-Revenues &amp; Expenses'!I14</f>
        <v>161</v>
      </c>
      <c r="J1729" s="708">
        <f>'Part VI-Revenues &amp; Expenses'!J14</f>
        <v>0</v>
      </c>
      <c r="K1729" s="708">
        <f t="shared" si="271"/>
        <v>560</v>
      </c>
      <c r="L1729" s="708">
        <f t="shared" si="99"/>
        <v>2240</v>
      </c>
      <c r="M1729" s="708" t="str">
        <f>'Part VI-Revenues &amp; Expenses'!M14</f>
        <v>No</v>
      </c>
      <c r="N1729" s="708" t="str">
        <f>'Part VI-Revenues &amp; Expenses'!N14</f>
        <v>3+ Story</v>
      </c>
      <c r="O1729" s="708" t="str">
        <f>'Part VI-Revenues &amp; Expenses'!O14</f>
        <v>New Construction</v>
      </c>
      <c r="P1729" s="708">
        <f>'Part VI-Revenues &amp; Expenses'!P14</f>
        <v>28840</v>
      </c>
      <c r="Q1729" s="708">
        <f>'Part VI-Revenues &amp; Expenses'!Q14</f>
        <v>0.71287324500692106</v>
      </c>
      <c r="R1729" s="708">
        <f>'Part VI-Revenues &amp; Expenses'!R14</f>
        <v>0</v>
      </c>
      <c r="T1729" s="708" t="str">
        <f t="shared" si="100"/>
        <v/>
      </c>
      <c r="U1729" s="708" t="str">
        <f t="shared" si="101"/>
        <v/>
      </c>
      <c r="V1729" s="708" t="str">
        <f t="shared" si="102"/>
        <v/>
      </c>
      <c r="W1729" s="708" t="str">
        <f t="shared" si="103"/>
        <v/>
      </c>
      <c r="X1729" s="708" t="str">
        <f t="shared" si="104"/>
        <v/>
      </c>
      <c r="Y1729" s="708" t="str">
        <f t="shared" si="105"/>
        <v/>
      </c>
      <c r="Z1729" s="708" t="str">
        <f t="shared" si="106"/>
        <v/>
      </c>
      <c r="AA1729" s="708" t="str">
        <f t="shared" si="107"/>
        <v/>
      </c>
      <c r="AB1729" s="708">
        <f t="shared" si="108"/>
        <v>4</v>
      </c>
      <c r="AC1729" s="708" t="str">
        <f t="shared" si="109"/>
        <v/>
      </c>
      <c r="AD1729" s="708" t="str">
        <f t="shared" si="110"/>
        <v/>
      </c>
      <c r="AE1729" s="708" t="str">
        <f t="shared" si="111"/>
        <v/>
      </c>
      <c r="AF1729" s="708" t="str">
        <f t="shared" si="112"/>
        <v/>
      </c>
      <c r="AG1729" s="708" t="str">
        <f t="shared" si="113"/>
        <v/>
      </c>
      <c r="AH1729" s="708" t="str">
        <f t="shared" si="114"/>
        <v/>
      </c>
      <c r="AI1729" s="708" t="str">
        <f t="shared" si="115"/>
        <v/>
      </c>
      <c r="AJ1729" s="708" t="str">
        <f t="shared" si="116"/>
        <v/>
      </c>
      <c r="AK1729" s="708" t="str">
        <f t="shared" si="117"/>
        <v/>
      </c>
      <c r="AL1729" s="708" t="str">
        <f t="shared" si="118"/>
        <v/>
      </c>
      <c r="AM1729" s="708" t="str">
        <f t="shared" si="119"/>
        <v/>
      </c>
      <c r="AN1729" s="708" t="str">
        <f t="shared" si="272"/>
        <v/>
      </c>
      <c r="AO1729" s="708" t="str">
        <f t="shared" si="273"/>
        <v/>
      </c>
      <c r="AP1729" s="708" t="str">
        <f t="shared" si="274"/>
        <v/>
      </c>
      <c r="AQ1729" s="708" t="str">
        <f t="shared" si="275"/>
        <v/>
      </c>
      <c r="AR1729" s="708" t="str">
        <f t="shared" si="276"/>
        <v/>
      </c>
      <c r="AS1729" s="708" t="str">
        <f t="shared" si="277"/>
        <v/>
      </c>
      <c r="AT1729" s="708" t="str">
        <f t="shared" si="278"/>
        <v/>
      </c>
      <c r="AU1729" s="708" t="str">
        <f t="shared" si="279"/>
        <v/>
      </c>
      <c r="AV1729" s="708" t="str">
        <f t="shared" si="280"/>
        <v/>
      </c>
      <c r="AW1729" s="708" t="str">
        <f t="shared" si="281"/>
        <v/>
      </c>
      <c r="AX1729" s="708" t="str">
        <f t="shared" si="282"/>
        <v/>
      </c>
      <c r="AY1729" s="708" t="str">
        <f t="shared" si="283"/>
        <v/>
      </c>
      <c r="AZ1729" s="708" t="str">
        <f t="shared" si="284"/>
        <v/>
      </c>
      <c r="BA1729" s="708" t="str">
        <f t="shared" si="285"/>
        <v/>
      </c>
      <c r="BB1729" s="708" t="str">
        <f t="shared" si="286"/>
        <v/>
      </c>
      <c r="BC1729" s="708" t="str">
        <f t="shared" si="287"/>
        <v/>
      </c>
      <c r="BD1729" s="708" t="str">
        <f t="shared" si="288"/>
        <v/>
      </c>
      <c r="BE1729" s="708" t="str">
        <f t="shared" si="289"/>
        <v/>
      </c>
      <c r="BF1729" s="708" t="str">
        <f t="shared" si="290"/>
        <v/>
      </c>
      <c r="BG1729" s="708" t="str">
        <f t="shared" si="291"/>
        <v/>
      </c>
      <c r="BH1729" s="708" t="str">
        <f t="shared" si="292"/>
        <v/>
      </c>
      <c r="BI1729" s="708" t="str">
        <f t="shared" si="293"/>
        <v/>
      </c>
      <c r="BJ1729" s="708" t="str">
        <f t="shared" si="294"/>
        <v/>
      </c>
      <c r="BK1729" s="708" t="str">
        <f t="shared" si="295"/>
        <v/>
      </c>
      <c r="BL1729" s="708" t="str">
        <f t="shared" si="296"/>
        <v/>
      </c>
      <c r="BM1729" s="708" t="str">
        <f t="shared" si="297"/>
        <v/>
      </c>
      <c r="BN1729" s="708" t="str">
        <f t="shared" si="298"/>
        <v/>
      </c>
      <c r="BO1729" s="708" t="str">
        <f t="shared" si="299"/>
        <v/>
      </c>
      <c r="BP1729" s="708" t="str">
        <f t="shared" si="300"/>
        <v/>
      </c>
      <c r="BQ1729" s="708" t="str">
        <f t="shared" si="301"/>
        <v/>
      </c>
      <c r="BR1729" s="708" t="str">
        <f t="shared" si="120"/>
        <v/>
      </c>
      <c r="BS1729" s="708" t="str">
        <f t="shared" si="121"/>
        <v/>
      </c>
      <c r="BT1729" s="708" t="str">
        <f t="shared" si="122"/>
        <v/>
      </c>
      <c r="BU1729" s="708" t="str">
        <f t="shared" si="123"/>
        <v/>
      </c>
      <c r="BV1729" s="708" t="str">
        <f t="shared" si="124"/>
        <v/>
      </c>
      <c r="BW1729" s="708" t="str">
        <f t="shared" si="125"/>
        <v/>
      </c>
      <c r="BX1729" s="708" t="str">
        <f t="shared" si="126"/>
        <v/>
      </c>
      <c r="BY1729" s="708" t="str">
        <f t="shared" si="127"/>
        <v/>
      </c>
      <c r="BZ1729" s="708" t="str">
        <f t="shared" si="128"/>
        <v/>
      </c>
      <c r="CA1729" s="708" t="str">
        <f t="shared" si="129"/>
        <v/>
      </c>
      <c r="CB1729" s="708" t="str">
        <f t="shared" si="130"/>
        <v/>
      </c>
      <c r="CC1729" s="708" t="str">
        <f t="shared" si="131"/>
        <v/>
      </c>
      <c r="CD1729" s="708" t="str">
        <f t="shared" si="132"/>
        <v/>
      </c>
      <c r="CE1729" s="708">
        <f t="shared" si="133"/>
        <v>4400</v>
      </c>
      <c r="CF1729" s="708" t="str">
        <f t="shared" si="134"/>
        <v/>
      </c>
      <c r="CG1729" s="708" t="str">
        <f t="shared" si="135"/>
        <v/>
      </c>
      <c r="CH1729" s="708" t="str">
        <f t="shared" si="136"/>
        <v/>
      </c>
      <c r="CI1729" s="708" t="str">
        <f t="shared" si="137"/>
        <v/>
      </c>
      <c r="CJ1729" s="708" t="str">
        <f t="shared" si="138"/>
        <v/>
      </c>
      <c r="CK1729" s="708" t="str">
        <f t="shared" si="139"/>
        <v/>
      </c>
      <c r="CL1729" s="708" t="str">
        <f t="shared" si="140"/>
        <v/>
      </c>
      <c r="CM1729" s="708" t="str">
        <f t="shared" si="141"/>
        <v/>
      </c>
      <c r="CN1729" s="708" t="str">
        <f t="shared" si="142"/>
        <v/>
      </c>
      <c r="CO1729" s="708" t="str">
        <f t="shared" si="143"/>
        <v/>
      </c>
      <c r="CP1729" s="708" t="str">
        <f t="shared" si="144"/>
        <v/>
      </c>
      <c r="CQ1729" s="708" t="str">
        <f t="shared" si="145"/>
        <v/>
      </c>
      <c r="CR1729" s="708" t="str">
        <f t="shared" si="146"/>
        <v/>
      </c>
      <c r="CS1729" s="708" t="str">
        <f t="shared" si="147"/>
        <v/>
      </c>
      <c r="CT1729" s="708" t="str">
        <f t="shared" si="148"/>
        <v/>
      </c>
      <c r="CU1729" s="708" t="str">
        <f t="shared" si="149"/>
        <v/>
      </c>
      <c r="CV1729" s="708" t="str">
        <f t="shared" si="150"/>
        <v/>
      </c>
      <c r="CW1729" s="708" t="str">
        <f t="shared" si="151"/>
        <v/>
      </c>
      <c r="CX1729" s="708" t="str">
        <f t="shared" si="152"/>
        <v/>
      </c>
      <c r="CY1729" s="708" t="str">
        <f t="shared" si="153"/>
        <v/>
      </c>
      <c r="CZ1729" s="708" t="str">
        <f t="shared" si="154"/>
        <v/>
      </c>
      <c r="DA1729" s="708" t="str">
        <f t="shared" si="155"/>
        <v/>
      </c>
      <c r="DB1729" s="708" t="str">
        <f t="shared" si="156"/>
        <v/>
      </c>
      <c r="DC1729" s="708" t="str">
        <f t="shared" si="157"/>
        <v/>
      </c>
      <c r="DD1729" s="708">
        <f t="shared" si="158"/>
        <v>4</v>
      </c>
      <c r="DE1729" s="708" t="str">
        <f t="shared" si="159"/>
        <v/>
      </c>
      <c r="DF1729" s="708" t="str">
        <f t="shared" si="160"/>
        <v/>
      </c>
      <c r="DG1729" s="708" t="str">
        <f t="shared" si="161"/>
        <v/>
      </c>
      <c r="DH1729" s="708" t="str">
        <f t="shared" si="162"/>
        <v/>
      </c>
      <c r="DI1729" s="708" t="str">
        <f t="shared" si="163"/>
        <v/>
      </c>
      <c r="DJ1729" s="708" t="str">
        <f t="shared" si="164"/>
        <v/>
      </c>
      <c r="DK1729" s="708" t="str">
        <f t="shared" si="165"/>
        <v/>
      </c>
      <c r="DL1729" s="708" t="str">
        <f t="shared" si="166"/>
        <v/>
      </c>
      <c r="DM1729" s="708" t="str">
        <f t="shared" si="167"/>
        <v/>
      </c>
      <c r="DN1729" s="708" t="str">
        <f t="shared" si="168"/>
        <v/>
      </c>
      <c r="DO1729" s="708" t="str">
        <f t="shared" si="169"/>
        <v/>
      </c>
      <c r="DP1729" s="708" t="str">
        <f t="shared" si="170"/>
        <v/>
      </c>
      <c r="DQ1729" s="708" t="str">
        <f t="shared" si="171"/>
        <v/>
      </c>
      <c r="DR1729" s="708" t="str">
        <f t="shared" si="172"/>
        <v/>
      </c>
      <c r="DS1729" s="708" t="str">
        <f t="shared" si="173"/>
        <v/>
      </c>
      <c r="DT1729" s="708" t="str">
        <f t="shared" si="174"/>
        <v/>
      </c>
      <c r="DU1729" s="708" t="str">
        <f t="shared" si="175"/>
        <v/>
      </c>
      <c r="DV1729" s="708" t="str">
        <f t="shared" si="176"/>
        <v/>
      </c>
      <c r="DW1729" s="708" t="str">
        <f t="shared" si="177"/>
        <v/>
      </c>
      <c r="DX1729" s="708" t="str">
        <f t="shared" si="178"/>
        <v/>
      </c>
      <c r="DY1729" s="708" t="str">
        <f t="shared" si="179"/>
        <v/>
      </c>
      <c r="DZ1729" s="708" t="str">
        <f t="shared" si="180"/>
        <v/>
      </c>
      <c r="EA1729" s="708" t="str">
        <f t="shared" si="181"/>
        <v/>
      </c>
      <c r="EB1729" s="708" t="str">
        <f t="shared" si="182"/>
        <v/>
      </c>
      <c r="EC1729" s="708" t="str">
        <f t="shared" si="183"/>
        <v/>
      </c>
      <c r="ED1729" s="708" t="str">
        <f t="shared" si="184"/>
        <v/>
      </c>
      <c r="EE1729" s="708" t="str">
        <f t="shared" si="185"/>
        <v/>
      </c>
      <c r="EF1729" s="708" t="str">
        <f t="shared" si="186"/>
        <v/>
      </c>
      <c r="EG1729" s="708" t="str">
        <f t="shared" si="187"/>
        <v/>
      </c>
      <c r="EH1729" s="708" t="str">
        <f t="shared" si="188"/>
        <v/>
      </c>
      <c r="EI1729" s="708" t="str">
        <f t="shared" si="189"/>
        <v/>
      </c>
      <c r="EJ1729" s="708" t="str">
        <f t="shared" si="190"/>
        <v/>
      </c>
      <c r="EK1729" s="708" t="str">
        <f t="shared" si="191"/>
        <v/>
      </c>
      <c r="EL1729" s="708" t="str">
        <f t="shared" si="192"/>
        <v/>
      </c>
      <c r="EM1729" s="708" t="str">
        <f t="shared" si="193"/>
        <v/>
      </c>
      <c r="EN1729" s="708" t="str">
        <f t="shared" si="194"/>
        <v/>
      </c>
      <c r="EO1729" s="708" t="str">
        <f t="shared" si="195"/>
        <v/>
      </c>
      <c r="EP1729" s="708" t="str">
        <f t="shared" si="196"/>
        <v/>
      </c>
      <c r="EQ1729" s="708" t="str">
        <f t="shared" si="197"/>
        <v/>
      </c>
      <c r="ER1729" s="708" t="str">
        <f t="shared" si="198"/>
        <v/>
      </c>
      <c r="ES1729" s="708" t="str">
        <f t="shared" si="199"/>
        <v/>
      </c>
      <c r="ET1729" s="708" t="str">
        <f t="shared" si="200"/>
        <v/>
      </c>
      <c r="EU1729" s="708" t="str">
        <f t="shared" si="201"/>
        <v/>
      </c>
      <c r="EV1729" s="708" t="str">
        <f t="shared" si="202"/>
        <v/>
      </c>
      <c r="EW1729" s="708">
        <f t="shared" si="203"/>
        <v>4</v>
      </c>
      <c r="EX1729" s="708" t="str">
        <f t="shared" si="204"/>
        <v/>
      </c>
      <c r="EY1729" s="708" t="str">
        <f t="shared" si="205"/>
        <v/>
      </c>
      <c r="EZ1729" s="708" t="str">
        <f t="shared" si="206"/>
        <v/>
      </c>
      <c r="FA1729" s="708" t="str">
        <f t="shared" si="207"/>
        <v/>
      </c>
      <c r="FB1729" s="708" t="str">
        <f t="shared" si="208"/>
        <v/>
      </c>
      <c r="FC1729" s="708" t="str">
        <f t="shared" si="209"/>
        <v/>
      </c>
      <c r="FD1729" s="708" t="str">
        <f t="shared" si="210"/>
        <v/>
      </c>
      <c r="FE1729" s="708" t="str">
        <f t="shared" si="211"/>
        <v/>
      </c>
      <c r="FF1729" s="708" t="str">
        <f t="shared" si="212"/>
        <v/>
      </c>
      <c r="FG1729" s="708" t="str">
        <f t="shared" si="213"/>
        <v/>
      </c>
      <c r="FH1729" s="708" t="str">
        <f t="shared" si="214"/>
        <v/>
      </c>
      <c r="FI1729" s="708" t="str">
        <f t="shared" si="215"/>
        <v/>
      </c>
      <c r="FJ1729" s="708" t="str">
        <f t="shared" si="216"/>
        <v/>
      </c>
      <c r="FK1729" s="708" t="str">
        <f t="shared" si="217"/>
        <v/>
      </c>
      <c r="FL1729" s="708" t="str">
        <f t="shared" si="218"/>
        <v/>
      </c>
      <c r="FM1729" s="708" t="str">
        <f t="shared" si="219"/>
        <v/>
      </c>
      <c r="FN1729" s="708" t="str">
        <f t="shared" si="220"/>
        <v/>
      </c>
      <c r="FO1729" s="708" t="str">
        <f t="shared" si="221"/>
        <v/>
      </c>
      <c r="FP1729" s="708" t="str">
        <f t="shared" si="222"/>
        <v/>
      </c>
      <c r="FQ1729" s="708" t="str">
        <f t="shared" si="223"/>
        <v/>
      </c>
      <c r="FR1729" s="708" t="str">
        <f t="shared" si="224"/>
        <v/>
      </c>
      <c r="FS1729" s="708" t="str">
        <f t="shared" si="225"/>
        <v/>
      </c>
      <c r="FT1729" s="708" t="str">
        <f t="shared" si="226"/>
        <v/>
      </c>
      <c r="FU1729" s="708" t="str">
        <f t="shared" si="227"/>
        <v/>
      </c>
      <c r="FV1729" s="708" t="str">
        <f t="shared" si="228"/>
        <v/>
      </c>
      <c r="FW1729" s="708" t="str">
        <f t="shared" si="229"/>
        <v/>
      </c>
      <c r="FX1729" s="708" t="str">
        <f t="shared" si="230"/>
        <v/>
      </c>
      <c r="FY1729" s="708" t="str">
        <f t="shared" si="231"/>
        <v/>
      </c>
      <c r="FZ1729" s="708" t="str">
        <f t="shared" si="232"/>
        <v/>
      </c>
      <c r="GA1729" s="708" t="str">
        <f t="shared" si="233"/>
        <v/>
      </c>
      <c r="GB1729" s="708" t="str">
        <f t="shared" si="234"/>
        <v/>
      </c>
      <c r="GC1729" s="708" t="str">
        <f t="shared" si="235"/>
        <v/>
      </c>
      <c r="GD1729" s="708" t="str">
        <f t="shared" si="236"/>
        <v/>
      </c>
      <c r="GE1729" s="708" t="str">
        <f t="shared" si="237"/>
        <v/>
      </c>
      <c r="GF1729" s="708" t="str">
        <f t="shared" si="238"/>
        <v/>
      </c>
      <c r="GG1729" s="708" t="str">
        <f t="shared" si="239"/>
        <v/>
      </c>
      <c r="GH1729" s="708" t="str">
        <f t="shared" si="240"/>
        <v/>
      </c>
      <c r="GI1729" s="708" t="str">
        <f t="shared" si="241"/>
        <v/>
      </c>
      <c r="GJ1729" s="708" t="str">
        <f t="shared" si="242"/>
        <v/>
      </c>
      <c r="GK1729" s="708">
        <f t="shared" si="243"/>
        <v>4</v>
      </c>
      <c r="GL1729" s="708" t="str">
        <f t="shared" si="244"/>
        <v/>
      </c>
      <c r="GM1729" s="708" t="str">
        <f t="shared" si="245"/>
        <v/>
      </c>
      <c r="GN1729" s="708" t="str">
        <f t="shared" si="246"/>
        <v/>
      </c>
      <c r="GO1729" s="708" t="str">
        <f t="shared" si="247"/>
        <v/>
      </c>
      <c r="GP1729" s="708" t="str">
        <f t="shared" si="248"/>
        <v/>
      </c>
      <c r="GQ1729" s="708" t="str">
        <f t="shared" si="249"/>
        <v/>
      </c>
      <c r="GR1729" s="708" t="str">
        <f t="shared" si="250"/>
        <v/>
      </c>
      <c r="GS1729" s="708" t="str">
        <f t="shared" si="251"/>
        <v/>
      </c>
      <c r="GT1729" s="708" t="str">
        <f t="shared" si="252"/>
        <v/>
      </c>
      <c r="GU1729" s="708" t="str">
        <f t="shared" si="253"/>
        <v/>
      </c>
      <c r="GV1729" s="708" t="str">
        <f t="shared" si="254"/>
        <v/>
      </c>
      <c r="GW1729" s="708" t="str">
        <f t="shared" si="255"/>
        <v/>
      </c>
      <c r="GX1729" s="708" t="str">
        <f t="shared" si="256"/>
        <v/>
      </c>
      <c r="GY1729" s="708" t="str">
        <f t="shared" si="257"/>
        <v/>
      </c>
      <c r="GZ1729" s="708" t="str">
        <f t="shared" si="258"/>
        <v/>
      </c>
      <c r="HA1729" s="708" t="str">
        <f t="shared" si="259"/>
        <v/>
      </c>
      <c r="HB1729" s="708" t="str">
        <f t="shared" si="260"/>
        <v/>
      </c>
      <c r="HC1729" s="708" t="str">
        <f t="shared" si="261"/>
        <v/>
      </c>
      <c r="HD1729" s="708" t="str">
        <f t="shared" si="262"/>
        <v/>
      </c>
      <c r="HE1729" s="708" t="str">
        <f t="shared" si="263"/>
        <v/>
      </c>
      <c r="HF1729" s="708" t="str">
        <f t="shared" si="264"/>
        <v/>
      </c>
      <c r="HG1729" s="708" t="str">
        <f t="shared" si="265"/>
        <v/>
      </c>
      <c r="HH1729" s="708" t="str">
        <f t="shared" si="266"/>
        <v/>
      </c>
      <c r="HI1729" s="708" t="str">
        <f t="shared" si="267"/>
        <v/>
      </c>
      <c r="HJ1729" s="708" t="str">
        <f t="shared" si="268"/>
        <v/>
      </c>
      <c r="HK1729" s="708" t="str">
        <f t="shared" si="269"/>
        <v/>
      </c>
    </row>
    <row r="1730" spans="1:219" ht="13.15" customHeight="1">
      <c r="A1730" s="708" t="str">
        <f t="shared" si="270"/>
        <v/>
      </c>
      <c r="B1730" s="708" t="str">
        <f>'Part VI-Revenues &amp; Expenses'!B15</f>
        <v>60% AMI</v>
      </c>
      <c r="C1730" s="708">
        <f>'Part VI-Revenues &amp; Expenses'!C15</f>
        <v>1</v>
      </c>
      <c r="D1730" s="708">
        <f>'Part VI-Revenues &amp; Expenses'!D15</f>
        <v>1</v>
      </c>
      <c r="E1730" s="708">
        <f>'Part VI-Revenues &amp; Expenses'!E15</f>
        <v>1</v>
      </c>
      <c r="F1730" s="708">
        <f>'Part VI-Revenues &amp; Expenses'!F15</f>
        <v>750</v>
      </c>
      <c r="G1730" s="708">
        <f>'Part VI-Revenues &amp; Expenses'!G15</f>
        <v>716</v>
      </c>
      <c r="H1730" s="708">
        <f>'Part VI-Revenues &amp; Expenses'!H15</f>
        <v>542</v>
      </c>
      <c r="I1730" s="708">
        <f>'Part VI-Revenues &amp; Expenses'!I15</f>
        <v>102</v>
      </c>
      <c r="J1730" s="708">
        <f>'Part VI-Revenues &amp; Expenses'!J15</f>
        <v>0</v>
      </c>
      <c r="K1730" s="708">
        <f t="shared" si="271"/>
        <v>440</v>
      </c>
      <c r="L1730" s="708">
        <f t="shared" si="99"/>
        <v>440</v>
      </c>
      <c r="M1730" s="708" t="str">
        <f>'Part VI-Revenues &amp; Expenses'!M15</f>
        <v>No</v>
      </c>
      <c r="N1730" s="708" t="str">
        <f>'Part VI-Revenues &amp; Expenses'!N15</f>
        <v>1-Story</v>
      </c>
      <c r="O1730" s="708" t="str">
        <f>'Part VI-Revenues &amp; Expenses'!O15</f>
        <v>New Construction</v>
      </c>
      <c r="P1730" s="708">
        <f>'Part VI-Revenues &amp; Expenses'!P15</f>
        <v>21680</v>
      </c>
      <c r="Q1730" s="708">
        <f>'Part VI-Revenues &amp; Expenses'!Q15</f>
        <v>0.74310197086546703</v>
      </c>
      <c r="R1730" s="708">
        <f>'Part VI-Revenues &amp; Expenses'!R15</f>
        <v>0</v>
      </c>
      <c r="T1730" s="708" t="str">
        <f t="shared" si="100"/>
        <v/>
      </c>
      <c r="U1730" s="708">
        <f t="shared" si="101"/>
        <v>1</v>
      </c>
      <c r="V1730" s="708" t="str">
        <f t="shared" si="102"/>
        <v/>
      </c>
      <c r="W1730" s="708" t="str">
        <f t="shared" si="103"/>
        <v/>
      </c>
      <c r="X1730" s="708" t="str">
        <f t="shared" si="104"/>
        <v/>
      </c>
      <c r="Y1730" s="708" t="str">
        <f t="shared" si="105"/>
        <v/>
      </c>
      <c r="Z1730" s="708" t="str">
        <f t="shared" si="106"/>
        <v/>
      </c>
      <c r="AA1730" s="708" t="str">
        <f t="shared" si="107"/>
        <v/>
      </c>
      <c r="AB1730" s="708" t="str">
        <f t="shared" si="108"/>
        <v/>
      </c>
      <c r="AC1730" s="708" t="str">
        <f t="shared" si="109"/>
        <v/>
      </c>
      <c r="AD1730" s="708" t="str">
        <f t="shared" si="110"/>
        <v/>
      </c>
      <c r="AE1730" s="708" t="str">
        <f t="shared" si="111"/>
        <v/>
      </c>
      <c r="AF1730" s="708" t="str">
        <f t="shared" si="112"/>
        <v/>
      </c>
      <c r="AG1730" s="708" t="str">
        <f t="shared" si="113"/>
        <v/>
      </c>
      <c r="AH1730" s="708" t="str">
        <f t="shared" si="114"/>
        <v/>
      </c>
      <c r="AI1730" s="708" t="str">
        <f t="shared" si="115"/>
        <v/>
      </c>
      <c r="AJ1730" s="708" t="str">
        <f t="shared" si="116"/>
        <v/>
      </c>
      <c r="AK1730" s="708" t="str">
        <f t="shared" si="117"/>
        <v/>
      </c>
      <c r="AL1730" s="708" t="str">
        <f t="shared" si="118"/>
        <v/>
      </c>
      <c r="AM1730" s="708" t="str">
        <f t="shared" si="119"/>
        <v/>
      </c>
      <c r="AN1730" s="708" t="str">
        <f t="shared" si="272"/>
        <v/>
      </c>
      <c r="AO1730" s="708" t="str">
        <f t="shared" si="273"/>
        <v/>
      </c>
      <c r="AP1730" s="708" t="str">
        <f t="shared" si="274"/>
        <v/>
      </c>
      <c r="AQ1730" s="708" t="str">
        <f t="shared" si="275"/>
        <v/>
      </c>
      <c r="AR1730" s="708" t="str">
        <f t="shared" si="276"/>
        <v/>
      </c>
      <c r="AS1730" s="708" t="str">
        <f t="shared" si="277"/>
        <v/>
      </c>
      <c r="AT1730" s="708" t="str">
        <f t="shared" si="278"/>
        <v/>
      </c>
      <c r="AU1730" s="708" t="str">
        <f t="shared" si="279"/>
        <v/>
      </c>
      <c r="AV1730" s="708" t="str">
        <f t="shared" si="280"/>
        <v/>
      </c>
      <c r="AW1730" s="708" t="str">
        <f t="shared" si="281"/>
        <v/>
      </c>
      <c r="AX1730" s="708" t="str">
        <f t="shared" si="282"/>
        <v/>
      </c>
      <c r="AY1730" s="708" t="str">
        <f t="shared" si="283"/>
        <v/>
      </c>
      <c r="AZ1730" s="708" t="str">
        <f t="shared" si="284"/>
        <v/>
      </c>
      <c r="BA1730" s="708" t="str">
        <f t="shared" si="285"/>
        <v/>
      </c>
      <c r="BB1730" s="708" t="str">
        <f t="shared" si="286"/>
        <v/>
      </c>
      <c r="BC1730" s="708" t="str">
        <f t="shared" si="287"/>
        <v/>
      </c>
      <c r="BD1730" s="708" t="str">
        <f t="shared" si="288"/>
        <v/>
      </c>
      <c r="BE1730" s="708" t="str">
        <f t="shared" si="289"/>
        <v/>
      </c>
      <c r="BF1730" s="708" t="str">
        <f t="shared" si="290"/>
        <v/>
      </c>
      <c r="BG1730" s="708" t="str">
        <f t="shared" si="291"/>
        <v/>
      </c>
      <c r="BH1730" s="708" t="str">
        <f t="shared" si="292"/>
        <v/>
      </c>
      <c r="BI1730" s="708" t="str">
        <f t="shared" si="293"/>
        <v/>
      </c>
      <c r="BJ1730" s="708" t="str">
        <f t="shared" si="294"/>
        <v/>
      </c>
      <c r="BK1730" s="708" t="str">
        <f t="shared" si="295"/>
        <v/>
      </c>
      <c r="BL1730" s="708" t="str">
        <f t="shared" si="296"/>
        <v/>
      </c>
      <c r="BM1730" s="708" t="str">
        <f t="shared" si="297"/>
        <v/>
      </c>
      <c r="BN1730" s="708" t="str">
        <f t="shared" si="298"/>
        <v/>
      </c>
      <c r="BO1730" s="708" t="str">
        <f t="shared" si="299"/>
        <v/>
      </c>
      <c r="BP1730" s="708" t="str">
        <f t="shared" si="300"/>
        <v/>
      </c>
      <c r="BQ1730" s="708" t="str">
        <f t="shared" si="301"/>
        <v/>
      </c>
      <c r="BR1730" s="708" t="str">
        <f t="shared" si="120"/>
        <v/>
      </c>
      <c r="BS1730" s="708" t="str">
        <f t="shared" si="121"/>
        <v/>
      </c>
      <c r="BT1730" s="708" t="str">
        <f t="shared" si="122"/>
        <v/>
      </c>
      <c r="BU1730" s="708" t="str">
        <f t="shared" si="123"/>
        <v/>
      </c>
      <c r="BV1730" s="708" t="str">
        <f t="shared" si="124"/>
        <v/>
      </c>
      <c r="BW1730" s="708" t="str">
        <f t="shared" si="125"/>
        <v/>
      </c>
      <c r="BX1730" s="708">
        <f t="shared" si="126"/>
        <v>750</v>
      </c>
      <c r="BY1730" s="708" t="str">
        <f t="shared" si="127"/>
        <v/>
      </c>
      <c r="BZ1730" s="708" t="str">
        <f t="shared" si="128"/>
        <v/>
      </c>
      <c r="CA1730" s="708" t="str">
        <f t="shared" si="129"/>
        <v/>
      </c>
      <c r="CB1730" s="708" t="str">
        <f t="shared" si="130"/>
        <v/>
      </c>
      <c r="CC1730" s="708" t="str">
        <f t="shared" si="131"/>
        <v/>
      </c>
      <c r="CD1730" s="708" t="str">
        <f t="shared" si="132"/>
        <v/>
      </c>
      <c r="CE1730" s="708" t="str">
        <f t="shared" si="133"/>
        <v/>
      </c>
      <c r="CF1730" s="708" t="str">
        <f t="shared" si="134"/>
        <v/>
      </c>
      <c r="CG1730" s="708" t="str">
        <f t="shared" si="135"/>
        <v/>
      </c>
      <c r="CH1730" s="708" t="str">
        <f t="shared" si="136"/>
        <v/>
      </c>
      <c r="CI1730" s="708" t="str">
        <f t="shared" si="137"/>
        <v/>
      </c>
      <c r="CJ1730" s="708" t="str">
        <f t="shared" si="138"/>
        <v/>
      </c>
      <c r="CK1730" s="708" t="str">
        <f t="shared" si="139"/>
        <v/>
      </c>
      <c r="CL1730" s="708" t="str">
        <f t="shared" si="140"/>
        <v/>
      </c>
      <c r="CM1730" s="708" t="str">
        <f t="shared" si="141"/>
        <v/>
      </c>
      <c r="CN1730" s="708" t="str">
        <f t="shared" si="142"/>
        <v/>
      </c>
      <c r="CO1730" s="708" t="str">
        <f t="shared" si="143"/>
        <v/>
      </c>
      <c r="CP1730" s="708" t="str">
        <f t="shared" si="144"/>
        <v/>
      </c>
      <c r="CQ1730" s="708" t="str">
        <f t="shared" si="145"/>
        <v/>
      </c>
      <c r="CR1730" s="708" t="str">
        <f t="shared" si="146"/>
        <v/>
      </c>
      <c r="CS1730" s="708" t="str">
        <f t="shared" si="147"/>
        <v/>
      </c>
      <c r="CT1730" s="708" t="str">
        <f t="shared" si="148"/>
        <v/>
      </c>
      <c r="CU1730" s="708" t="str">
        <f t="shared" si="149"/>
        <v/>
      </c>
      <c r="CV1730" s="708" t="str">
        <f t="shared" si="150"/>
        <v/>
      </c>
      <c r="CW1730" s="708" t="str">
        <f t="shared" si="151"/>
        <v/>
      </c>
      <c r="CX1730" s="708" t="str">
        <f t="shared" si="152"/>
        <v/>
      </c>
      <c r="CY1730" s="708" t="str">
        <f t="shared" si="153"/>
        <v/>
      </c>
      <c r="CZ1730" s="708" t="str">
        <f t="shared" si="154"/>
        <v/>
      </c>
      <c r="DA1730" s="708" t="str">
        <f t="shared" si="155"/>
        <v/>
      </c>
      <c r="DB1730" s="708">
        <f t="shared" si="156"/>
        <v>1</v>
      </c>
      <c r="DC1730" s="708" t="str">
        <f t="shared" si="157"/>
        <v/>
      </c>
      <c r="DD1730" s="708" t="str">
        <f t="shared" si="158"/>
        <v/>
      </c>
      <c r="DE1730" s="708" t="str">
        <f t="shared" si="159"/>
        <v/>
      </c>
      <c r="DF1730" s="708" t="str">
        <f t="shared" si="160"/>
        <v/>
      </c>
      <c r="DG1730" s="708" t="str">
        <f t="shared" si="161"/>
        <v/>
      </c>
      <c r="DH1730" s="708" t="str">
        <f t="shared" si="162"/>
        <v/>
      </c>
      <c r="DI1730" s="708" t="str">
        <f t="shared" si="163"/>
        <v/>
      </c>
      <c r="DJ1730" s="708" t="str">
        <f t="shared" si="164"/>
        <v/>
      </c>
      <c r="DK1730" s="708" t="str">
        <f t="shared" si="165"/>
        <v/>
      </c>
      <c r="DL1730" s="708" t="str">
        <f t="shared" si="166"/>
        <v/>
      </c>
      <c r="DM1730" s="708" t="str">
        <f t="shared" si="167"/>
        <v/>
      </c>
      <c r="DN1730" s="708" t="str">
        <f t="shared" si="168"/>
        <v/>
      </c>
      <c r="DO1730" s="708" t="str">
        <f t="shared" si="169"/>
        <v/>
      </c>
      <c r="DP1730" s="708" t="str">
        <f t="shared" si="170"/>
        <v/>
      </c>
      <c r="DQ1730" s="708" t="str">
        <f t="shared" si="171"/>
        <v/>
      </c>
      <c r="DR1730" s="708" t="str">
        <f t="shared" si="172"/>
        <v/>
      </c>
      <c r="DS1730" s="708" t="str">
        <f t="shared" si="173"/>
        <v/>
      </c>
      <c r="DT1730" s="708" t="str">
        <f t="shared" si="174"/>
        <v/>
      </c>
      <c r="DU1730" s="708" t="str">
        <f t="shared" si="175"/>
        <v/>
      </c>
      <c r="DV1730" s="708" t="str">
        <f t="shared" si="176"/>
        <v/>
      </c>
      <c r="DW1730" s="708" t="str">
        <f t="shared" si="177"/>
        <v/>
      </c>
      <c r="DX1730" s="708" t="str">
        <f t="shared" si="178"/>
        <v/>
      </c>
      <c r="DY1730" s="708" t="str">
        <f t="shared" si="179"/>
        <v/>
      </c>
      <c r="DZ1730" s="708" t="str">
        <f t="shared" si="180"/>
        <v/>
      </c>
      <c r="EA1730" s="708" t="str">
        <f t="shared" si="181"/>
        <v/>
      </c>
      <c r="EB1730" s="708" t="str">
        <f t="shared" si="182"/>
        <v/>
      </c>
      <c r="EC1730" s="708" t="str">
        <f t="shared" si="183"/>
        <v/>
      </c>
      <c r="ED1730" s="708" t="str">
        <f t="shared" si="184"/>
        <v/>
      </c>
      <c r="EE1730" s="708" t="str">
        <f t="shared" si="185"/>
        <v/>
      </c>
      <c r="EF1730" s="708" t="str">
        <f t="shared" si="186"/>
        <v/>
      </c>
      <c r="EG1730" s="708" t="str">
        <f t="shared" si="187"/>
        <v/>
      </c>
      <c r="EH1730" s="708" t="str">
        <f t="shared" si="188"/>
        <v/>
      </c>
      <c r="EI1730" s="708" t="str">
        <f t="shared" si="189"/>
        <v/>
      </c>
      <c r="EJ1730" s="708" t="str">
        <f t="shared" si="190"/>
        <v/>
      </c>
      <c r="EK1730" s="708" t="str">
        <f t="shared" si="191"/>
        <v/>
      </c>
      <c r="EL1730" s="708" t="str">
        <f t="shared" si="192"/>
        <v/>
      </c>
      <c r="EM1730" s="708" t="str">
        <f t="shared" si="193"/>
        <v/>
      </c>
      <c r="EN1730" s="708" t="str">
        <f t="shared" si="194"/>
        <v/>
      </c>
      <c r="EO1730" s="708" t="str">
        <f t="shared" si="195"/>
        <v/>
      </c>
      <c r="EP1730" s="708" t="str">
        <f t="shared" si="196"/>
        <v/>
      </c>
      <c r="EQ1730" s="708" t="str">
        <f t="shared" si="197"/>
        <v/>
      </c>
      <c r="ER1730" s="708" t="str">
        <f t="shared" si="198"/>
        <v/>
      </c>
      <c r="ES1730" s="708" t="str">
        <f t="shared" si="199"/>
        <v/>
      </c>
      <c r="ET1730" s="708" t="str">
        <f t="shared" si="200"/>
        <v/>
      </c>
      <c r="EU1730" s="708">
        <f t="shared" si="201"/>
        <v>1</v>
      </c>
      <c r="EV1730" s="708" t="str">
        <f t="shared" si="202"/>
        <v/>
      </c>
      <c r="EW1730" s="708" t="str">
        <f t="shared" si="203"/>
        <v/>
      </c>
      <c r="EX1730" s="708" t="str">
        <f t="shared" si="204"/>
        <v/>
      </c>
      <c r="EY1730" s="708" t="str">
        <f t="shared" si="205"/>
        <v/>
      </c>
      <c r="EZ1730" s="708" t="str">
        <f t="shared" si="206"/>
        <v/>
      </c>
      <c r="FA1730" s="708" t="str">
        <f t="shared" si="207"/>
        <v/>
      </c>
      <c r="FB1730" s="708" t="str">
        <f t="shared" si="208"/>
        <v/>
      </c>
      <c r="FC1730" s="708" t="str">
        <f t="shared" si="209"/>
        <v/>
      </c>
      <c r="FD1730" s="708" t="str">
        <f t="shared" si="210"/>
        <v/>
      </c>
      <c r="FE1730" s="708" t="str">
        <f t="shared" si="211"/>
        <v/>
      </c>
      <c r="FF1730" s="708" t="str">
        <f t="shared" si="212"/>
        <v/>
      </c>
      <c r="FG1730" s="708" t="str">
        <f t="shared" si="213"/>
        <v/>
      </c>
      <c r="FH1730" s="708" t="str">
        <f t="shared" si="214"/>
        <v/>
      </c>
      <c r="FI1730" s="708" t="str">
        <f t="shared" si="215"/>
        <v/>
      </c>
      <c r="FJ1730" s="708" t="str">
        <f t="shared" si="216"/>
        <v/>
      </c>
      <c r="FK1730" s="708" t="str">
        <f t="shared" si="217"/>
        <v/>
      </c>
      <c r="FL1730" s="708" t="str">
        <f t="shared" si="218"/>
        <v/>
      </c>
      <c r="FM1730" s="708" t="str">
        <f t="shared" si="219"/>
        <v/>
      </c>
      <c r="FN1730" s="708" t="str">
        <f t="shared" si="220"/>
        <v/>
      </c>
      <c r="FO1730" s="708" t="str">
        <f t="shared" si="221"/>
        <v/>
      </c>
      <c r="FP1730" s="708" t="str">
        <f t="shared" si="222"/>
        <v/>
      </c>
      <c r="FQ1730" s="708" t="str">
        <f t="shared" si="223"/>
        <v/>
      </c>
      <c r="FR1730" s="708" t="str">
        <f t="shared" si="224"/>
        <v/>
      </c>
      <c r="FS1730" s="708" t="str">
        <f t="shared" si="225"/>
        <v/>
      </c>
      <c r="FT1730" s="708">
        <f t="shared" si="226"/>
        <v>1</v>
      </c>
      <c r="FU1730" s="708" t="str">
        <f t="shared" si="227"/>
        <v/>
      </c>
      <c r="FV1730" s="708" t="str">
        <f t="shared" si="228"/>
        <v/>
      </c>
      <c r="FW1730" s="708" t="str">
        <f t="shared" si="229"/>
        <v/>
      </c>
      <c r="FX1730" s="708" t="str">
        <f t="shared" si="230"/>
        <v/>
      </c>
      <c r="FY1730" s="708" t="str">
        <f t="shared" si="231"/>
        <v/>
      </c>
      <c r="FZ1730" s="708" t="str">
        <f t="shared" si="232"/>
        <v/>
      </c>
      <c r="GA1730" s="708" t="str">
        <f t="shared" si="233"/>
        <v/>
      </c>
      <c r="GB1730" s="708" t="str">
        <f t="shared" si="234"/>
        <v/>
      </c>
      <c r="GC1730" s="708" t="str">
        <f t="shared" si="235"/>
        <v/>
      </c>
      <c r="GD1730" s="708" t="str">
        <f t="shared" si="236"/>
        <v/>
      </c>
      <c r="GE1730" s="708" t="str">
        <f t="shared" si="237"/>
        <v/>
      </c>
      <c r="GF1730" s="708" t="str">
        <f t="shared" si="238"/>
        <v/>
      </c>
      <c r="GG1730" s="708" t="str">
        <f t="shared" si="239"/>
        <v/>
      </c>
      <c r="GH1730" s="708" t="str">
        <f t="shared" si="240"/>
        <v/>
      </c>
      <c r="GI1730" s="708" t="str">
        <f t="shared" si="241"/>
        <v/>
      </c>
      <c r="GJ1730" s="708" t="str">
        <f t="shared" si="242"/>
        <v/>
      </c>
      <c r="GK1730" s="708" t="str">
        <f t="shared" si="243"/>
        <v/>
      </c>
      <c r="GL1730" s="708" t="str">
        <f t="shared" si="244"/>
        <v/>
      </c>
      <c r="GM1730" s="708" t="str">
        <f t="shared" si="245"/>
        <v/>
      </c>
      <c r="GN1730" s="708" t="str">
        <f t="shared" si="246"/>
        <v/>
      </c>
      <c r="GO1730" s="708" t="str">
        <f t="shared" si="247"/>
        <v/>
      </c>
      <c r="GP1730" s="708" t="str">
        <f t="shared" si="248"/>
        <v/>
      </c>
      <c r="GQ1730" s="708" t="str">
        <f t="shared" si="249"/>
        <v/>
      </c>
      <c r="GR1730" s="708" t="str">
        <f t="shared" si="250"/>
        <v/>
      </c>
      <c r="GS1730" s="708" t="str">
        <f t="shared" si="251"/>
        <v/>
      </c>
      <c r="GT1730" s="708" t="str">
        <f t="shared" si="252"/>
        <v/>
      </c>
      <c r="GU1730" s="708" t="str">
        <f t="shared" si="253"/>
        <v/>
      </c>
      <c r="GV1730" s="708" t="str">
        <f t="shared" si="254"/>
        <v/>
      </c>
      <c r="GW1730" s="708" t="str">
        <f t="shared" si="255"/>
        <v/>
      </c>
      <c r="GX1730" s="708" t="str">
        <f t="shared" si="256"/>
        <v/>
      </c>
      <c r="GY1730" s="708" t="str">
        <f t="shared" si="257"/>
        <v/>
      </c>
      <c r="GZ1730" s="708" t="str">
        <f t="shared" si="258"/>
        <v/>
      </c>
      <c r="HA1730" s="708" t="str">
        <f t="shared" si="259"/>
        <v/>
      </c>
      <c r="HB1730" s="708" t="str">
        <f t="shared" si="260"/>
        <v/>
      </c>
      <c r="HC1730" s="708" t="str">
        <f t="shared" si="261"/>
        <v/>
      </c>
      <c r="HD1730" s="708" t="str">
        <f t="shared" si="262"/>
        <v/>
      </c>
      <c r="HE1730" s="708" t="str">
        <f t="shared" si="263"/>
        <v/>
      </c>
      <c r="HF1730" s="708" t="str">
        <f t="shared" si="264"/>
        <v/>
      </c>
      <c r="HG1730" s="708" t="str">
        <f t="shared" si="265"/>
        <v/>
      </c>
      <c r="HH1730" s="708" t="str">
        <f t="shared" si="266"/>
        <v/>
      </c>
      <c r="HI1730" s="708" t="str">
        <f t="shared" si="267"/>
        <v/>
      </c>
      <c r="HJ1730" s="708" t="str">
        <f t="shared" si="268"/>
        <v/>
      </c>
      <c r="HK1730" s="708" t="str">
        <f t="shared" si="269"/>
        <v/>
      </c>
    </row>
    <row r="1731" spans="1:219" ht="13.15" customHeight="1">
      <c r="A1731" s="708" t="str">
        <f t="shared" si="270"/>
        <v/>
      </c>
      <c r="B1731" s="708" t="str">
        <f>'Part VI-Revenues &amp; Expenses'!B16</f>
        <v>60% AMI</v>
      </c>
      <c r="C1731" s="708">
        <f>'Part VI-Revenues &amp; Expenses'!C16</f>
        <v>1</v>
      </c>
      <c r="D1731" s="708">
        <f>'Part VI-Revenues &amp; Expenses'!D16</f>
        <v>1</v>
      </c>
      <c r="E1731" s="708">
        <f>'Part VI-Revenues &amp; Expenses'!E16</f>
        <v>6</v>
      </c>
      <c r="F1731" s="708">
        <f>'Part VI-Revenues &amp; Expenses'!F16</f>
        <v>750</v>
      </c>
      <c r="G1731" s="708">
        <f>'Part VI-Revenues &amp; Expenses'!G16</f>
        <v>716</v>
      </c>
      <c r="H1731" s="708">
        <f>'Part VI-Revenues &amp; Expenses'!H16</f>
        <v>542</v>
      </c>
      <c r="I1731" s="708">
        <f>'Part VI-Revenues &amp; Expenses'!I16</f>
        <v>102</v>
      </c>
      <c r="J1731" s="708">
        <f>'Part VI-Revenues &amp; Expenses'!J16</f>
        <v>0</v>
      </c>
      <c r="K1731" s="708">
        <f t="shared" si="271"/>
        <v>440</v>
      </c>
      <c r="L1731" s="708">
        <f t="shared" si="99"/>
        <v>2640</v>
      </c>
      <c r="M1731" s="708" t="str">
        <f>'Part VI-Revenues &amp; Expenses'!M16</f>
        <v>No</v>
      </c>
      <c r="N1731" s="708" t="str">
        <f>'Part VI-Revenues &amp; Expenses'!N16</f>
        <v>3+ Story</v>
      </c>
      <c r="O1731" s="708" t="str">
        <f>'Part VI-Revenues &amp; Expenses'!O16</f>
        <v>New Construction</v>
      </c>
      <c r="P1731" s="708">
        <f>'Part VI-Revenues &amp; Expenses'!P16</f>
        <v>21680</v>
      </c>
      <c r="Q1731" s="708">
        <f>'Part VI-Revenues &amp; Expenses'!Q16</f>
        <v>0.74310197086546703</v>
      </c>
      <c r="R1731" s="708">
        <f>'Part VI-Revenues &amp; Expenses'!R16</f>
        <v>0</v>
      </c>
      <c r="T1731" s="708" t="str">
        <f t="shared" si="100"/>
        <v/>
      </c>
      <c r="U1731" s="708">
        <f t="shared" si="101"/>
        <v>6</v>
      </c>
      <c r="V1731" s="708" t="str">
        <f t="shared" si="102"/>
        <v/>
      </c>
      <c r="W1731" s="708" t="str">
        <f t="shared" si="103"/>
        <v/>
      </c>
      <c r="X1731" s="708" t="str">
        <f t="shared" si="104"/>
        <v/>
      </c>
      <c r="Y1731" s="708" t="str">
        <f t="shared" si="105"/>
        <v/>
      </c>
      <c r="Z1731" s="708" t="str">
        <f t="shared" si="106"/>
        <v/>
      </c>
      <c r="AA1731" s="708" t="str">
        <f t="shared" si="107"/>
        <v/>
      </c>
      <c r="AB1731" s="708" t="str">
        <f t="shared" si="108"/>
        <v/>
      </c>
      <c r="AC1731" s="708" t="str">
        <f t="shared" si="109"/>
        <v/>
      </c>
      <c r="AD1731" s="708" t="str">
        <f t="shared" si="110"/>
        <v/>
      </c>
      <c r="AE1731" s="708" t="str">
        <f t="shared" si="111"/>
        <v/>
      </c>
      <c r="AF1731" s="708" t="str">
        <f t="shared" si="112"/>
        <v/>
      </c>
      <c r="AG1731" s="708" t="str">
        <f t="shared" si="113"/>
        <v/>
      </c>
      <c r="AH1731" s="708" t="str">
        <f t="shared" si="114"/>
        <v/>
      </c>
      <c r="AI1731" s="708" t="str">
        <f t="shared" si="115"/>
        <v/>
      </c>
      <c r="AJ1731" s="708" t="str">
        <f t="shared" si="116"/>
        <v/>
      </c>
      <c r="AK1731" s="708" t="str">
        <f t="shared" si="117"/>
        <v/>
      </c>
      <c r="AL1731" s="708" t="str">
        <f t="shared" si="118"/>
        <v/>
      </c>
      <c r="AM1731" s="708" t="str">
        <f t="shared" si="119"/>
        <v/>
      </c>
      <c r="AN1731" s="708" t="str">
        <f t="shared" si="272"/>
        <v/>
      </c>
      <c r="AO1731" s="708" t="str">
        <f t="shared" si="273"/>
        <v/>
      </c>
      <c r="AP1731" s="708" t="str">
        <f t="shared" si="274"/>
        <v/>
      </c>
      <c r="AQ1731" s="708" t="str">
        <f t="shared" si="275"/>
        <v/>
      </c>
      <c r="AR1731" s="708" t="str">
        <f t="shared" si="276"/>
        <v/>
      </c>
      <c r="AS1731" s="708" t="str">
        <f t="shared" si="277"/>
        <v/>
      </c>
      <c r="AT1731" s="708" t="str">
        <f t="shared" si="278"/>
        <v/>
      </c>
      <c r="AU1731" s="708" t="str">
        <f t="shared" si="279"/>
        <v/>
      </c>
      <c r="AV1731" s="708" t="str">
        <f t="shared" si="280"/>
        <v/>
      </c>
      <c r="AW1731" s="708" t="str">
        <f t="shared" si="281"/>
        <v/>
      </c>
      <c r="AX1731" s="708" t="str">
        <f t="shared" si="282"/>
        <v/>
      </c>
      <c r="AY1731" s="708" t="str">
        <f t="shared" si="283"/>
        <v/>
      </c>
      <c r="AZ1731" s="708" t="str">
        <f t="shared" si="284"/>
        <v/>
      </c>
      <c r="BA1731" s="708" t="str">
        <f t="shared" si="285"/>
        <v/>
      </c>
      <c r="BB1731" s="708" t="str">
        <f t="shared" si="286"/>
        <v/>
      </c>
      <c r="BC1731" s="708" t="str">
        <f t="shared" si="287"/>
        <v/>
      </c>
      <c r="BD1731" s="708" t="str">
        <f t="shared" si="288"/>
        <v/>
      </c>
      <c r="BE1731" s="708" t="str">
        <f t="shared" si="289"/>
        <v/>
      </c>
      <c r="BF1731" s="708" t="str">
        <f t="shared" si="290"/>
        <v/>
      </c>
      <c r="BG1731" s="708" t="str">
        <f t="shared" si="291"/>
        <v/>
      </c>
      <c r="BH1731" s="708" t="str">
        <f t="shared" si="292"/>
        <v/>
      </c>
      <c r="BI1731" s="708" t="str">
        <f t="shared" si="293"/>
        <v/>
      </c>
      <c r="BJ1731" s="708" t="str">
        <f t="shared" si="294"/>
        <v/>
      </c>
      <c r="BK1731" s="708" t="str">
        <f t="shared" si="295"/>
        <v/>
      </c>
      <c r="BL1731" s="708" t="str">
        <f t="shared" si="296"/>
        <v/>
      </c>
      <c r="BM1731" s="708" t="str">
        <f t="shared" si="297"/>
        <v/>
      </c>
      <c r="BN1731" s="708" t="str">
        <f t="shared" si="298"/>
        <v/>
      </c>
      <c r="BO1731" s="708" t="str">
        <f t="shared" si="299"/>
        <v/>
      </c>
      <c r="BP1731" s="708" t="str">
        <f t="shared" si="300"/>
        <v/>
      </c>
      <c r="BQ1731" s="708" t="str">
        <f t="shared" si="301"/>
        <v/>
      </c>
      <c r="BR1731" s="708" t="str">
        <f t="shared" si="120"/>
        <v/>
      </c>
      <c r="BS1731" s="708" t="str">
        <f t="shared" si="121"/>
        <v/>
      </c>
      <c r="BT1731" s="708" t="str">
        <f t="shared" si="122"/>
        <v/>
      </c>
      <c r="BU1731" s="708" t="str">
        <f t="shared" si="123"/>
        <v/>
      </c>
      <c r="BV1731" s="708" t="str">
        <f t="shared" si="124"/>
        <v/>
      </c>
      <c r="BW1731" s="708" t="str">
        <f t="shared" si="125"/>
        <v/>
      </c>
      <c r="BX1731" s="708">
        <f t="shared" si="126"/>
        <v>4500</v>
      </c>
      <c r="BY1731" s="708" t="str">
        <f t="shared" si="127"/>
        <v/>
      </c>
      <c r="BZ1731" s="708" t="str">
        <f t="shared" si="128"/>
        <v/>
      </c>
      <c r="CA1731" s="708" t="str">
        <f t="shared" si="129"/>
        <v/>
      </c>
      <c r="CB1731" s="708" t="str">
        <f t="shared" si="130"/>
        <v/>
      </c>
      <c r="CC1731" s="708" t="str">
        <f t="shared" si="131"/>
        <v/>
      </c>
      <c r="CD1731" s="708" t="str">
        <f t="shared" si="132"/>
        <v/>
      </c>
      <c r="CE1731" s="708" t="str">
        <f t="shared" si="133"/>
        <v/>
      </c>
      <c r="CF1731" s="708" t="str">
        <f t="shared" si="134"/>
        <v/>
      </c>
      <c r="CG1731" s="708" t="str">
        <f t="shared" si="135"/>
        <v/>
      </c>
      <c r="CH1731" s="708" t="str">
        <f t="shared" si="136"/>
        <v/>
      </c>
      <c r="CI1731" s="708" t="str">
        <f t="shared" si="137"/>
        <v/>
      </c>
      <c r="CJ1731" s="708" t="str">
        <f t="shared" si="138"/>
        <v/>
      </c>
      <c r="CK1731" s="708" t="str">
        <f t="shared" si="139"/>
        <v/>
      </c>
      <c r="CL1731" s="708" t="str">
        <f t="shared" si="140"/>
        <v/>
      </c>
      <c r="CM1731" s="708" t="str">
        <f t="shared" si="141"/>
        <v/>
      </c>
      <c r="CN1731" s="708" t="str">
        <f t="shared" si="142"/>
        <v/>
      </c>
      <c r="CO1731" s="708" t="str">
        <f t="shared" si="143"/>
        <v/>
      </c>
      <c r="CP1731" s="708" t="str">
        <f t="shared" si="144"/>
        <v/>
      </c>
      <c r="CQ1731" s="708" t="str">
        <f t="shared" si="145"/>
        <v/>
      </c>
      <c r="CR1731" s="708" t="str">
        <f t="shared" si="146"/>
        <v/>
      </c>
      <c r="CS1731" s="708" t="str">
        <f t="shared" si="147"/>
        <v/>
      </c>
      <c r="CT1731" s="708" t="str">
        <f t="shared" si="148"/>
        <v/>
      </c>
      <c r="CU1731" s="708" t="str">
        <f t="shared" si="149"/>
        <v/>
      </c>
      <c r="CV1731" s="708" t="str">
        <f t="shared" si="150"/>
        <v/>
      </c>
      <c r="CW1731" s="708" t="str">
        <f t="shared" si="151"/>
        <v/>
      </c>
      <c r="CX1731" s="708" t="str">
        <f t="shared" si="152"/>
        <v/>
      </c>
      <c r="CY1731" s="708" t="str">
        <f t="shared" si="153"/>
        <v/>
      </c>
      <c r="CZ1731" s="708" t="str">
        <f t="shared" si="154"/>
        <v/>
      </c>
      <c r="DA1731" s="708" t="str">
        <f t="shared" si="155"/>
        <v/>
      </c>
      <c r="DB1731" s="708">
        <f t="shared" si="156"/>
        <v>6</v>
      </c>
      <c r="DC1731" s="708" t="str">
        <f t="shared" si="157"/>
        <v/>
      </c>
      <c r="DD1731" s="708" t="str">
        <f t="shared" si="158"/>
        <v/>
      </c>
      <c r="DE1731" s="708" t="str">
        <f t="shared" si="159"/>
        <v/>
      </c>
      <c r="DF1731" s="708" t="str">
        <f t="shared" si="160"/>
        <v/>
      </c>
      <c r="DG1731" s="708" t="str">
        <f t="shared" si="161"/>
        <v/>
      </c>
      <c r="DH1731" s="708" t="str">
        <f t="shared" si="162"/>
        <v/>
      </c>
      <c r="DI1731" s="708" t="str">
        <f t="shared" si="163"/>
        <v/>
      </c>
      <c r="DJ1731" s="708" t="str">
        <f t="shared" si="164"/>
        <v/>
      </c>
      <c r="DK1731" s="708" t="str">
        <f t="shared" si="165"/>
        <v/>
      </c>
      <c r="DL1731" s="708" t="str">
        <f t="shared" si="166"/>
        <v/>
      </c>
      <c r="DM1731" s="708" t="str">
        <f t="shared" si="167"/>
        <v/>
      </c>
      <c r="DN1731" s="708" t="str">
        <f t="shared" si="168"/>
        <v/>
      </c>
      <c r="DO1731" s="708" t="str">
        <f t="shared" si="169"/>
        <v/>
      </c>
      <c r="DP1731" s="708" t="str">
        <f t="shared" si="170"/>
        <v/>
      </c>
      <c r="DQ1731" s="708" t="str">
        <f t="shared" si="171"/>
        <v/>
      </c>
      <c r="DR1731" s="708" t="str">
        <f t="shared" si="172"/>
        <v/>
      </c>
      <c r="DS1731" s="708" t="str">
        <f t="shared" si="173"/>
        <v/>
      </c>
      <c r="DT1731" s="708" t="str">
        <f t="shared" si="174"/>
        <v/>
      </c>
      <c r="DU1731" s="708" t="str">
        <f t="shared" si="175"/>
        <v/>
      </c>
      <c r="DV1731" s="708" t="str">
        <f t="shared" si="176"/>
        <v/>
      </c>
      <c r="DW1731" s="708" t="str">
        <f t="shared" si="177"/>
        <v/>
      </c>
      <c r="DX1731" s="708" t="str">
        <f t="shared" si="178"/>
        <v/>
      </c>
      <c r="DY1731" s="708" t="str">
        <f t="shared" si="179"/>
        <v/>
      </c>
      <c r="DZ1731" s="708" t="str">
        <f t="shared" si="180"/>
        <v/>
      </c>
      <c r="EA1731" s="708" t="str">
        <f t="shared" si="181"/>
        <v/>
      </c>
      <c r="EB1731" s="708" t="str">
        <f t="shared" si="182"/>
        <v/>
      </c>
      <c r="EC1731" s="708" t="str">
        <f t="shared" si="183"/>
        <v/>
      </c>
      <c r="ED1731" s="708" t="str">
        <f t="shared" si="184"/>
        <v/>
      </c>
      <c r="EE1731" s="708" t="str">
        <f t="shared" si="185"/>
        <v/>
      </c>
      <c r="EF1731" s="708" t="str">
        <f t="shared" si="186"/>
        <v/>
      </c>
      <c r="EG1731" s="708" t="str">
        <f t="shared" si="187"/>
        <v/>
      </c>
      <c r="EH1731" s="708" t="str">
        <f t="shared" si="188"/>
        <v/>
      </c>
      <c r="EI1731" s="708" t="str">
        <f t="shared" si="189"/>
        <v/>
      </c>
      <c r="EJ1731" s="708" t="str">
        <f t="shared" si="190"/>
        <v/>
      </c>
      <c r="EK1731" s="708" t="str">
        <f t="shared" si="191"/>
        <v/>
      </c>
      <c r="EL1731" s="708" t="str">
        <f t="shared" si="192"/>
        <v/>
      </c>
      <c r="EM1731" s="708" t="str">
        <f t="shared" si="193"/>
        <v/>
      </c>
      <c r="EN1731" s="708" t="str">
        <f t="shared" si="194"/>
        <v/>
      </c>
      <c r="EO1731" s="708" t="str">
        <f t="shared" si="195"/>
        <v/>
      </c>
      <c r="EP1731" s="708" t="str">
        <f t="shared" si="196"/>
        <v/>
      </c>
      <c r="EQ1731" s="708" t="str">
        <f t="shared" si="197"/>
        <v/>
      </c>
      <c r="ER1731" s="708" t="str">
        <f t="shared" si="198"/>
        <v/>
      </c>
      <c r="ES1731" s="708" t="str">
        <f t="shared" si="199"/>
        <v/>
      </c>
      <c r="ET1731" s="708" t="str">
        <f t="shared" si="200"/>
        <v/>
      </c>
      <c r="EU1731" s="708">
        <f t="shared" si="201"/>
        <v>6</v>
      </c>
      <c r="EV1731" s="708" t="str">
        <f t="shared" si="202"/>
        <v/>
      </c>
      <c r="EW1731" s="708" t="str">
        <f t="shared" si="203"/>
        <v/>
      </c>
      <c r="EX1731" s="708" t="str">
        <f t="shared" si="204"/>
        <v/>
      </c>
      <c r="EY1731" s="708" t="str">
        <f t="shared" si="205"/>
        <v/>
      </c>
      <c r="EZ1731" s="708" t="str">
        <f t="shared" si="206"/>
        <v/>
      </c>
      <c r="FA1731" s="708" t="str">
        <f t="shared" si="207"/>
        <v/>
      </c>
      <c r="FB1731" s="708" t="str">
        <f t="shared" si="208"/>
        <v/>
      </c>
      <c r="FC1731" s="708" t="str">
        <f t="shared" si="209"/>
        <v/>
      </c>
      <c r="FD1731" s="708" t="str">
        <f t="shared" si="210"/>
        <v/>
      </c>
      <c r="FE1731" s="708" t="str">
        <f t="shared" si="211"/>
        <v/>
      </c>
      <c r="FF1731" s="708" t="str">
        <f t="shared" si="212"/>
        <v/>
      </c>
      <c r="FG1731" s="708" t="str">
        <f t="shared" si="213"/>
        <v/>
      </c>
      <c r="FH1731" s="708" t="str">
        <f t="shared" si="214"/>
        <v/>
      </c>
      <c r="FI1731" s="708" t="str">
        <f t="shared" si="215"/>
        <v/>
      </c>
      <c r="FJ1731" s="708" t="str">
        <f t="shared" si="216"/>
        <v/>
      </c>
      <c r="FK1731" s="708" t="str">
        <f t="shared" si="217"/>
        <v/>
      </c>
      <c r="FL1731" s="708" t="str">
        <f t="shared" si="218"/>
        <v/>
      </c>
      <c r="FM1731" s="708" t="str">
        <f t="shared" si="219"/>
        <v/>
      </c>
      <c r="FN1731" s="708" t="str">
        <f t="shared" si="220"/>
        <v/>
      </c>
      <c r="FO1731" s="708" t="str">
        <f t="shared" si="221"/>
        <v/>
      </c>
      <c r="FP1731" s="708" t="str">
        <f t="shared" si="222"/>
        <v/>
      </c>
      <c r="FQ1731" s="708" t="str">
        <f t="shared" si="223"/>
        <v/>
      </c>
      <c r="FR1731" s="708" t="str">
        <f t="shared" si="224"/>
        <v/>
      </c>
      <c r="FS1731" s="708" t="str">
        <f t="shared" si="225"/>
        <v/>
      </c>
      <c r="FT1731" s="708" t="str">
        <f t="shared" si="226"/>
        <v/>
      </c>
      <c r="FU1731" s="708" t="str">
        <f t="shared" si="227"/>
        <v/>
      </c>
      <c r="FV1731" s="708" t="str">
        <f t="shared" si="228"/>
        <v/>
      </c>
      <c r="FW1731" s="708" t="str">
        <f t="shared" si="229"/>
        <v/>
      </c>
      <c r="FX1731" s="708" t="str">
        <f t="shared" si="230"/>
        <v/>
      </c>
      <c r="FY1731" s="708" t="str">
        <f t="shared" si="231"/>
        <v/>
      </c>
      <c r="FZ1731" s="708" t="str">
        <f t="shared" si="232"/>
        <v/>
      </c>
      <c r="GA1731" s="708" t="str">
        <f t="shared" si="233"/>
        <v/>
      </c>
      <c r="GB1731" s="708" t="str">
        <f t="shared" si="234"/>
        <v/>
      </c>
      <c r="GC1731" s="708" t="str">
        <f t="shared" si="235"/>
        <v/>
      </c>
      <c r="GD1731" s="708" t="str">
        <f t="shared" si="236"/>
        <v/>
      </c>
      <c r="GE1731" s="708" t="str">
        <f t="shared" si="237"/>
        <v/>
      </c>
      <c r="GF1731" s="708" t="str">
        <f t="shared" si="238"/>
        <v/>
      </c>
      <c r="GG1731" s="708" t="str">
        <f t="shared" si="239"/>
        <v/>
      </c>
      <c r="GH1731" s="708" t="str">
        <f t="shared" si="240"/>
        <v/>
      </c>
      <c r="GI1731" s="708">
        <f t="shared" si="241"/>
        <v>6</v>
      </c>
      <c r="GJ1731" s="708" t="str">
        <f t="shared" si="242"/>
        <v/>
      </c>
      <c r="GK1731" s="708" t="str">
        <f t="shared" si="243"/>
        <v/>
      </c>
      <c r="GL1731" s="708" t="str">
        <f t="shared" si="244"/>
        <v/>
      </c>
      <c r="GM1731" s="708" t="str">
        <f t="shared" si="245"/>
        <v/>
      </c>
      <c r="GN1731" s="708" t="str">
        <f t="shared" si="246"/>
        <v/>
      </c>
      <c r="GO1731" s="708" t="str">
        <f t="shared" si="247"/>
        <v/>
      </c>
      <c r="GP1731" s="708" t="str">
        <f t="shared" si="248"/>
        <v/>
      </c>
      <c r="GQ1731" s="708" t="str">
        <f t="shared" si="249"/>
        <v/>
      </c>
      <c r="GR1731" s="708" t="str">
        <f t="shared" si="250"/>
        <v/>
      </c>
      <c r="GS1731" s="708" t="str">
        <f t="shared" si="251"/>
        <v/>
      </c>
      <c r="GT1731" s="708" t="str">
        <f t="shared" si="252"/>
        <v/>
      </c>
      <c r="GU1731" s="708" t="str">
        <f t="shared" si="253"/>
        <v/>
      </c>
      <c r="GV1731" s="708" t="str">
        <f t="shared" si="254"/>
        <v/>
      </c>
      <c r="GW1731" s="708" t="str">
        <f t="shared" si="255"/>
        <v/>
      </c>
      <c r="GX1731" s="708" t="str">
        <f t="shared" si="256"/>
        <v/>
      </c>
      <c r="GY1731" s="708" t="str">
        <f t="shared" si="257"/>
        <v/>
      </c>
      <c r="GZ1731" s="708" t="str">
        <f t="shared" si="258"/>
        <v/>
      </c>
      <c r="HA1731" s="708" t="str">
        <f t="shared" si="259"/>
        <v/>
      </c>
      <c r="HB1731" s="708" t="str">
        <f t="shared" si="260"/>
        <v/>
      </c>
      <c r="HC1731" s="708" t="str">
        <f t="shared" si="261"/>
        <v/>
      </c>
      <c r="HD1731" s="708" t="str">
        <f t="shared" si="262"/>
        <v/>
      </c>
      <c r="HE1731" s="708" t="str">
        <f t="shared" si="263"/>
        <v/>
      </c>
      <c r="HF1731" s="708" t="str">
        <f t="shared" si="264"/>
        <v/>
      </c>
      <c r="HG1731" s="708" t="str">
        <f t="shared" si="265"/>
        <v/>
      </c>
      <c r="HH1731" s="708" t="str">
        <f t="shared" si="266"/>
        <v/>
      </c>
      <c r="HI1731" s="708" t="str">
        <f t="shared" si="267"/>
        <v/>
      </c>
      <c r="HJ1731" s="708" t="str">
        <f t="shared" si="268"/>
        <v/>
      </c>
      <c r="HK1731" s="708" t="str">
        <f t="shared" si="269"/>
        <v/>
      </c>
    </row>
    <row r="1732" spans="1:219" ht="13.15" customHeight="1">
      <c r="A1732" s="708" t="str">
        <f t="shared" si="270"/>
        <v/>
      </c>
      <c r="B1732" s="708" t="str">
        <f>'Part VI-Revenues &amp; Expenses'!B17</f>
        <v>60% AMI</v>
      </c>
      <c r="C1732" s="708">
        <f>'Part VI-Revenues &amp; Expenses'!C17</f>
        <v>2</v>
      </c>
      <c r="D1732" s="708">
        <f>'Part VI-Revenues &amp; Expenses'!D17</f>
        <v>2</v>
      </c>
      <c r="E1732" s="708">
        <f>'Part VI-Revenues &amp; Expenses'!E17</f>
        <v>1</v>
      </c>
      <c r="F1732" s="708">
        <f>'Part VI-Revenues &amp; Expenses'!F17</f>
        <v>950</v>
      </c>
      <c r="G1732" s="708">
        <f>'Part VI-Revenues &amp; Expenses'!G17</f>
        <v>859</v>
      </c>
      <c r="H1732" s="708">
        <f>'Part VI-Revenues &amp; Expenses'!H17</f>
        <v>601</v>
      </c>
      <c r="I1732" s="708">
        <f>'Part VI-Revenues &amp; Expenses'!I17</f>
        <v>131</v>
      </c>
      <c r="J1732" s="708">
        <f>'Part VI-Revenues &amp; Expenses'!J17</f>
        <v>0</v>
      </c>
      <c r="K1732" s="708">
        <f t="shared" si="271"/>
        <v>470</v>
      </c>
      <c r="L1732" s="708">
        <f t="shared" si="99"/>
        <v>470</v>
      </c>
      <c r="M1732" s="708" t="str">
        <f>'Part VI-Revenues &amp; Expenses'!M17</f>
        <v>No</v>
      </c>
      <c r="N1732" s="708" t="str">
        <f>'Part VI-Revenues &amp; Expenses'!N17</f>
        <v>1-Story</v>
      </c>
      <c r="O1732" s="708" t="str">
        <f>'Part VI-Revenues &amp; Expenses'!O17</f>
        <v>New Construction</v>
      </c>
      <c r="P1732" s="708">
        <f>'Part VI-Revenues &amp; Expenses'!P17</f>
        <v>24040</v>
      </c>
      <c r="Q1732" s="708">
        <f>'Part VI-Revenues &amp; Expenses'!Q17</f>
        <v>0.68666095401313909</v>
      </c>
      <c r="R1732" s="708">
        <f>'Part VI-Revenues &amp; Expenses'!R17</f>
        <v>0</v>
      </c>
      <c r="T1732" s="708" t="str">
        <f t="shared" si="100"/>
        <v/>
      </c>
      <c r="U1732" s="708" t="str">
        <f t="shared" si="101"/>
        <v/>
      </c>
      <c r="V1732" s="708">
        <f t="shared" si="102"/>
        <v>1</v>
      </c>
      <c r="W1732" s="708" t="str">
        <f t="shared" si="103"/>
        <v/>
      </c>
      <c r="X1732" s="708" t="str">
        <f t="shared" si="104"/>
        <v/>
      </c>
      <c r="Y1732" s="708" t="str">
        <f t="shared" si="105"/>
        <v/>
      </c>
      <c r="Z1732" s="708" t="str">
        <f t="shared" si="106"/>
        <v/>
      </c>
      <c r="AA1732" s="708" t="str">
        <f t="shared" si="107"/>
        <v/>
      </c>
      <c r="AB1732" s="708" t="str">
        <f t="shared" si="108"/>
        <v/>
      </c>
      <c r="AC1732" s="708" t="str">
        <f t="shared" si="109"/>
        <v/>
      </c>
      <c r="AD1732" s="708" t="str">
        <f t="shared" si="110"/>
        <v/>
      </c>
      <c r="AE1732" s="708" t="str">
        <f t="shared" si="111"/>
        <v/>
      </c>
      <c r="AF1732" s="708" t="str">
        <f t="shared" si="112"/>
        <v/>
      </c>
      <c r="AG1732" s="708" t="str">
        <f t="shared" si="113"/>
        <v/>
      </c>
      <c r="AH1732" s="708" t="str">
        <f t="shared" si="114"/>
        <v/>
      </c>
      <c r="AI1732" s="708" t="str">
        <f t="shared" si="115"/>
        <v/>
      </c>
      <c r="AJ1732" s="708" t="str">
        <f t="shared" si="116"/>
        <v/>
      </c>
      <c r="AK1732" s="708" t="str">
        <f t="shared" si="117"/>
        <v/>
      </c>
      <c r="AL1732" s="708" t="str">
        <f t="shared" si="118"/>
        <v/>
      </c>
      <c r="AM1732" s="708" t="str">
        <f t="shared" si="119"/>
        <v/>
      </c>
      <c r="AN1732" s="708" t="str">
        <f t="shared" si="272"/>
        <v/>
      </c>
      <c r="AO1732" s="708" t="str">
        <f t="shared" si="273"/>
        <v/>
      </c>
      <c r="AP1732" s="708" t="str">
        <f t="shared" si="274"/>
        <v/>
      </c>
      <c r="AQ1732" s="708" t="str">
        <f t="shared" si="275"/>
        <v/>
      </c>
      <c r="AR1732" s="708" t="str">
        <f t="shared" si="276"/>
        <v/>
      </c>
      <c r="AS1732" s="708" t="str">
        <f t="shared" si="277"/>
        <v/>
      </c>
      <c r="AT1732" s="708" t="str">
        <f t="shared" si="278"/>
        <v/>
      </c>
      <c r="AU1732" s="708" t="str">
        <f t="shared" si="279"/>
        <v/>
      </c>
      <c r="AV1732" s="708" t="str">
        <f t="shared" si="280"/>
        <v/>
      </c>
      <c r="AW1732" s="708" t="str">
        <f t="shared" si="281"/>
        <v/>
      </c>
      <c r="AX1732" s="708" t="str">
        <f t="shared" si="282"/>
        <v/>
      </c>
      <c r="AY1732" s="708" t="str">
        <f t="shared" si="283"/>
        <v/>
      </c>
      <c r="AZ1732" s="708" t="str">
        <f t="shared" si="284"/>
        <v/>
      </c>
      <c r="BA1732" s="708" t="str">
        <f t="shared" si="285"/>
        <v/>
      </c>
      <c r="BB1732" s="708" t="str">
        <f t="shared" si="286"/>
        <v/>
      </c>
      <c r="BC1732" s="708" t="str">
        <f t="shared" si="287"/>
        <v/>
      </c>
      <c r="BD1732" s="708" t="str">
        <f t="shared" si="288"/>
        <v/>
      </c>
      <c r="BE1732" s="708" t="str">
        <f t="shared" si="289"/>
        <v/>
      </c>
      <c r="BF1732" s="708" t="str">
        <f t="shared" si="290"/>
        <v/>
      </c>
      <c r="BG1732" s="708" t="str">
        <f t="shared" si="291"/>
        <v/>
      </c>
      <c r="BH1732" s="708" t="str">
        <f t="shared" si="292"/>
        <v/>
      </c>
      <c r="BI1732" s="708" t="str">
        <f t="shared" si="293"/>
        <v/>
      </c>
      <c r="BJ1732" s="708" t="str">
        <f t="shared" si="294"/>
        <v/>
      </c>
      <c r="BK1732" s="708" t="str">
        <f t="shared" si="295"/>
        <v/>
      </c>
      <c r="BL1732" s="708" t="str">
        <f t="shared" si="296"/>
        <v/>
      </c>
      <c r="BM1732" s="708" t="str">
        <f t="shared" si="297"/>
        <v/>
      </c>
      <c r="BN1732" s="708" t="str">
        <f t="shared" si="298"/>
        <v/>
      </c>
      <c r="BO1732" s="708" t="str">
        <f t="shared" si="299"/>
        <v/>
      </c>
      <c r="BP1732" s="708" t="str">
        <f t="shared" si="300"/>
        <v/>
      </c>
      <c r="BQ1732" s="708" t="str">
        <f t="shared" si="301"/>
        <v/>
      </c>
      <c r="BR1732" s="708" t="str">
        <f t="shared" si="120"/>
        <v/>
      </c>
      <c r="BS1732" s="708" t="str">
        <f t="shared" si="121"/>
        <v/>
      </c>
      <c r="BT1732" s="708" t="str">
        <f t="shared" si="122"/>
        <v/>
      </c>
      <c r="BU1732" s="708" t="str">
        <f t="shared" si="123"/>
        <v/>
      </c>
      <c r="BV1732" s="708" t="str">
        <f t="shared" si="124"/>
        <v/>
      </c>
      <c r="BW1732" s="708" t="str">
        <f t="shared" si="125"/>
        <v/>
      </c>
      <c r="BX1732" s="708" t="str">
        <f t="shared" si="126"/>
        <v/>
      </c>
      <c r="BY1732" s="708">
        <f t="shared" si="127"/>
        <v>950</v>
      </c>
      <c r="BZ1732" s="708" t="str">
        <f t="shared" si="128"/>
        <v/>
      </c>
      <c r="CA1732" s="708" t="str">
        <f t="shared" si="129"/>
        <v/>
      </c>
      <c r="CB1732" s="708" t="str">
        <f t="shared" si="130"/>
        <v/>
      </c>
      <c r="CC1732" s="708" t="str">
        <f t="shared" si="131"/>
        <v/>
      </c>
      <c r="CD1732" s="708" t="str">
        <f t="shared" si="132"/>
        <v/>
      </c>
      <c r="CE1732" s="708" t="str">
        <f t="shared" si="133"/>
        <v/>
      </c>
      <c r="CF1732" s="708" t="str">
        <f t="shared" si="134"/>
        <v/>
      </c>
      <c r="CG1732" s="708" t="str">
        <f t="shared" si="135"/>
        <v/>
      </c>
      <c r="CH1732" s="708" t="str">
        <f t="shared" si="136"/>
        <v/>
      </c>
      <c r="CI1732" s="708" t="str">
        <f t="shared" si="137"/>
        <v/>
      </c>
      <c r="CJ1732" s="708" t="str">
        <f t="shared" si="138"/>
        <v/>
      </c>
      <c r="CK1732" s="708" t="str">
        <f t="shared" si="139"/>
        <v/>
      </c>
      <c r="CL1732" s="708" t="str">
        <f t="shared" si="140"/>
        <v/>
      </c>
      <c r="CM1732" s="708" t="str">
        <f t="shared" si="141"/>
        <v/>
      </c>
      <c r="CN1732" s="708" t="str">
        <f t="shared" si="142"/>
        <v/>
      </c>
      <c r="CO1732" s="708" t="str">
        <f t="shared" si="143"/>
        <v/>
      </c>
      <c r="CP1732" s="708" t="str">
        <f t="shared" si="144"/>
        <v/>
      </c>
      <c r="CQ1732" s="708" t="str">
        <f t="shared" si="145"/>
        <v/>
      </c>
      <c r="CR1732" s="708" t="str">
        <f t="shared" si="146"/>
        <v/>
      </c>
      <c r="CS1732" s="708" t="str">
        <f t="shared" si="147"/>
        <v/>
      </c>
      <c r="CT1732" s="708" t="str">
        <f t="shared" si="148"/>
        <v/>
      </c>
      <c r="CU1732" s="708" t="str">
        <f t="shared" si="149"/>
        <v/>
      </c>
      <c r="CV1732" s="708" t="str">
        <f t="shared" si="150"/>
        <v/>
      </c>
      <c r="CW1732" s="708" t="str">
        <f t="shared" si="151"/>
        <v/>
      </c>
      <c r="CX1732" s="708" t="str">
        <f t="shared" si="152"/>
        <v/>
      </c>
      <c r="CY1732" s="708" t="str">
        <f t="shared" si="153"/>
        <v/>
      </c>
      <c r="CZ1732" s="708" t="str">
        <f t="shared" si="154"/>
        <v/>
      </c>
      <c r="DA1732" s="708" t="str">
        <f t="shared" si="155"/>
        <v/>
      </c>
      <c r="DB1732" s="708" t="str">
        <f t="shared" si="156"/>
        <v/>
      </c>
      <c r="DC1732" s="708">
        <f t="shared" si="157"/>
        <v>1</v>
      </c>
      <c r="DD1732" s="708" t="str">
        <f t="shared" si="158"/>
        <v/>
      </c>
      <c r="DE1732" s="708" t="str">
        <f t="shared" si="159"/>
        <v/>
      </c>
      <c r="DF1732" s="708" t="str">
        <f t="shared" si="160"/>
        <v/>
      </c>
      <c r="DG1732" s="708" t="str">
        <f t="shared" si="161"/>
        <v/>
      </c>
      <c r="DH1732" s="708" t="str">
        <f t="shared" si="162"/>
        <v/>
      </c>
      <c r="DI1732" s="708" t="str">
        <f t="shared" si="163"/>
        <v/>
      </c>
      <c r="DJ1732" s="708" t="str">
        <f t="shared" si="164"/>
        <v/>
      </c>
      <c r="DK1732" s="708" t="str">
        <f t="shared" si="165"/>
        <v/>
      </c>
      <c r="DL1732" s="708" t="str">
        <f t="shared" si="166"/>
        <v/>
      </c>
      <c r="DM1732" s="708" t="str">
        <f t="shared" si="167"/>
        <v/>
      </c>
      <c r="DN1732" s="708" t="str">
        <f t="shared" si="168"/>
        <v/>
      </c>
      <c r="DO1732" s="708" t="str">
        <f t="shared" si="169"/>
        <v/>
      </c>
      <c r="DP1732" s="708" t="str">
        <f t="shared" si="170"/>
        <v/>
      </c>
      <c r="DQ1732" s="708" t="str">
        <f t="shared" si="171"/>
        <v/>
      </c>
      <c r="DR1732" s="708" t="str">
        <f t="shared" si="172"/>
        <v/>
      </c>
      <c r="DS1732" s="708" t="str">
        <f t="shared" si="173"/>
        <v/>
      </c>
      <c r="DT1732" s="708" t="str">
        <f t="shared" si="174"/>
        <v/>
      </c>
      <c r="DU1732" s="708" t="str">
        <f t="shared" si="175"/>
        <v/>
      </c>
      <c r="DV1732" s="708" t="str">
        <f t="shared" si="176"/>
        <v/>
      </c>
      <c r="DW1732" s="708" t="str">
        <f t="shared" si="177"/>
        <v/>
      </c>
      <c r="DX1732" s="708" t="str">
        <f t="shared" si="178"/>
        <v/>
      </c>
      <c r="DY1732" s="708" t="str">
        <f t="shared" si="179"/>
        <v/>
      </c>
      <c r="DZ1732" s="708" t="str">
        <f t="shared" si="180"/>
        <v/>
      </c>
      <c r="EA1732" s="708" t="str">
        <f t="shared" si="181"/>
        <v/>
      </c>
      <c r="EB1732" s="708" t="str">
        <f t="shared" si="182"/>
        <v/>
      </c>
      <c r="EC1732" s="708" t="str">
        <f t="shared" si="183"/>
        <v/>
      </c>
      <c r="ED1732" s="708" t="str">
        <f t="shared" si="184"/>
        <v/>
      </c>
      <c r="EE1732" s="708" t="str">
        <f t="shared" si="185"/>
        <v/>
      </c>
      <c r="EF1732" s="708" t="str">
        <f t="shared" si="186"/>
        <v/>
      </c>
      <c r="EG1732" s="708" t="str">
        <f t="shared" si="187"/>
        <v/>
      </c>
      <c r="EH1732" s="708" t="str">
        <f t="shared" si="188"/>
        <v/>
      </c>
      <c r="EI1732" s="708" t="str">
        <f t="shared" si="189"/>
        <v/>
      </c>
      <c r="EJ1732" s="708" t="str">
        <f t="shared" si="190"/>
        <v/>
      </c>
      <c r="EK1732" s="708" t="str">
        <f t="shared" si="191"/>
        <v/>
      </c>
      <c r="EL1732" s="708" t="str">
        <f t="shared" si="192"/>
        <v/>
      </c>
      <c r="EM1732" s="708" t="str">
        <f t="shared" si="193"/>
        <v/>
      </c>
      <c r="EN1732" s="708" t="str">
        <f t="shared" si="194"/>
        <v/>
      </c>
      <c r="EO1732" s="708" t="str">
        <f t="shared" si="195"/>
        <v/>
      </c>
      <c r="EP1732" s="708" t="str">
        <f t="shared" si="196"/>
        <v/>
      </c>
      <c r="EQ1732" s="708" t="str">
        <f t="shared" si="197"/>
        <v/>
      </c>
      <c r="ER1732" s="708" t="str">
        <f t="shared" si="198"/>
        <v/>
      </c>
      <c r="ES1732" s="708" t="str">
        <f t="shared" si="199"/>
        <v/>
      </c>
      <c r="ET1732" s="708" t="str">
        <f t="shared" si="200"/>
        <v/>
      </c>
      <c r="EU1732" s="708" t="str">
        <f t="shared" si="201"/>
        <v/>
      </c>
      <c r="EV1732" s="708">
        <f t="shared" si="202"/>
        <v>1</v>
      </c>
      <c r="EW1732" s="708" t="str">
        <f t="shared" si="203"/>
        <v/>
      </c>
      <c r="EX1732" s="708" t="str">
        <f t="shared" si="204"/>
        <v/>
      </c>
      <c r="EY1732" s="708" t="str">
        <f t="shared" si="205"/>
        <v/>
      </c>
      <c r="EZ1732" s="708" t="str">
        <f t="shared" si="206"/>
        <v/>
      </c>
      <c r="FA1732" s="708" t="str">
        <f t="shared" si="207"/>
        <v/>
      </c>
      <c r="FB1732" s="708" t="str">
        <f t="shared" si="208"/>
        <v/>
      </c>
      <c r="FC1732" s="708" t="str">
        <f t="shared" si="209"/>
        <v/>
      </c>
      <c r="FD1732" s="708" t="str">
        <f t="shared" si="210"/>
        <v/>
      </c>
      <c r="FE1732" s="708" t="str">
        <f t="shared" si="211"/>
        <v/>
      </c>
      <c r="FF1732" s="708" t="str">
        <f t="shared" si="212"/>
        <v/>
      </c>
      <c r="FG1732" s="708" t="str">
        <f t="shared" si="213"/>
        <v/>
      </c>
      <c r="FH1732" s="708" t="str">
        <f t="shared" si="214"/>
        <v/>
      </c>
      <c r="FI1732" s="708" t="str">
        <f t="shared" si="215"/>
        <v/>
      </c>
      <c r="FJ1732" s="708" t="str">
        <f t="shared" si="216"/>
        <v/>
      </c>
      <c r="FK1732" s="708" t="str">
        <f t="shared" si="217"/>
        <v/>
      </c>
      <c r="FL1732" s="708" t="str">
        <f t="shared" si="218"/>
        <v/>
      </c>
      <c r="FM1732" s="708" t="str">
        <f t="shared" si="219"/>
        <v/>
      </c>
      <c r="FN1732" s="708" t="str">
        <f t="shared" si="220"/>
        <v/>
      </c>
      <c r="FO1732" s="708" t="str">
        <f t="shared" si="221"/>
        <v/>
      </c>
      <c r="FP1732" s="708" t="str">
        <f t="shared" si="222"/>
        <v/>
      </c>
      <c r="FQ1732" s="708" t="str">
        <f t="shared" si="223"/>
        <v/>
      </c>
      <c r="FR1732" s="708" t="str">
        <f t="shared" si="224"/>
        <v/>
      </c>
      <c r="FS1732" s="708" t="str">
        <f t="shared" si="225"/>
        <v/>
      </c>
      <c r="FT1732" s="708" t="str">
        <f t="shared" si="226"/>
        <v/>
      </c>
      <c r="FU1732" s="708">
        <f t="shared" si="227"/>
        <v>1</v>
      </c>
      <c r="FV1732" s="708" t="str">
        <f t="shared" si="228"/>
        <v/>
      </c>
      <c r="FW1732" s="708" t="str">
        <f t="shared" si="229"/>
        <v/>
      </c>
      <c r="FX1732" s="708" t="str">
        <f t="shared" si="230"/>
        <v/>
      </c>
      <c r="FY1732" s="708" t="str">
        <f t="shared" si="231"/>
        <v/>
      </c>
      <c r="FZ1732" s="708" t="str">
        <f t="shared" si="232"/>
        <v/>
      </c>
      <c r="GA1732" s="708" t="str">
        <f t="shared" si="233"/>
        <v/>
      </c>
      <c r="GB1732" s="708" t="str">
        <f t="shared" si="234"/>
        <v/>
      </c>
      <c r="GC1732" s="708" t="str">
        <f t="shared" si="235"/>
        <v/>
      </c>
      <c r="GD1732" s="708" t="str">
        <f t="shared" si="236"/>
        <v/>
      </c>
      <c r="GE1732" s="708" t="str">
        <f t="shared" si="237"/>
        <v/>
      </c>
      <c r="GF1732" s="708" t="str">
        <f t="shared" si="238"/>
        <v/>
      </c>
      <c r="GG1732" s="708" t="str">
        <f t="shared" si="239"/>
        <v/>
      </c>
      <c r="GH1732" s="708" t="str">
        <f t="shared" si="240"/>
        <v/>
      </c>
      <c r="GI1732" s="708" t="str">
        <f t="shared" si="241"/>
        <v/>
      </c>
      <c r="GJ1732" s="708" t="str">
        <f t="shared" si="242"/>
        <v/>
      </c>
      <c r="GK1732" s="708" t="str">
        <f t="shared" si="243"/>
        <v/>
      </c>
      <c r="GL1732" s="708" t="str">
        <f t="shared" si="244"/>
        <v/>
      </c>
      <c r="GM1732" s="708" t="str">
        <f t="shared" si="245"/>
        <v/>
      </c>
      <c r="GN1732" s="708" t="str">
        <f t="shared" si="246"/>
        <v/>
      </c>
      <c r="GO1732" s="708" t="str">
        <f t="shared" si="247"/>
        <v/>
      </c>
      <c r="GP1732" s="708" t="str">
        <f t="shared" si="248"/>
        <v/>
      </c>
      <c r="GQ1732" s="708" t="str">
        <f t="shared" si="249"/>
        <v/>
      </c>
      <c r="GR1732" s="708" t="str">
        <f t="shared" si="250"/>
        <v/>
      </c>
      <c r="GS1732" s="708" t="str">
        <f t="shared" si="251"/>
        <v/>
      </c>
      <c r="GT1732" s="708" t="str">
        <f t="shared" si="252"/>
        <v/>
      </c>
      <c r="GU1732" s="708" t="str">
        <f t="shared" si="253"/>
        <v/>
      </c>
      <c r="GV1732" s="708" t="str">
        <f t="shared" si="254"/>
        <v/>
      </c>
      <c r="GW1732" s="708" t="str">
        <f t="shared" si="255"/>
        <v/>
      </c>
      <c r="GX1732" s="708" t="str">
        <f t="shared" si="256"/>
        <v/>
      </c>
      <c r="GY1732" s="708" t="str">
        <f t="shared" si="257"/>
        <v/>
      </c>
      <c r="GZ1732" s="708" t="str">
        <f t="shared" si="258"/>
        <v/>
      </c>
      <c r="HA1732" s="708" t="str">
        <f t="shared" si="259"/>
        <v/>
      </c>
      <c r="HB1732" s="708" t="str">
        <f t="shared" si="260"/>
        <v/>
      </c>
      <c r="HC1732" s="708" t="str">
        <f t="shared" si="261"/>
        <v/>
      </c>
      <c r="HD1732" s="708" t="str">
        <f t="shared" si="262"/>
        <v/>
      </c>
      <c r="HE1732" s="708" t="str">
        <f t="shared" si="263"/>
        <v/>
      </c>
      <c r="HF1732" s="708" t="str">
        <f t="shared" si="264"/>
        <v/>
      </c>
      <c r="HG1732" s="708" t="str">
        <f t="shared" si="265"/>
        <v/>
      </c>
      <c r="HH1732" s="708" t="str">
        <f t="shared" si="266"/>
        <v/>
      </c>
      <c r="HI1732" s="708" t="str">
        <f t="shared" si="267"/>
        <v/>
      </c>
      <c r="HJ1732" s="708" t="str">
        <f t="shared" si="268"/>
        <v/>
      </c>
      <c r="HK1732" s="708" t="str">
        <f t="shared" si="269"/>
        <v/>
      </c>
    </row>
    <row r="1733" spans="1:219" ht="13.15" customHeight="1">
      <c r="A1733" s="708" t="str">
        <f t="shared" si="270"/>
        <v/>
      </c>
      <c r="B1733" s="708" t="str">
        <f>'Part VI-Revenues &amp; Expenses'!B18</f>
        <v>60% AMI</v>
      </c>
      <c r="C1733" s="708">
        <f>'Part VI-Revenues &amp; Expenses'!C18</f>
        <v>2</v>
      </c>
      <c r="D1733" s="708">
        <f>'Part VI-Revenues &amp; Expenses'!D18</f>
        <v>2</v>
      </c>
      <c r="E1733" s="708">
        <f>'Part VI-Revenues &amp; Expenses'!E18</f>
        <v>39</v>
      </c>
      <c r="F1733" s="708">
        <f>'Part VI-Revenues &amp; Expenses'!F18</f>
        <v>950</v>
      </c>
      <c r="G1733" s="708">
        <f>'Part VI-Revenues &amp; Expenses'!G18</f>
        <v>859</v>
      </c>
      <c r="H1733" s="708">
        <f>'Part VI-Revenues &amp; Expenses'!H18</f>
        <v>601</v>
      </c>
      <c r="I1733" s="708">
        <f>'Part VI-Revenues &amp; Expenses'!I18</f>
        <v>131</v>
      </c>
      <c r="J1733" s="708">
        <f>'Part VI-Revenues &amp; Expenses'!J18</f>
        <v>0</v>
      </c>
      <c r="K1733" s="708">
        <f t="shared" si="271"/>
        <v>470</v>
      </c>
      <c r="L1733" s="708">
        <f t="shared" si="99"/>
        <v>18330</v>
      </c>
      <c r="M1733" s="708" t="str">
        <f>'Part VI-Revenues &amp; Expenses'!M18</f>
        <v>No</v>
      </c>
      <c r="N1733" s="708" t="str">
        <f>'Part VI-Revenues &amp; Expenses'!N18</f>
        <v>3+ Story</v>
      </c>
      <c r="O1733" s="708" t="str">
        <f>'Part VI-Revenues &amp; Expenses'!O18</f>
        <v>New Construction</v>
      </c>
      <c r="P1733" s="708">
        <f>'Part VI-Revenues &amp; Expenses'!P18</f>
        <v>24040</v>
      </c>
      <c r="Q1733" s="708">
        <f>'Part VI-Revenues &amp; Expenses'!Q18</f>
        <v>0.68666095401313909</v>
      </c>
      <c r="R1733" s="708">
        <f>'Part VI-Revenues &amp; Expenses'!R18</f>
        <v>0</v>
      </c>
      <c r="T1733" s="708" t="str">
        <f t="shared" si="100"/>
        <v/>
      </c>
      <c r="U1733" s="708" t="str">
        <f t="shared" si="101"/>
        <v/>
      </c>
      <c r="V1733" s="708">
        <f t="shared" si="102"/>
        <v>39</v>
      </c>
      <c r="W1733" s="708" t="str">
        <f t="shared" si="103"/>
        <v/>
      </c>
      <c r="X1733" s="708" t="str">
        <f t="shared" si="104"/>
        <v/>
      </c>
      <c r="Y1733" s="708" t="str">
        <f t="shared" si="105"/>
        <v/>
      </c>
      <c r="Z1733" s="708" t="str">
        <f t="shared" si="106"/>
        <v/>
      </c>
      <c r="AA1733" s="708" t="str">
        <f t="shared" si="107"/>
        <v/>
      </c>
      <c r="AB1733" s="708" t="str">
        <f t="shared" si="108"/>
        <v/>
      </c>
      <c r="AC1733" s="708" t="str">
        <f t="shared" si="109"/>
        <v/>
      </c>
      <c r="AD1733" s="708" t="str">
        <f t="shared" si="110"/>
        <v/>
      </c>
      <c r="AE1733" s="708" t="str">
        <f t="shared" si="111"/>
        <v/>
      </c>
      <c r="AF1733" s="708" t="str">
        <f t="shared" si="112"/>
        <v/>
      </c>
      <c r="AG1733" s="708" t="str">
        <f t="shared" si="113"/>
        <v/>
      </c>
      <c r="AH1733" s="708" t="str">
        <f t="shared" si="114"/>
        <v/>
      </c>
      <c r="AI1733" s="708" t="str">
        <f t="shared" si="115"/>
        <v/>
      </c>
      <c r="AJ1733" s="708" t="str">
        <f t="shared" si="116"/>
        <v/>
      </c>
      <c r="AK1733" s="708" t="str">
        <f t="shared" si="117"/>
        <v/>
      </c>
      <c r="AL1733" s="708" t="str">
        <f t="shared" si="118"/>
        <v/>
      </c>
      <c r="AM1733" s="708" t="str">
        <f t="shared" si="119"/>
        <v/>
      </c>
      <c r="AN1733" s="708" t="str">
        <f t="shared" si="272"/>
        <v/>
      </c>
      <c r="AO1733" s="708" t="str">
        <f t="shared" si="273"/>
        <v/>
      </c>
      <c r="AP1733" s="708" t="str">
        <f t="shared" si="274"/>
        <v/>
      </c>
      <c r="AQ1733" s="708" t="str">
        <f t="shared" si="275"/>
        <v/>
      </c>
      <c r="AR1733" s="708" t="str">
        <f t="shared" si="276"/>
        <v/>
      </c>
      <c r="AS1733" s="708" t="str">
        <f t="shared" si="277"/>
        <v/>
      </c>
      <c r="AT1733" s="708" t="str">
        <f t="shared" si="278"/>
        <v/>
      </c>
      <c r="AU1733" s="708" t="str">
        <f t="shared" si="279"/>
        <v/>
      </c>
      <c r="AV1733" s="708" t="str">
        <f t="shared" si="280"/>
        <v/>
      </c>
      <c r="AW1733" s="708" t="str">
        <f t="shared" si="281"/>
        <v/>
      </c>
      <c r="AX1733" s="708" t="str">
        <f t="shared" si="282"/>
        <v/>
      </c>
      <c r="AY1733" s="708" t="str">
        <f t="shared" si="283"/>
        <v/>
      </c>
      <c r="AZ1733" s="708" t="str">
        <f t="shared" si="284"/>
        <v/>
      </c>
      <c r="BA1733" s="708" t="str">
        <f t="shared" si="285"/>
        <v/>
      </c>
      <c r="BB1733" s="708" t="str">
        <f t="shared" si="286"/>
        <v/>
      </c>
      <c r="BC1733" s="708" t="str">
        <f t="shared" si="287"/>
        <v/>
      </c>
      <c r="BD1733" s="708" t="str">
        <f t="shared" si="288"/>
        <v/>
      </c>
      <c r="BE1733" s="708" t="str">
        <f t="shared" si="289"/>
        <v/>
      </c>
      <c r="BF1733" s="708" t="str">
        <f t="shared" si="290"/>
        <v/>
      </c>
      <c r="BG1733" s="708" t="str">
        <f t="shared" si="291"/>
        <v/>
      </c>
      <c r="BH1733" s="708" t="str">
        <f t="shared" si="292"/>
        <v/>
      </c>
      <c r="BI1733" s="708" t="str">
        <f t="shared" si="293"/>
        <v/>
      </c>
      <c r="BJ1733" s="708" t="str">
        <f t="shared" si="294"/>
        <v/>
      </c>
      <c r="BK1733" s="708" t="str">
        <f t="shared" si="295"/>
        <v/>
      </c>
      <c r="BL1733" s="708" t="str">
        <f t="shared" si="296"/>
        <v/>
      </c>
      <c r="BM1733" s="708" t="str">
        <f t="shared" si="297"/>
        <v/>
      </c>
      <c r="BN1733" s="708" t="str">
        <f t="shared" si="298"/>
        <v/>
      </c>
      <c r="BO1733" s="708" t="str">
        <f t="shared" si="299"/>
        <v/>
      </c>
      <c r="BP1733" s="708" t="str">
        <f t="shared" si="300"/>
        <v/>
      </c>
      <c r="BQ1733" s="708" t="str">
        <f t="shared" si="301"/>
        <v/>
      </c>
      <c r="BR1733" s="708" t="str">
        <f t="shared" si="120"/>
        <v/>
      </c>
      <c r="BS1733" s="708" t="str">
        <f t="shared" si="121"/>
        <v/>
      </c>
      <c r="BT1733" s="708" t="str">
        <f t="shared" si="122"/>
        <v/>
      </c>
      <c r="BU1733" s="708" t="str">
        <f t="shared" si="123"/>
        <v/>
      </c>
      <c r="BV1733" s="708" t="str">
        <f t="shared" si="124"/>
        <v/>
      </c>
      <c r="BW1733" s="708" t="str">
        <f t="shared" si="125"/>
        <v/>
      </c>
      <c r="BX1733" s="708" t="str">
        <f t="shared" si="126"/>
        <v/>
      </c>
      <c r="BY1733" s="708">
        <f t="shared" si="127"/>
        <v>37050</v>
      </c>
      <c r="BZ1733" s="708" t="str">
        <f t="shared" si="128"/>
        <v/>
      </c>
      <c r="CA1733" s="708" t="str">
        <f t="shared" si="129"/>
        <v/>
      </c>
      <c r="CB1733" s="708" t="str">
        <f t="shared" si="130"/>
        <v/>
      </c>
      <c r="CC1733" s="708" t="str">
        <f t="shared" si="131"/>
        <v/>
      </c>
      <c r="CD1733" s="708" t="str">
        <f t="shared" si="132"/>
        <v/>
      </c>
      <c r="CE1733" s="708" t="str">
        <f t="shared" si="133"/>
        <v/>
      </c>
      <c r="CF1733" s="708" t="str">
        <f t="shared" si="134"/>
        <v/>
      </c>
      <c r="CG1733" s="708" t="str">
        <f t="shared" si="135"/>
        <v/>
      </c>
      <c r="CH1733" s="708" t="str">
        <f t="shared" si="136"/>
        <v/>
      </c>
      <c r="CI1733" s="708" t="str">
        <f t="shared" si="137"/>
        <v/>
      </c>
      <c r="CJ1733" s="708" t="str">
        <f t="shared" si="138"/>
        <v/>
      </c>
      <c r="CK1733" s="708" t="str">
        <f t="shared" si="139"/>
        <v/>
      </c>
      <c r="CL1733" s="708" t="str">
        <f t="shared" si="140"/>
        <v/>
      </c>
      <c r="CM1733" s="708" t="str">
        <f t="shared" si="141"/>
        <v/>
      </c>
      <c r="CN1733" s="708" t="str">
        <f t="shared" si="142"/>
        <v/>
      </c>
      <c r="CO1733" s="708" t="str">
        <f t="shared" si="143"/>
        <v/>
      </c>
      <c r="CP1733" s="708" t="str">
        <f t="shared" si="144"/>
        <v/>
      </c>
      <c r="CQ1733" s="708" t="str">
        <f t="shared" si="145"/>
        <v/>
      </c>
      <c r="CR1733" s="708" t="str">
        <f t="shared" si="146"/>
        <v/>
      </c>
      <c r="CS1733" s="708" t="str">
        <f t="shared" si="147"/>
        <v/>
      </c>
      <c r="CT1733" s="708" t="str">
        <f t="shared" si="148"/>
        <v/>
      </c>
      <c r="CU1733" s="708" t="str">
        <f t="shared" si="149"/>
        <v/>
      </c>
      <c r="CV1733" s="708" t="str">
        <f t="shared" si="150"/>
        <v/>
      </c>
      <c r="CW1733" s="708" t="str">
        <f t="shared" si="151"/>
        <v/>
      </c>
      <c r="CX1733" s="708" t="str">
        <f t="shared" si="152"/>
        <v/>
      </c>
      <c r="CY1733" s="708" t="str">
        <f t="shared" si="153"/>
        <v/>
      </c>
      <c r="CZ1733" s="708" t="str">
        <f t="shared" si="154"/>
        <v/>
      </c>
      <c r="DA1733" s="708" t="str">
        <f t="shared" si="155"/>
        <v/>
      </c>
      <c r="DB1733" s="708" t="str">
        <f t="shared" si="156"/>
        <v/>
      </c>
      <c r="DC1733" s="708">
        <f t="shared" si="157"/>
        <v>39</v>
      </c>
      <c r="DD1733" s="708" t="str">
        <f t="shared" si="158"/>
        <v/>
      </c>
      <c r="DE1733" s="708" t="str">
        <f t="shared" si="159"/>
        <v/>
      </c>
      <c r="DF1733" s="708" t="str">
        <f t="shared" si="160"/>
        <v/>
      </c>
      <c r="DG1733" s="708" t="str">
        <f t="shared" si="161"/>
        <v/>
      </c>
      <c r="DH1733" s="708" t="str">
        <f t="shared" si="162"/>
        <v/>
      </c>
      <c r="DI1733" s="708" t="str">
        <f t="shared" si="163"/>
        <v/>
      </c>
      <c r="DJ1733" s="708" t="str">
        <f t="shared" si="164"/>
        <v/>
      </c>
      <c r="DK1733" s="708" t="str">
        <f t="shared" si="165"/>
        <v/>
      </c>
      <c r="DL1733" s="708" t="str">
        <f t="shared" si="166"/>
        <v/>
      </c>
      <c r="DM1733" s="708" t="str">
        <f t="shared" si="167"/>
        <v/>
      </c>
      <c r="DN1733" s="708" t="str">
        <f t="shared" si="168"/>
        <v/>
      </c>
      <c r="DO1733" s="708" t="str">
        <f t="shared" si="169"/>
        <v/>
      </c>
      <c r="DP1733" s="708" t="str">
        <f t="shared" si="170"/>
        <v/>
      </c>
      <c r="DQ1733" s="708" t="str">
        <f t="shared" si="171"/>
        <v/>
      </c>
      <c r="DR1733" s="708" t="str">
        <f t="shared" si="172"/>
        <v/>
      </c>
      <c r="DS1733" s="708" t="str">
        <f t="shared" si="173"/>
        <v/>
      </c>
      <c r="DT1733" s="708" t="str">
        <f t="shared" si="174"/>
        <v/>
      </c>
      <c r="DU1733" s="708" t="str">
        <f t="shared" si="175"/>
        <v/>
      </c>
      <c r="DV1733" s="708" t="str">
        <f t="shared" si="176"/>
        <v/>
      </c>
      <c r="DW1733" s="708" t="str">
        <f t="shared" si="177"/>
        <v/>
      </c>
      <c r="DX1733" s="708" t="str">
        <f t="shared" si="178"/>
        <v/>
      </c>
      <c r="DY1733" s="708" t="str">
        <f t="shared" si="179"/>
        <v/>
      </c>
      <c r="DZ1733" s="708" t="str">
        <f t="shared" si="180"/>
        <v/>
      </c>
      <c r="EA1733" s="708" t="str">
        <f t="shared" si="181"/>
        <v/>
      </c>
      <c r="EB1733" s="708" t="str">
        <f t="shared" si="182"/>
        <v/>
      </c>
      <c r="EC1733" s="708" t="str">
        <f t="shared" si="183"/>
        <v/>
      </c>
      <c r="ED1733" s="708" t="str">
        <f t="shared" si="184"/>
        <v/>
      </c>
      <c r="EE1733" s="708" t="str">
        <f t="shared" si="185"/>
        <v/>
      </c>
      <c r="EF1733" s="708" t="str">
        <f t="shared" si="186"/>
        <v/>
      </c>
      <c r="EG1733" s="708" t="str">
        <f t="shared" si="187"/>
        <v/>
      </c>
      <c r="EH1733" s="708" t="str">
        <f t="shared" si="188"/>
        <v/>
      </c>
      <c r="EI1733" s="708" t="str">
        <f t="shared" si="189"/>
        <v/>
      </c>
      <c r="EJ1733" s="708" t="str">
        <f t="shared" si="190"/>
        <v/>
      </c>
      <c r="EK1733" s="708" t="str">
        <f t="shared" si="191"/>
        <v/>
      </c>
      <c r="EL1733" s="708" t="str">
        <f t="shared" si="192"/>
        <v/>
      </c>
      <c r="EM1733" s="708" t="str">
        <f t="shared" si="193"/>
        <v/>
      </c>
      <c r="EN1733" s="708" t="str">
        <f t="shared" si="194"/>
        <v/>
      </c>
      <c r="EO1733" s="708" t="str">
        <f t="shared" si="195"/>
        <v/>
      </c>
      <c r="EP1733" s="708" t="str">
        <f t="shared" si="196"/>
        <v/>
      </c>
      <c r="EQ1733" s="708" t="str">
        <f t="shared" si="197"/>
        <v/>
      </c>
      <c r="ER1733" s="708" t="str">
        <f t="shared" si="198"/>
        <v/>
      </c>
      <c r="ES1733" s="708" t="str">
        <f t="shared" si="199"/>
        <v/>
      </c>
      <c r="ET1733" s="708" t="str">
        <f t="shared" si="200"/>
        <v/>
      </c>
      <c r="EU1733" s="708" t="str">
        <f t="shared" si="201"/>
        <v/>
      </c>
      <c r="EV1733" s="708">
        <f t="shared" si="202"/>
        <v>39</v>
      </c>
      <c r="EW1733" s="708" t="str">
        <f t="shared" si="203"/>
        <v/>
      </c>
      <c r="EX1733" s="708" t="str">
        <f t="shared" si="204"/>
        <v/>
      </c>
      <c r="EY1733" s="708" t="str">
        <f t="shared" si="205"/>
        <v/>
      </c>
      <c r="EZ1733" s="708" t="str">
        <f t="shared" si="206"/>
        <v/>
      </c>
      <c r="FA1733" s="708" t="str">
        <f t="shared" si="207"/>
        <v/>
      </c>
      <c r="FB1733" s="708" t="str">
        <f t="shared" si="208"/>
        <v/>
      </c>
      <c r="FC1733" s="708" t="str">
        <f t="shared" si="209"/>
        <v/>
      </c>
      <c r="FD1733" s="708" t="str">
        <f t="shared" si="210"/>
        <v/>
      </c>
      <c r="FE1733" s="708" t="str">
        <f t="shared" si="211"/>
        <v/>
      </c>
      <c r="FF1733" s="708" t="str">
        <f t="shared" si="212"/>
        <v/>
      </c>
      <c r="FG1733" s="708" t="str">
        <f t="shared" si="213"/>
        <v/>
      </c>
      <c r="FH1733" s="708" t="str">
        <f t="shared" si="214"/>
        <v/>
      </c>
      <c r="FI1733" s="708" t="str">
        <f t="shared" si="215"/>
        <v/>
      </c>
      <c r="FJ1733" s="708" t="str">
        <f t="shared" si="216"/>
        <v/>
      </c>
      <c r="FK1733" s="708" t="str">
        <f t="shared" si="217"/>
        <v/>
      </c>
      <c r="FL1733" s="708" t="str">
        <f t="shared" si="218"/>
        <v/>
      </c>
      <c r="FM1733" s="708" t="str">
        <f t="shared" si="219"/>
        <v/>
      </c>
      <c r="FN1733" s="708" t="str">
        <f t="shared" si="220"/>
        <v/>
      </c>
      <c r="FO1733" s="708" t="str">
        <f t="shared" si="221"/>
        <v/>
      </c>
      <c r="FP1733" s="708" t="str">
        <f t="shared" si="222"/>
        <v/>
      </c>
      <c r="FQ1733" s="708" t="str">
        <f t="shared" si="223"/>
        <v/>
      </c>
      <c r="FR1733" s="708" t="str">
        <f t="shared" si="224"/>
        <v/>
      </c>
      <c r="FS1733" s="708" t="str">
        <f t="shared" si="225"/>
        <v/>
      </c>
      <c r="FT1733" s="708" t="str">
        <f t="shared" si="226"/>
        <v/>
      </c>
      <c r="FU1733" s="708" t="str">
        <f t="shared" si="227"/>
        <v/>
      </c>
      <c r="FV1733" s="708" t="str">
        <f t="shared" si="228"/>
        <v/>
      </c>
      <c r="FW1733" s="708" t="str">
        <f t="shared" si="229"/>
        <v/>
      </c>
      <c r="FX1733" s="708" t="str">
        <f t="shared" si="230"/>
        <v/>
      </c>
      <c r="FY1733" s="708" t="str">
        <f t="shared" si="231"/>
        <v/>
      </c>
      <c r="FZ1733" s="708" t="str">
        <f t="shared" si="232"/>
        <v/>
      </c>
      <c r="GA1733" s="708" t="str">
        <f t="shared" si="233"/>
        <v/>
      </c>
      <c r="GB1733" s="708" t="str">
        <f t="shared" si="234"/>
        <v/>
      </c>
      <c r="GC1733" s="708" t="str">
        <f t="shared" si="235"/>
        <v/>
      </c>
      <c r="GD1733" s="708" t="str">
        <f t="shared" si="236"/>
        <v/>
      </c>
      <c r="GE1733" s="708" t="str">
        <f t="shared" si="237"/>
        <v/>
      </c>
      <c r="GF1733" s="708" t="str">
        <f t="shared" si="238"/>
        <v/>
      </c>
      <c r="GG1733" s="708" t="str">
        <f t="shared" si="239"/>
        <v/>
      </c>
      <c r="GH1733" s="708" t="str">
        <f t="shared" si="240"/>
        <v/>
      </c>
      <c r="GI1733" s="708" t="str">
        <f t="shared" si="241"/>
        <v/>
      </c>
      <c r="GJ1733" s="708">
        <f t="shared" si="242"/>
        <v>39</v>
      </c>
      <c r="GK1733" s="708" t="str">
        <f t="shared" si="243"/>
        <v/>
      </c>
      <c r="GL1733" s="708" t="str">
        <f t="shared" si="244"/>
        <v/>
      </c>
      <c r="GM1733" s="708" t="str">
        <f t="shared" si="245"/>
        <v/>
      </c>
      <c r="GN1733" s="708" t="str">
        <f t="shared" si="246"/>
        <v/>
      </c>
      <c r="GO1733" s="708" t="str">
        <f t="shared" si="247"/>
        <v/>
      </c>
      <c r="GP1733" s="708" t="str">
        <f t="shared" si="248"/>
        <v/>
      </c>
      <c r="GQ1733" s="708" t="str">
        <f t="shared" si="249"/>
        <v/>
      </c>
      <c r="GR1733" s="708" t="str">
        <f t="shared" si="250"/>
        <v/>
      </c>
      <c r="GS1733" s="708" t="str">
        <f t="shared" si="251"/>
        <v/>
      </c>
      <c r="GT1733" s="708" t="str">
        <f t="shared" si="252"/>
        <v/>
      </c>
      <c r="GU1733" s="708" t="str">
        <f t="shared" si="253"/>
        <v/>
      </c>
      <c r="GV1733" s="708" t="str">
        <f t="shared" si="254"/>
        <v/>
      </c>
      <c r="GW1733" s="708" t="str">
        <f t="shared" si="255"/>
        <v/>
      </c>
      <c r="GX1733" s="708" t="str">
        <f t="shared" si="256"/>
        <v/>
      </c>
      <c r="GY1733" s="708" t="str">
        <f t="shared" si="257"/>
        <v/>
      </c>
      <c r="GZ1733" s="708" t="str">
        <f t="shared" si="258"/>
        <v/>
      </c>
      <c r="HA1733" s="708" t="str">
        <f t="shared" si="259"/>
        <v/>
      </c>
      <c r="HB1733" s="708" t="str">
        <f t="shared" si="260"/>
        <v/>
      </c>
      <c r="HC1733" s="708" t="str">
        <f t="shared" si="261"/>
        <v/>
      </c>
      <c r="HD1733" s="708" t="str">
        <f t="shared" si="262"/>
        <v/>
      </c>
      <c r="HE1733" s="708" t="str">
        <f t="shared" si="263"/>
        <v/>
      </c>
      <c r="HF1733" s="708" t="str">
        <f t="shared" si="264"/>
        <v/>
      </c>
      <c r="HG1733" s="708" t="str">
        <f t="shared" si="265"/>
        <v/>
      </c>
      <c r="HH1733" s="708" t="str">
        <f t="shared" si="266"/>
        <v/>
      </c>
      <c r="HI1733" s="708" t="str">
        <f t="shared" si="267"/>
        <v/>
      </c>
      <c r="HJ1733" s="708" t="str">
        <f t="shared" si="268"/>
        <v/>
      </c>
      <c r="HK1733" s="708" t="str">
        <f t="shared" si="269"/>
        <v/>
      </c>
    </row>
    <row r="1734" spans="1:219" ht="13.15" customHeight="1">
      <c r="A1734" s="708" t="str">
        <f t="shared" si="270"/>
        <v/>
      </c>
      <c r="B1734" s="708" t="str">
        <f>'Part VI-Revenues &amp; Expenses'!B19</f>
        <v>60% AMI</v>
      </c>
      <c r="C1734" s="708">
        <f>'Part VI-Revenues &amp; Expenses'!C19</f>
        <v>3</v>
      </c>
      <c r="D1734" s="708">
        <f>'Part VI-Revenues &amp; Expenses'!D19</f>
        <v>2</v>
      </c>
      <c r="E1734" s="708">
        <f>'Part VI-Revenues &amp; Expenses'!E19</f>
        <v>2</v>
      </c>
      <c r="F1734" s="708">
        <f>'Part VI-Revenues &amp; Expenses'!F19</f>
        <v>1100</v>
      </c>
      <c r="G1734" s="708">
        <f>'Part VI-Revenues &amp; Expenses'!G19</f>
        <v>992</v>
      </c>
      <c r="H1734" s="708">
        <f>'Part VI-Revenues &amp; Expenses'!H19</f>
        <v>721</v>
      </c>
      <c r="I1734" s="708">
        <f>'Part VI-Revenues &amp; Expenses'!I19</f>
        <v>161</v>
      </c>
      <c r="J1734" s="708">
        <f>'Part VI-Revenues &amp; Expenses'!J19</f>
        <v>0</v>
      </c>
      <c r="K1734" s="708">
        <f t="shared" si="271"/>
        <v>560</v>
      </c>
      <c r="L1734" s="708">
        <f t="shared" si="99"/>
        <v>1120</v>
      </c>
      <c r="M1734" s="708" t="str">
        <f>'Part VI-Revenues &amp; Expenses'!M19</f>
        <v>No</v>
      </c>
      <c r="N1734" s="708" t="str">
        <f>'Part VI-Revenues &amp; Expenses'!N19</f>
        <v>1-Story</v>
      </c>
      <c r="O1734" s="708" t="str">
        <f>'Part VI-Revenues &amp; Expenses'!O19</f>
        <v>New Construction</v>
      </c>
      <c r="P1734" s="708">
        <f>'Part VI-Revenues &amp; Expenses'!P19</f>
        <v>28840</v>
      </c>
      <c r="Q1734" s="708">
        <f>'Part VI-Revenues &amp; Expenses'!Q19</f>
        <v>0.71287324500692106</v>
      </c>
      <c r="R1734" s="708">
        <f>'Part VI-Revenues &amp; Expenses'!R19</f>
        <v>0</v>
      </c>
      <c r="T1734" s="708" t="str">
        <f t="shared" si="100"/>
        <v/>
      </c>
      <c r="U1734" s="708" t="str">
        <f t="shared" si="101"/>
        <v/>
      </c>
      <c r="V1734" s="708" t="str">
        <f t="shared" si="102"/>
        <v/>
      </c>
      <c r="W1734" s="708">
        <f t="shared" si="103"/>
        <v>2</v>
      </c>
      <c r="X1734" s="708" t="str">
        <f t="shared" si="104"/>
        <v/>
      </c>
      <c r="Y1734" s="708" t="str">
        <f t="shared" si="105"/>
        <v/>
      </c>
      <c r="Z1734" s="708" t="str">
        <f t="shared" si="106"/>
        <v/>
      </c>
      <c r="AA1734" s="708" t="str">
        <f t="shared" si="107"/>
        <v/>
      </c>
      <c r="AB1734" s="708" t="str">
        <f t="shared" si="108"/>
        <v/>
      </c>
      <c r="AC1734" s="708" t="str">
        <f t="shared" si="109"/>
        <v/>
      </c>
      <c r="AD1734" s="708" t="str">
        <f t="shared" si="110"/>
        <v/>
      </c>
      <c r="AE1734" s="708" t="str">
        <f t="shared" si="111"/>
        <v/>
      </c>
      <c r="AF1734" s="708" t="str">
        <f t="shared" si="112"/>
        <v/>
      </c>
      <c r="AG1734" s="708" t="str">
        <f t="shared" si="113"/>
        <v/>
      </c>
      <c r="AH1734" s="708" t="str">
        <f t="shared" si="114"/>
        <v/>
      </c>
      <c r="AI1734" s="708" t="str">
        <f t="shared" si="115"/>
        <v/>
      </c>
      <c r="AJ1734" s="708" t="str">
        <f t="shared" si="116"/>
        <v/>
      </c>
      <c r="AK1734" s="708" t="str">
        <f t="shared" si="117"/>
        <v/>
      </c>
      <c r="AL1734" s="708" t="str">
        <f t="shared" si="118"/>
        <v/>
      </c>
      <c r="AM1734" s="708" t="str">
        <f t="shared" si="119"/>
        <v/>
      </c>
      <c r="AN1734" s="708" t="str">
        <f t="shared" si="272"/>
        <v/>
      </c>
      <c r="AO1734" s="708" t="str">
        <f t="shared" si="273"/>
        <v/>
      </c>
      <c r="AP1734" s="708" t="str">
        <f t="shared" si="274"/>
        <v/>
      </c>
      <c r="AQ1734" s="708" t="str">
        <f t="shared" si="275"/>
        <v/>
      </c>
      <c r="AR1734" s="708" t="str">
        <f t="shared" si="276"/>
        <v/>
      </c>
      <c r="AS1734" s="708" t="str">
        <f t="shared" si="277"/>
        <v/>
      </c>
      <c r="AT1734" s="708" t="str">
        <f t="shared" si="278"/>
        <v/>
      </c>
      <c r="AU1734" s="708" t="str">
        <f t="shared" si="279"/>
        <v/>
      </c>
      <c r="AV1734" s="708" t="str">
        <f t="shared" si="280"/>
        <v/>
      </c>
      <c r="AW1734" s="708" t="str">
        <f t="shared" si="281"/>
        <v/>
      </c>
      <c r="AX1734" s="708" t="str">
        <f t="shared" si="282"/>
        <v/>
      </c>
      <c r="AY1734" s="708" t="str">
        <f t="shared" si="283"/>
        <v/>
      </c>
      <c r="AZ1734" s="708" t="str">
        <f t="shared" si="284"/>
        <v/>
      </c>
      <c r="BA1734" s="708" t="str">
        <f t="shared" si="285"/>
        <v/>
      </c>
      <c r="BB1734" s="708" t="str">
        <f t="shared" si="286"/>
        <v/>
      </c>
      <c r="BC1734" s="708" t="str">
        <f t="shared" si="287"/>
        <v/>
      </c>
      <c r="BD1734" s="708" t="str">
        <f t="shared" si="288"/>
        <v/>
      </c>
      <c r="BE1734" s="708" t="str">
        <f t="shared" si="289"/>
        <v/>
      </c>
      <c r="BF1734" s="708" t="str">
        <f t="shared" si="290"/>
        <v/>
      </c>
      <c r="BG1734" s="708" t="str">
        <f t="shared" si="291"/>
        <v/>
      </c>
      <c r="BH1734" s="708" t="str">
        <f t="shared" si="292"/>
        <v/>
      </c>
      <c r="BI1734" s="708" t="str">
        <f t="shared" si="293"/>
        <v/>
      </c>
      <c r="BJ1734" s="708" t="str">
        <f t="shared" si="294"/>
        <v/>
      </c>
      <c r="BK1734" s="708" t="str">
        <f t="shared" si="295"/>
        <v/>
      </c>
      <c r="BL1734" s="708" t="str">
        <f t="shared" si="296"/>
        <v/>
      </c>
      <c r="BM1734" s="708" t="str">
        <f t="shared" si="297"/>
        <v/>
      </c>
      <c r="BN1734" s="708" t="str">
        <f t="shared" si="298"/>
        <v/>
      </c>
      <c r="BO1734" s="708" t="str">
        <f t="shared" si="299"/>
        <v/>
      </c>
      <c r="BP1734" s="708" t="str">
        <f t="shared" si="300"/>
        <v/>
      </c>
      <c r="BQ1734" s="708" t="str">
        <f t="shared" si="301"/>
        <v/>
      </c>
      <c r="BR1734" s="708" t="str">
        <f t="shared" si="120"/>
        <v/>
      </c>
      <c r="BS1734" s="708" t="str">
        <f t="shared" si="121"/>
        <v/>
      </c>
      <c r="BT1734" s="708" t="str">
        <f t="shared" si="122"/>
        <v/>
      </c>
      <c r="BU1734" s="708" t="str">
        <f t="shared" si="123"/>
        <v/>
      </c>
      <c r="BV1734" s="708" t="str">
        <f t="shared" si="124"/>
        <v/>
      </c>
      <c r="BW1734" s="708" t="str">
        <f t="shared" si="125"/>
        <v/>
      </c>
      <c r="BX1734" s="708" t="str">
        <f t="shared" si="126"/>
        <v/>
      </c>
      <c r="BY1734" s="708" t="str">
        <f t="shared" si="127"/>
        <v/>
      </c>
      <c r="BZ1734" s="708">
        <f t="shared" si="128"/>
        <v>2200</v>
      </c>
      <c r="CA1734" s="708" t="str">
        <f t="shared" si="129"/>
        <v/>
      </c>
      <c r="CB1734" s="708" t="str">
        <f t="shared" si="130"/>
        <v/>
      </c>
      <c r="CC1734" s="708" t="str">
        <f t="shared" si="131"/>
        <v/>
      </c>
      <c r="CD1734" s="708" t="str">
        <f t="shared" si="132"/>
        <v/>
      </c>
      <c r="CE1734" s="708" t="str">
        <f t="shared" si="133"/>
        <v/>
      </c>
      <c r="CF1734" s="708" t="str">
        <f t="shared" si="134"/>
        <v/>
      </c>
      <c r="CG1734" s="708" t="str">
        <f t="shared" si="135"/>
        <v/>
      </c>
      <c r="CH1734" s="708" t="str">
        <f t="shared" si="136"/>
        <v/>
      </c>
      <c r="CI1734" s="708" t="str">
        <f t="shared" si="137"/>
        <v/>
      </c>
      <c r="CJ1734" s="708" t="str">
        <f t="shared" si="138"/>
        <v/>
      </c>
      <c r="CK1734" s="708" t="str">
        <f t="shared" si="139"/>
        <v/>
      </c>
      <c r="CL1734" s="708" t="str">
        <f t="shared" si="140"/>
        <v/>
      </c>
      <c r="CM1734" s="708" t="str">
        <f t="shared" si="141"/>
        <v/>
      </c>
      <c r="CN1734" s="708" t="str">
        <f t="shared" si="142"/>
        <v/>
      </c>
      <c r="CO1734" s="708" t="str">
        <f t="shared" si="143"/>
        <v/>
      </c>
      <c r="CP1734" s="708" t="str">
        <f t="shared" si="144"/>
        <v/>
      </c>
      <c r="CQ1734" s="708" t="str">
        <f t="shared" si="145"/>
        <v/>
      </c>
      <c r="CR1734" s="708" t="str">
        <f t="shared" si="146"/>
        <v/>
      </c>
      <c r="CS1734" s="708" t="str">
        <f t="shared" si="147"/>
        <v/>
      </c>
      <c r="CT1734" s="708" t="str">
        <f t="shared" si="148"/>
        <v/>
      </c>
      <c r="CU1734" s="708" t="str">
        <f t="shared" si="149"/>
        <v/>
      </c>
      <c r="CV1734" s="708" t="str">
        <f t="shared" si="150"/>
        <v/>
      </c>
      <c r="CW1734" s="708" t="str">
        <f t="shared" si="151"/>
        <v/>
      </c>
      <c r="CX1734" s="708" t="str">
        <f t="shared" si="152"/>
        <v/>
      </c>
      <c r="CY1734" s="708" t="str">
        <f t="shared" si="153"/>
        <v/>
      </c>
      <c r="CZ1734" s="708" t="str">
        <f t="shared" si="154"/>
        <v/>
      </c>
      <c r="DA1734" s="708" t="str">
        <f t="shared" si="155"/>
        <v/>
      </c>
      <c r="DB1734" s="708" t="str">
        <f t="shared" si="156"/>
        <v/>
      </c>
      <c r="DC1734" s="708" t="str">
        <f t="shared" si="157"/>
        <v/>
      </c>
      <c r="DD1734" s="708">
        <f t="shared" si="158"/>
        <v>2</v>
      </c>
      <c r="DE1734" s="708" t="str">
        <f t="shared" si="159"/>
        <v/>
      </c>
      <c r="DF1734" s="708" t="str">
        <f t="shared" si="160"/>
        <v/>
      </c>
      <c r="DG1734" s="708" t="str">
        <f t="shared" si="161"/>
        <v/>
      </c>
      <c r="DH1734" s="708" t="str">
        <f t="shared" si="162"/>
        <v/>
      </c>
      <c r="DI1734" s="708" t="str">
        <f t="shared" si="163"/>
        <v/>
      </c>
      <c r="DJ1734" s="708" t="str">
        <f t="shared" si="164"/>
        <v/>
      </c>
      <c r="DK1734" s="708" t="str">
        <f t="shared" si="165"/>
        <v/>
      </c>
      <c r="DL1734" s="708" t="str">
        <f t="shared" si="166"/>
        <v/>
      </c>
      <c r="DM1734" s="708" t="str">
        <f t="shared" si="167"/>
        <v/>
      </c>
      <c r="DN1734" s="708" t="str">
        <f t="shared" si="168"/>
        <v/>
      </c>
      <c r="DO1734" s="708" t="str">
        <f t="shared" si="169"/>
        <v/>
      </c>
      <c r="DP1734" s="708" t="str">
        <f t="shared" si="170"/>
        <v/>
      </c>
      <c r="DQ1734" s="708" t="str">
        <f t="shared" si="171"/>
        <v/>
      </c>
      <c r="DR1734" s="708" t="str">
        <f t="shared" si="172"/>
        <v/>
      </c>
      <c r="DS1734" s="708" t="str">
        <f t="shared" si="173"/>
        <v/>
      </c>
      <c r="DT1734" s="708" t="str">
        <f t="shared" si="174"/>
        <v/>
      </c>
      <c r="DU1734" s="708" t="str">
        <f t="shared" si="175"/>
        <v/>
      </c>
      <c r="DV1734" s="708" t="str">
        <f t="shared" si="176"/>
        <v/>
      </c>
      <c r="DW1734" s="708" t="str">
        <f t="shared" si="177"/>
        <v/>
      </c>
      <c r="DX1734" s="708" t="str">
        <f t="shared" si="178"/>
        <v/>
      </c>
      <c r="DY1734" s="708" t="str">
        <f t="shared" si="179"/>
        <v/>
      </c>
      <c r="DZ1734" s="708" t="str">
        <f t="shared" si="180"/>
        <v/>
      </c>
      <c r="EA1734" s="708" t="str">
        <f t="shared" si="181"/>
        <v/>
      </c>
      <c r="EB1734" s="708" t="str">
        <f t="shared" si="182"/>
        <v/>
      </c>
      <c r="EC1734" s="708" t="str">
        <f t="shared" si="183"/>
        <v/>
      </c>
      <c r="ED1734" s="708" t="str">
        <f t="shared" si="184"/>
        <v/>
      </c>
      <c r="EE1734" s="708" t="str">
        <f t="shared" si="185"/>
        <v/>
      </c>
      <c r="EF1734" s="708" t="str">
        <f t="shared" si="186"/>
        <v/>
      </c>
      <c r="EG1734" s="708" t="str">
        <f t="shared" si="187"/>
        <v/>
      </c>
      <c r="EH1734" s="708" t="str">
        <f t="shared" si="188"/>
        <v/>
      </c>
      <c r="EI1734" s="708" t="str">
        <f t="shared" si="189"/>
        <v/>
      </c>
      <c r="EJ1734" s="708" t="str">
        <f t="shared" si="190"/>
        <v/>
      </c>
      <c r="EK1734" s="708" t="str">
        <f t="shared" si="191"/>
        <v/>
      </c>
      <c r="EL1734" s="708" t="str">
        <f t="shared" si="192"/>
        <v/>
      </c>
      <c r="EM1734" s="708" t="str">
        <f t="shared" si="193"/>
        <v/>
      </c>
      <c r="EN1734" s="708" t="str">
        <f t="shared" si="194"/>
        <v/>
      </c>
      <c r="EO1734" s="708" t="str">
        <f t="shared" si="195"/>
        <v/>
      </c>
      <c r="EP1734" s="708" t="str">
        <f t="shared" si="196"/>
        <v/>
      </c>
      <c r="EQ1734" s="708" t="str">
        <f t="shared" si="197"/>
        <v/>
      </c>
      <c r="ER1734" s="708" t="str">
        <f t="shared" si="198"/>
        <v/>
      </c>
      <c r="ES1734" s="708" t="str">
        <f t="shared" si="199"/>
        <v/>
      </c>
      <c r="ET1734" s="708" t="str">
        <f t="shared" si="200"/>
        <v/>
      </c>
      <c r="EU1734" s="708" t="str">
        <f t="shared" si="201"/>
        <v/>
      </c>
      <c r="EV1734" s="708" t="str">
        <f t="shared" si="202"/>
        <v/>
      </c>
      <c r="EW1734" s="708">
        <f t="shared" si="203"/>
        <v>2</v>
      </c>
      <c r="EX1734" s="708" t="str">
        <f t="shared" si="204"/>
        <v/>
      </c>
      <c r="EY1734" s="708" t="str">
        <f t="shared" si="205"/>
        <v/>
      </c>
      <c r="EZ1734" s="708" t="str">
        <f t="shared" si="206"/>
        <v/>
      </c>
      <c r="FA1734" s="708" t="str">
        <f t="shared" si="207"/>
        <v/>
      </c>
      <c r="FB1734" s="708" t="str">
        <f t="shared" si="208"/>
        <v/>
      </c>
      <c r="FC1734" s="708" t="str">
        <f t="shared" si="209"/>
        <v/>
      </c>
      <c r="FD1734" s="708" t="str">
        <f t="shared" si="210"/>
        <v/>
      </c>
      <c r="FE1734" s="708" t="str">
        <f t="shared" si="211"/>
        <v/>
      </c>
      <c r="FF1734" s="708" t="str">
        <f t="shared" si="212"/>
        <v/>
      </c>
      <c r="FG1734" s="708" t="str">
        <f t="shared" si="213"/>
        <v/>
      </c>
      <c r="FH1734" s="708" t="str">
        <f t="shared" si="214"/>
        <v/>
      </c>
      <c r="FI1734" s="708" t="str">
        <f t="shared" si="215"/>
        <v/>
      </c>
      <c r="FJ1734" s="708" t="str">
        <f t="shared" si="216"/>
        <v/>
      </c>
      <c r="FK1734" s="708" t="str">
        <f t="shared" si="217"/>
        <v/>
      </c>
      <c r="FL1734" s="708" t="str">
        <f t="shared" si="218"/>
        <v/>
      </c>
      <c r="FM1734" s="708" t="str">
        <f t="shared" si="219"/>
        <v/>
      </c>
      <c r="FN1734" s="708" t="str">
        <f t="shared" si="220"/>
        <v/>
      </c>
      <c r="FO1734" s="708" t="str">
        <f t="shared" si="221"/>
        <v/>
      </c>
      <c r="FP1734" s="708" t="str">
        <f t="shared" si="222"/>
        <v/>
      </c>
      <c r="FQ1734" s="708" t="str">
        <f t="shared" si="223"/>
        <v/>
      </c>
      <c r="FR1734" s="708" t="str">
        <f t="shared" si="224"/>
        <v/>
      </c>
      <c r="FS1734" s="708" t="str">
        <f t="shared" si="225"/>
        <v/>
      </c>
      <c r="FT1734" s="708" t="str">
        <f t="shared" si="226"/>
        <v/>
      </c>
      <c r="FU1734" s="708" t="str">
        <f t="shared" si="227"/>
        <v/>
      </c>
      <c r="FV1734" s="708">
        <f t="shared" si="228"/>
        <v>2</v>
      </c>
      <c r="FW1734" s="708" t="str">
        <f t="shared" si="229"/>
        <v/>
      </c>
      <c r="FX1734" s="708" t="str">
        <f t="shared" si="230"/>
        <v/>
      </c>
      <c r="FY1734" s="708" t="str">
        <f t="shared" si="231"/>
        <v/>
      </c>
      <c r="FZ1734" s="708" t="str">
        <f t="shared" si="232"/>
        <v/>
      </c>
      <c r="GA1734" s="708" t="str">
        <f t="shared" si="233"/>
        <v/>
      </c>
      <c r="GB1734" s="708" t="str">
        <f t="shared" si="234"/>
        <v/>
      </c>
      <c r="GC1734" s="708" t="str">
        <f t="shared" si="235"/>
        <v/>
      </c>
      <c r="GD1734" s="708" t="str">
        <f t="shared" si="236"/>
        <v/>
      </c>
      <c r="GE1734" s="708" t="str">
        <f t="shared" si="237"/>
        <v/>
      </c>
      <c r="GF1734" s="708" t="str">
        <f t="shared" si="238"/>
        <v/>
      </c>
      <c r="GG1734" s="708" t="str">
        <f t="shared" si="239"/>
        <v/>
      </c>
      <c r="GH1734" s="708" t="str">
        <f t="shared" si="240"/>
        <v/>
      </c>
      <c r="GI1734" s="708" t="str">
        <f t="shared" si="241"/>
        <v/>
      </c>
      <c r="GJ1734" s="708" t="str">
        <f t="shared" si="242"/>
        <v/>
      </c>
      <c r="GK1734" s="708" t="str">
        <f t="shared" si="243"/>
        <v/>
      </c>
      <c r="GL1734" s="708" t="str">
        <f t="shared" si="244"/>
        <v/>
      </c>
      <c r="GM1734" s="708" t="str">
        <f t="shared" si="245"/>
        <v/>
      </c>
      <c r="GN1734" s="708" t="str">
        <f t="shared" si="246"/>
        <v/>
      </c>
      <c r="GO1734" s="708" t="str">
        <f t="shared" si="247"/>
        <v/>
      </c>
      <c r="GP1734" s="708" t="str">
        <f t="shared" si="248"/>
        <v/>
      </c>
      <c r="GQ1734" s="708" t="str">
        <f t="shared" si="249"/>
        <v/>
      </c>
      <c r="GR1734" s="708" t="str">
        <f t="shared" si="250"/>
        <v/>
      </c>
      <c r="GS1734" s="708" t="str">
        <f t="shared" si="251"/>
        <v/>
      </c>
      <c r="GT1734" s="708" t="str">
        <f t="shared" si="252"/>
        <v/>
      </c>
      <c r="GU1734" s="708" t="str">
        <f t="shared" si="253"/>
        <v/>
      </c>
      <c r="GV1734" s="708" t="str">
        <f t="shared" si="254"/>
        <v/>
      </c>
      <c r="GW1734" s="708" t="str">
        <f t="shared" si="255"/>
        <v/>
      </c>
      <c r="GX1734" s="708" t="str">
        <f t="shared" si="256"/>
        <v/>
      </c>
      <c r="GY1734" s="708" t="str">
        <f t="shared" si="257"/>
        <v/>
      </c>
      <c r="GZ1734" s="708" t="str">
        <f t="shared" si="258"/>
        <v/>
      </c>
      <c r="HA1734" s="708" t="str">
        <f t="shared" si="259"/>
        <v/>
      </c>
      <c r="HB1734" s="708" t="str">
        <f t="shared" si="260"/>
        <v/>
      </c>
      <c r="HC1734" s="708" t="str">
        <f t="shared" si="261"/>
        <v/>
      </c>
      <c r="HD1734" s="708" t="str">
        <f t="shared" si="262"/>
        <v/>
      </c>
      <c r="HE1734" s="708" t="str">
        <f t="shared" si="263"/>
        <v/>
      </c>
      <c r="HF1734" s="708" t="str">
        <f t="shared" si="264"/>
        <v/>
      </c>
      <c r="HG1734" s="708" t="str">
        <f t="shared" si="265"/>
        <v/>
      </c>
      <c r="HH1734" s="708" t="str">
        <f t="shared" si="266"/>
        <v/>
      </c>
      <c r="HI1734" s="708" t="str">
        <f t="shared" si="267"/>
        <v/>
      </c>
      <c r="HJ1734" s="708" t="str">
        <f t="shared" si="268"/>
        <v/>
      </c>
      <c r="HK1734" s="708" t="str">
        <f t="shared" si="269"/>
        <v/>
      </c>
    </row>
    <row r="1735" spans="1:219" ht="13.15" customHeight="1">
      <c r="A1735" s="708" t="str">
        <f t="shared" si="270"/>
        <v/>
      </c>
      <c r="B1735" s="708" t="str">
        <f>'Part VI-Revenues &amp; Expenses'!B20</f>
        <v>60% AMI</v>
      </c>
      <c r="C1735" s="708">
        <f>'Part VI-Revenues &amp; Expenses'!C20</f>
        <v>3</v>
      </c>
      <c r="D1735" s="708">
        <f>'Part VI-Revenues &amp; Expenses'!D20</f>
        <v>2</v>
      </c>
      <c r="E1735" s="708">
        <f>'Part VI-Revenues &amp; Expenses'!E20</f>
        <v>14</v>
      </c>
      <c r="F1735" s="708">
        <f>'Part VI-Revenues &amp; Expenses'!F20</f>
        <v>1100</v>
      </c>
      <c r="G1735" s="708">
        <f>'Part VI-Revenues &amp; Expenses'!G20</f>
        <v>992</v>
      </c>
      <c r="H1735" s="708">
        <f>'Part VI-Revenues &amp; Expenses'!H20</f>
        <v>721</v>
      </c>
      <c r="I1735" s="708">
        <f>'Part VI-Revenues &amp; Expenses'!I20</f>
        <v>161</v>
      </c>
      <c r="J1735" s="708">
        <f>'Part VI-Revenues &amp; Expenses'!J20</f>
        <v>0</v>
      </c>
      <c r="K1735" s="708">
        <f t="shared" si="271"/>
        <v>560</v>
      </c>
      <c r="L1735" s="708">
        <f t="shared" si="99"/>
        <v>7840</v>
      </c>
      <c r="M1735" s="708" t="str">
        <f>'Part VI-Revenues &amp; Expenses'!M20</f>
        <v>No</v>
      </c>
      <c r="N1735" s="708" t="str">
        <f>'Part VI-Revenues &amp; Expenses'!N20</f>
        <v>3+ Story</v>
      </c>
      <c r="O1735" s="708" t="str">
        <f>'Part VI-Revenues &amp; Expenses'!O20</f>
        <v>New Construction</v>
      </c>
      <c r="P1735" s="708">
        <f>'Part VI-Revenues &amp; Expenses'!P20</f>
        <v>28840</v>
      </c>
      <c r="Q1735" s="708">
        <f>'Part VI-Revenues &amp; Expenses'!Q20</f>
        <v>0.71287324500692106</v>
      </c>
      <c r="R1735" s="708">
        <f>'Part VI-Revenues &amp; Expenses'!R20</f>
        <v>0</v>
      </c>
      <c r="T1735" s="708" t="str">
        <f t="shared" si="100"/>
        <v/>
      </c>
      <c r="U1735" s="708" t="str">
        <f t="shared" si="101"/>
        <v/>
      </c>
      <c r="V1735" s="708" t="str">
        <f t="shared" si="102"/>
        <v/>
      </c>
      <c r="W1735" s="708">
        <f t="shared" si="103"/>
        <v>14</v>
      </c>
      <c r="X1735" s="708" t="str">
        <f t="shared" si="104"/>
        <v/>
      </c>
      <c r="Y1735" s="708" t="str">
        <f t="shared" si="105"/>
        <v/>
      </c>
      <c r="Z1735" s="708" t="str">
        <f t="shared" si="106"/>
        <v/>
      </c>
      <c r="AA1735" s="708" t="str">
        <f t="shared" si="107"/>
        <v/>
      </c>
      <c r="AB1735" s="708" t="str">
        <f t="shared" si="108"/>
        <v/>
      </c>
      <c r="AC1735" s="708" t="str">
        <f t="shared" si="109"/>
        <v/>
      </c>
      <c r="AD1735" s="708" t="str">
        <f t="shared" si="110"/>
        <v/>
      </c>
      <c r="AE1735" s="708" t="str">
        <f t="shared" si="111"/>
        <v/>
      </c>
      <c r="AF1735" s="708" t="str">
        <f t="shared" si="112"/>
        <v/>
      </c>
      <c r="AG1735" s="708" t="str">
        <f t="shared" si="113"/>
        <v/>
      </c>
      <c r="AH1735" s="708" t="str">
        <f t="shared" si="114"/>
        <v/>
      </c>
      <c r="AI1735" s="708" t="str">
        <f t="shared" si="115"/>
        <v/>
      </c>
      <c r="AJ1735" s="708" t="str">
        <f t="shared" si="116"/>
        <v/>
      </c>
      <c r="AK1735" s="708" t="str">
        <f t="shared" si="117"/>
        <v/>
      </c>
      <c r="AL1735" s="708" t="str">
        <f t="shared" si="118"/>
        <v/>
      </c>
      <c r="AM1735" s="708" t="str">
        <f t="shared" si="119"/>
        <v/>
      </c>
      <c r="AN1735" s="708" t="str">
        <f t="shared" si="272"/>
        <v/>
      </c>
      <c r="AO1735" s="708" t="str">
        <f t="shared" si="273"/>
        <v/>
      </c>
      <c r="AP1735" s="708" t="str">
        <f t="shared" si="274"/>
        <v/>
      </c>
      <c r="AQ1735" s="708" t="str">
        <f t="shared" si="275"/>
        <v/>
      </c>
      <c r="AR1735" s="708" t="str">
        <f t="shared" si="276"/>
        <v/>
      </c>
      <c r="AS1735" s="708" t="str">
        <f t="shared" si="277"/>
        <v/>
      </c>
      <c r="AT1735" s="708" t="str">
        <f t="shared" si="278"/>
        <v/>
      </c>
      <c r="AU1735" s="708" t="str">
        <f t="shared" si="279"/>
        <v/>
      </c>
      <c r="AV1735" s="708" t="str">
        <f t="shared" si="280"/>
        <v/>
      </c>
      <c r="AW1735" s="708" t="str">
        <f t="shared" si="281"/>
        <v/>
      </c>
      <c r="AX1735" s="708" t="str">
        <f t="shared" si="282"/>
        <v/>
      </c>
      <c r="AY1735" s="708" t="str">
        <f t="shared" si="283"/>
        <v/>
      </c>
      <c r="AZ1735" s="708" t="str">
        <f t="shared" si="284"/>
        <v/>
      </c>
      <c r="BA1735" s="708" t="str">
        <f t="shared" si="285"/>
        <v/>
      </c>
      <c r="BB1735" s="708" t="str">
        <f t="shared" si="286"/>
        <v/>
      </c>
      <c r="BC1735" s="708" t="str">
        <f t="shared" si="287"/>
        <v/>
      </c>
      <c r="BD1735" s="708" t="str">
        <f t="shared" si="288"/>
        <v/>
      </c>
      <c r="BE1735" s="708" t="str">
        <f t="shared" si="289"/>
        <v/>
      </c>
      <c r="BF1735" s="708" t="str">
        <f t="shared" si="290"/>
        <v/>
      </c>
      <c r="BG1735" s="708" t="str">
        <f t="shared" si="291"/>
        <v/>
      </c>
      <c r="BH1735" s="708" t="str">
        <f t="shared" si="292"/>
        <v/>
      </c>
      <c r="BI1735" s="708" t="str">
        <f t="shared" si="293"/>
        <v/>
      </c>
      <c r="BJ1735" s="708" t="str">
        <f t="shared" si="294"/>
        <v/>
      </c>
      <c r="BK1735" s="708" t="str">
        <f t="shared" si="295"/>
        <v/>
      </c>
      <c r="BL1735" s="708" t="str">
        <f t="shared" si="296"/>
        <v/>
      </c>
      <c r="BM1735" s="708" t="str">
        <f t="shared" si="297"/>
        <v/>
      </c>
      <c r="BN1735" s="708" t="str">
        <f t="shared" si="298"/>
        <v/>
      </c>
      <c r="BO1735" s="708" t="str">
        <f t="shared" si="299"/>
        <v/>
      </c>
      <c r="BP1735" s="708" t="str">
        <f t="shared" si="300"/>
        <v/>
      </c>
      <c r="BQ1735" s="708" t="str">
        <f t="shared" si="301"/>
        <v/>
      </c>
      <c r="BR1735" s="708" t="str">
        <f t="shared" si="120"/>
        <v/>
      </c>
      <c r="BS1735" s="708" t="str">
        <f t="shared" si="121"/>
        <v/>
      </c>
      <c r="BT1735" s="708" t="str">
        <f t="shared" si="122"/>
        <v/>
      </c>
      <c r="BU1735" s="708" t="str">
        <f t="shared" si="123"/>
        <v/>
      </c>
      <c r="BV1735" s="708" t="str">
        <f t="shared" si="124"/>
        <v/>
      </c>
      <c r="BW1735" s="708" t="str">
        <f t="shared" si="125"/>
        <v/>
      </c>
      <c r="BX1735" s="708" t="str">
        <f t="shared" si="126"/>
        <v/>
      </c>
      <c r="BY1735" s="708" t="str">
        <f t="shared" si="127"/>
        <v/>
      </c>
      <c r="BZ1735" s="708">
        <f t="shared" si="128"/>
        <v>15400</v>
      </c>
      <c r="CA1735" s="708" t="str">
        <f t="shared" si="129"/>
        <v/>
      </c>
      <c r="CB1735" s="708" t="str">
        <f t="shared" si="130"/>
        <v/>
      </c>
      <c r="CC1735" s="708" t="str">
        <f t="shared" si="131"/>
        <v/>
      </c>
      <c r="CD1735" s="708" t="str">
        <f t="shared" si="132"/>
        <v/>
      </c>
      <c r="CE1735" s="708" t="str">
        <f t="shared" si="133"/>
        <v/>
      </c>
      <c r="CF1735" s="708" t="str">
        <f t="shared" si="134"/>
        <v/>
      </c>
      <c r="CG1735" s="708" t="str">
        <f t="shared" si="135"/>
        <v/>
      </c>
      <c r="CH1735" s="708" t="str">
        <f t="shared" si="136"/>
        <v/>
      </c>
      <c r="CI1735" s="708" t="str">
        <f t="shared" si="137"/>
        <v/>
      </c>
      <c r="CJ1735" s="708" t="str">
        <f t="shared" si="138"/>
        <v/>
      </c>
      <c r="CK1735" s="708" t="str">
        <f t="shared" si="139"/>
        <v/>
      </c>
      <c r="CL1735" s="708" t="str">
        <f t="shared" si="140"/>
        <v/>
      </c>
      <c r="CM1735" s="708" t="str">
        <f t="shared" si="141"/>
        <v/>
      </c>
      <c r="CN1735" s="708" t="str">
        <f t="shared" si="142"/>
        <v/>
      </c>
      <c r="CO1735" s="708" t="str">
        <f t="shared" si="143"/>
        <v/>
      </c>
      <c r="CP1735" s="708" t="str">
        <f t="shared" si="144"/>
        <v/>
      </c>
      <c r="CQ1735" s="708" t="str">
        <f t="shared" si="145"/>
        <v/>
      </c>
      <c r="CR1735" s="708" t="str">
        <f t="shared" si="146"/>
        <v/>
      </c>
      <c r="CS1735" s="708" t="str">
        <f t="shared" si="147"/>
        <v/>
      </c>
      <c r="CT1735" s="708" t="str">
        <f t="shared" si="148"/>
        <v/>
      </c>
      <c r="CU1735" s="708" t="str">
        <f t="shared" si="149"/>
        <v/>
      </c>
      <c r="CV1735" s="708" t="str">
        <f t="shared" si="150"/>
        <v/>
      </c>
      <c r="CW1735" s="708" t="str">
        <f t="shared" si="151"/>
        <v/>
      </c>
      <c r="CX1735" s="708" t="str">
        <f t="shared" si="152"/>
        <v/>
      </c>
      <c r="CY1735" s="708" t="str">
        <f t="shared" si="153"/>
        <v/>
      </c>
      <c r="CZ1735" s="708" t="str">
        <f t="shared" si="154"/>
        <v/>
      </c>
      <c r="DA1735" s="708" t="str">
        <f t="shared" si="155"/>
        <v/>
      </c>
      <c r="DB1735" s="708" t="str">
        <f t="shared" si="156"/>
        <v/>
      </c>
      <c r="DC1735" s="708" t="str">
        <f t="shared" si="157"/>
        <v/>
      </c>
      <c r="DD1735" s="708">
        <f t="shared" si="158"/>
        <v>14</v>
      </c>
      <c r="DE1735" s="708" t="str">
        <f t="shared" si="159"/>
        <v/>
      </c>
      <c r="DF1735" s="708" t="str">
        <f t="shared" si="160"/>
        <v/>
      </c>
      <c r="DG1735" s="708" t="str">
        <f t="shared" si="161"/>
        <v/>
      </c>
      <c r="DH1735" s="708" t="str">
        <f t="shared" si="162"/>
        <v/>
      </c>
      <c r="DI1735" s="708" t="str">
        <f t="shared" si="163"/>
        <v/>
      </c>
      <c r="DJ1735" s="708" t="str">
        <f t="shared" si="164"/>
        <v/>
      </c>
      <c r="DK1735" s="708" t="str">
        <f t="shared" si="165"/>
        <v/>
      </c>
      <c r="DL1735" s="708" t="str">
        <f t="shared" si="166"/>
        <v/>
      </c>
      <c r="DM1735" s="708" t="str">
        <f t="shared" si="167"/>
        <v/>
      </c>
      <c r="DN1735" s="708" t="str">
        <f t="shared" si="168"/>
        <v/>
      </c>
      <c r="DO1735" s="708" t="str">
        <f t="shared" si="169"/>
        <v/>
      </c>
      <c r="DP1735" s="708" t="str">
        <f t="shared" si="170"/>
        <v/>
      </c>
      <c r="DQ1735" s="708" t="str">
        <f t="shared" si="171"/>
        <v/>
      </c>
      <c r="DR1735" s="708" t="str">
        <f t="shared" si="172"/>
        <v/>
      </c>
      <c r="DS1735" s="708" t="str">
        <f t="shared" si="173"/>
        <v/>
      </c>
      <c r="DT1735" s="708" t="str">
        <f t="shared" si="174"/>
        <v/>
      </c>
      <c r="DU1735" s="708" t="str">
        <f t="shared" si="175"/>
        <v/>
      </c>
      <c r="DV1735" s="708" t="str">
        <f t="shared" si="176"/>
        <v/>
      </c>
      <c r="DW1735" s="708" t="str">
        <f t="shared" si="177"/>
        <v/>
      </c>
      <c r="DX1735" s="708" t="str">
        <f t="shared" si="178"/>
        <v/>
      </c>
      <c r="DY1735" s="708" t="str">
        <f t="shared" si="179"/>
        <v/>
      </c>
      <c r="DZ1735" s="708" t="str">
        <f t="shared" si="180"/>
        <v/>
      </c>
      <c r="EA1735" s="708" t="str">
        <f t="shared" si="181"/>
        <v/>
      </c>
      <c r="EB1735" s="708" t="str">
        <f t="shared" si="182"/>
        <v/>
      </c>
      <c r="EC1735" s="708" t="str">
        <f t="shared" si="183"/>
        <v/>
      </c>
      <c r="ED1735" s="708" t="str">
        <f t="shared" si="184"/>
        <v/>
      </c>
      <c r="EE1735" s="708" t="str">
        <f t="shared" si="185"/>
        <v/>
      </c>
      <c r="EF1735" s="708" t="str">
        <f t="shared" si="186"/>
        <v/>
      </c>
      <c r="EG1735" s="708" t="str">
        <f t="shared" si="187"/>
        <v/>
      </c>
      <c r="EH1735" s="708" t="str">
        <f t="shared" si="188"/>
        <v/>
      </c>
      <c r="EI1735" s="708" t="str">
        <f t="shared" si="189"/>
        <v/>
      </c>
      <c r="EJ1735" s="708" t="str">
        <f t="shared" si="190"/>
        <v/>
      </c>
      <c r="EK1735" s="708" t="str">
        <f t="shared" si="191"/>
        <v/>
      </c>
      <c r="EL1735" s="708" t="str">
        <f t="shared" si="192"/>
        <v/>
      </c>
      <c r="EM1735" s="708" t="str">
        <f t="shared" si="193"/>
        <v/>
      </c>
      <c r="EN1735" s="708" t="str">
        <f t="shared" si="194"/>
        <v/>
      </c>
      <c r="EO1735" s="708" t="str">
        <f t="shared" si="195"/>
        <v/>
      </c>
      <c r="EP1735" s="708" t="str">
        <f t="shared" si="196"/>
        <v/>
      </c>
      <c r="EQ1735" s="708" t="str">
        <f t="shared" si="197"/>
        <v/>
      </c>
      <c r="ER1735" s="708" t="str">
        <f t="shared" si="198"/>
        <v/>
      </c>
      <c r="ES1735" s="708" t="str">
        <f t="shared" si="199"/>
        <v/>
      </c>
      <c r="ET1735" s="708" t="str">
        <f t="shared" si="200"/>
        <v/>
      </c>
      <c r="EU1735" s="708" t="str">
        <f t="shared" si="201"/>
        <v/>
      </c>
      <c r="EV1735" s="708" t="str">
        <f t="shared" si="202"/>
        <v/>
      </c>
      <c r="EW1735" s="708">
        <f t="shared" si="203"/>
        <v>14</v>
      </c>
      <c r="EX1735" s="708" t="str">
        <f t="shared" si="204"/>
        <v/>
      </c>
      <c r="EY1735" s="708" t="str">
        <f t="shared" si="205"/>
        <v/>
      </c>
      <c r="EZ1735" s="708" t="str">
        <f t="shared" si="206"/>
        <v/>
      </c>
      <c r="FA1735" s="708" t="str">
        <f t="shared" si="207"/>
        <v/>
      </c>
      <c r="FB1735" s="708" t="str">
        <f t="shared" si="208"/>
        <v/>
      </c>
      <c r="FC1735" s="708" t="str">
        <f t="shared" si="209"/>
        <v/>
      </c>
      <c r="FD1735" s="708" t="str">
        <f t="shared" si="210"/>
        <v/>
      </c>
      <c r="FE1735" s="708" t="str">
        <f t="shared" si="211"/>
        <v/>
      </c>
      <c r="FF1735" s="708" t="str">
        <f t="shared" si="212"/>
        <v/>
      </c>
      <c r="FG1735" s="708" t="str">
        <f t="shared" si="213"/>
        <v/>
      </c>
      <c r="FH1735" s="708" t="str">
        <f t="shared" si="214"/>
        <v/>
      </c>
      <c r="FI1735" s="708" t="str">
        <f t="shared" si="215"/>
        <v/>
      </c>
      <c r="FJ1735" s="708" t="str">
        <f t="shared" si="216"/>
        <v/>
      </c>
      <c r="FK1735" s="708" t="str">
        <f t="shared" si="217"/>
        <v/>
      </c>
      <c r="FL1735" s="708" t="str">
        <f t="shared" si="218"/>
        <v/>
      </c>
      <c r="FM1735" s="708" t="str">
        <f t="shared" si="219"/>
        <v/>
      </c>
      <c r="FN1735" s="708" t="str">
        <f t="shared" si="220"/>
        <v/>
      </c>
      <c r="FO1735" s="708" t="str">
        <f t="shared" si="221"/>
        <v/>
      </c>
      <c r="FP1735" s="708" t="str">
        <f t="shared" si="222"/>
        <v/>
      </c>
      <c r="FQ1735" s="708" t="str">
        <f t="shared" si="223"/>
        <v/>
      </c>
      <c r="FR1735" s="708" t="str">
        <f t="shared" si="224"/>
        <v/>
      </c>
      <c r="FS1735" s="708" t="str">
        <f t="shared" si="225"/>
        <v/>
      </c>
      <c r="FT1735" s="708" t="str">
        <f t="shared" si="226"/>
        <v/>
      </c>
      <c r="FU1735" s="708" t="str">
        <f t="shared" si="227"/>
        <v/>
      </c>
      <c r="FV1735" s="708" t="str">
        <f t="shared" si="228"/>
        <v/>
      </c>
      <c r="FW1735" s="708" t="str">
        <f t="shared" si="229"/>
        <v/>
      </c>
      <c r="FX1735" s="708" t="str">
        <f t="shared" si="230"/>
        <v/>
      </c>
      <c r="FY1735" s="708" t="str">
        <f t="shared" si="231"/>
        <v/>
      </c>
      <c r="FZ1735" s="708" t="str">
        <f t="shared" si="232"/>
        <v/>
      </c>
      <c r="GA1735" s="708" t="str">
        <f t="shared" si="233"/>
        <v/>
      </c>
      <c r="GB1735" s="708" t="str">
        <f t="shared" si="234"/>
        <v/>
      </c>
      <c r="GC1735" s="708" t="str">
        <f t="shared" si="235"/>
        <v/>
      </c>
      <c r="GD1735" s="708" t="str">
        <f t="shared" si="236"/>
        <v/>
      </c>
      <c r="GE1735" s="708" t="str">
        <f t="shared" si="237"/>
        <v/>
      </c>
      <c r="GF1735" s="708" t="str">
        <f t="shared" si="238"/>
        <v/>
      </c>
      <c r="GG1735" s="708" t="str">
        <f t="shared" si="239"/>
        <v/>
      </c>
      <c r="GH1735" s="708" t="str">
        <f t="shared" si="240"/>
        <v/>
      </c>
      <c r="GI1735" s="708" t="str">
        <f t="shared" si="241"/>
        <v/>
      </c>
      <c r="GJ1735" s="708" t="str">
        <f t="shared" si="242"/>
        <v/>
      </c>
      <c r="GK1735" s="708">
        <f t="shared" si="243"/>
        <v>14</v>
      </c>
      <c r="GL1735" s="708" t="str">
        <f t="shared" si="244"/>
        <v/>
      </c>
      <c r="GM1735" s="708" t="str">
        <f t="shared" si="245"/>
        <v/>
      </c>
      <c r="GN1735" s="708" t="str">
        <f t="shared" si="246"/>
        <v/>
      </c>
      <c r="GO1735" s="708" t="str">
        <f t="shared" si="247"/>
        <v/>
      </c>
      <c r="GP1735" s="708" t="str">
        <f t="shared" si="248"/>
        <v/>
      </c>
      <c r="GQ1735" s="708" t="str">
        <f t="shared" si="249"/>
        <v/>
      </c>
      <c r="GR1735" s="708" t="str">
        <f t="shared" si="250"/>
        <v/>
      </c>
      <c r="GS1735" s="708" t="str">
        <f t="shared" si="251"/>
        <v/>
      </c>
      <c r="GT1735" s="708" t="str">
        <f t="shared" si="252"/>
        <v/>
      </c>
      <c r="GU1735" s="708" t="str">
        <f t="shared" si="253"/>
        <v/>
      </c>
      <c r="GV1735" s="708" t="str">
        <f t="shared" si="254"/>
        <v/>
      </c>
      <c r="GW1735" s="708" t="str">
        <f t="shared" si="255"/>
        <v/>
      </c>
      <c r="GX1735" s="708" t="str">
        <f t="shared" si="256"/>
        <v/>
      </c>
      <c r="GY1735" s="708" t="str">
        <f t="shared" si="257"/>
        <v/>
      </c>
      <c r="GZ1735" s="708" t="str">
        <f t="shared" si="258"/>
        <v/>
      </c>
      <c r="HA1735" s="708" t="str">
        <f t="shared" si="259"/>
        <v/>
      </c>
      <c r="HB1735" s="708" t="str">
        <f t="shared" si="260"/>
        <v/>
      </c>
      <c r="HC1735" s="708" t="str">
        <f t="shared" si="261"/>
        <v/>
      </c>
      <c r="HD1735" s="708" t="str">
        <f t="shared" si="262"/>
        <v/>
      </c>
      <c r="HE1735" s="708" t="str">
        <f t="shared" si="263"/>
        <v/>
      </c>
      <c r="HF1735" s="708" t="str">
        <f t="shared" si="264"/>
        <v/>
      </c>
      <c r="HG1735" s="708" t="str">
        <f t="shared" si="265"/>
        <v/>
      </c>
      <c r="HH1735" s="708" t="str">
        <f t="shared" si="266"/>
        <v/>
      </c>
      <c r="HI1735" s="708" t="str">
        <f t="shared" si="267"/>
        <v/>
      </c>
      <c r="HJ1735" s="708" t="str">
        <f t="shared" si="268"/>
        <v/>
      </c>
      <c r="HK1735" s="708" t="str">
        <f t="shared" si="269"/>
        <v/>
      </c>
    </row>
    <row r="1736" spans="1:219" ht="13.15" customHeight="1">
      <c r="A1736" s="708" t="str">
        <f t="shared" si="270"/>
        <v/>
      </c>
      <c r="B1736" s="708">
        <f>'Part VI-Revenues &amp; Expenses'!B21</f>
        <v>0</v>
      </c>
      <c r="C1736" s="708">
        <f>'Part VI-Revenues &amp; Expenses'!C21</f>
        <v>0</v>
      </c>
      <c r="D1736" s="708">
        <f>'Part VI-Revenues &amp; Expenses'!D21</f>
        <v>0</v>
      </c>
      <c r="E1736" s="708">
        <f>'Part VI-Revenues &amp; Expenses'!E21</f>
        <v>0</v>
      </c>
      <c r="F1736" s="708">
        <f>'Part VI-Revenues &amp; Expenses'!F21</f>
        <v>0</v>
      </c>
      <c r="G1736" s="708">
        <f>'Part VI-Revenues &amp; Expenses'!G21</f>
        <v>0</v>
      </c>
      <c r="H1736" s="708">
        <f>'Part VI-Revenues &amp; Expenses'!H21</f>
        <v>0</v>
      </c>
      <c r="I1736" s="708">
        <f>'Part VI-Revenues &amp; Expenses'!I21</f>
        <v>0</v>
      </c>
      <c r="J1736" s="708">
        <f>'Part VI-Revenues &amp; Expenses'!J21</f>
        <v>0</v>
      </c>
      <c r="K1736" s="708">
        <f t="shared" si="271"/>
        <v>0</v>
      </c>
      <c r="L1736" s="708">
        <f t="shared" si="99"/>
        <v>0</v>
      </c>
      <c r="M1736" s="708">
        <f>'Part VI-Revenues &amp; Expenses'!M21</f>
        <v>0</v>
      </c>
      <c r="N1736" s="708">
        <f>'Part VI-Revenues &amp; Expenses'!N21</f>
        <v>0</v>
      </c>
      <c r="O1736" s="708">
        <f>'Part VI-Revenues &amp; Expenses'!O21</f>
        <v>0</v>
      </c>
      <c r="P1736" s="708" t="str">
        <f>'Part VI-Revenues &amp; Expenses'!P21</f>
        <v/>
      </c>
      <c r="Q1736" s="708" t="str">
        <f>'Part VI-Revenues &amp; Expenses'!Q21</f>
        <v/>
      </c>
      <c r="R1736" s="708">
        <f>'Part VI-Revenues &amp; Expenses'!R21</f>
        <v>0</v>
      </c>
      <c r="T1736" s="708" t="str">
        <f t="shared" si="100"/>
        <v/>
      </c>
      <c r="U1736" s="708" t="str">
        <f t="shared" si="101"/>
        <v/>
      </c>
      <c r="V1736" s="708" t="str">
        <f t="shared" si="102"/>
        <v/>
      </c>
      <c r="W1736" s="708" t="str">
        <f t="shared" si="103"/>
        <v/>
      </c>
      <c r="X1736" s="708" t="str">
        <f t="shared" si="104"/>
        <v/>
      </c>
      <c r="Y1736" s="708" t="str">
        <f t="shared" si="105"/>
        <v/>
      </c>
      <c r="Z1736" s="708" t="str">
        <f t="shared" si="106"/>
        <v/>
      </c>
      <c r="AA1736" s="708" t="str">
        <f t="shared" si="107"/>
        <v/>
      </c>
      <c r="AB1736" s="708" t="str">
        <f t="shared" si="108"/>
        <v/>
      </c>
      <c r="AC1736" s="708" t="str">
        <f t="shared" si="109"/>
        <v/>
      </c>
      <c r="AD1736" s="708" t="str">
        <f t="shared" si="110"/>
        <v/>
      </c>
      <c r="AE1736" s="708" t="str">
        <f t="shared" si="111"/>
        <v/>
      </c>
      <c r="AF1736" s="708" t="str">
        <f t="shared" si="112"/>
        <v/>
      </c>
      <c r="AG1736" s="708" t="str">
        <f t="shared" si="113"/>
        <v/>
      </c>
      <c r="AH1736" s="708" t="str">
        <f t="shared" si="114"/>
        <v/>
      </c>
      <c r="AI1736" s="708" t="str">
        <f t="shared" si="115"/>
        <v/>
      </c>
      <c r="AJ1736" s="708" t="str">
        <f t="shared" si="116"/>
        <v/>
      </c>
      <c r="AK1736" s="708" t="str">
        <f t="shared" si="117"/>
        <v/>
      </c>
      <c r="AL1736" s="708" t="str">
        <f t="shared" si="118"/>
        <v/>
      </c>
      <c r="AM1736" s="708" t="str">
        <f t="shared" si="119"/>
        <v/>
      </c>
      <c r="AN1736" s="708" t="str">
        <f t="shared" si="272"/>
        <v/>
      </c>
      <c r="AO1736" s="708" t="str">
        <f t="shared" si="273"/>
        <v/>
      </c>
      <c r="AP1736" s="708" t="str">
        <f t="shared" si="274"/>
        <v/>
      </c>
      <c r="AQ1736" s="708" t="str">
        <f t="shared" si="275"/>
        <v/>
      </c>
      <c r="AR1736" s="708" t="str">
        <f t="shared" si="276"/>
        <v/>
      </c>
      <c r="AS1736" s="708" t="str">
        <f t="shared" si="277"/>
        <v/>
      </c>
      <c r="AT1736" s="708" t="str">
        <f t="shared" si="278"/>
        <v/>
      </c>
      <c r="AU1736" s="708" t="str">
        <f t="shared" si="279"/>
        <v/>
      </c>
      <c r="AV1736" s="708" t="str">
        <f t="shared" si="280"/>
        <v/>
      </c>
      <c r="AW1736" s="708" t="str">
        <f t="shared" si="281"/>
        <v/>
      </c>
      <c r="AX1736" s="708" t="str">
        <f t="shared" si="282"/>
        <v/>
      </c>
      <c r="AY1736" s="708" t="str">
        <f t="shared" si="283"/>
        <v/>
      </c>
      <c r="AZ1736" s="708" t="str">
        <f t="shared" si="284"/>
        <v/>
      </c>
      <c r="BA1736" s="708" t="str">
        <f t="shared" si="285"/>
        <v/>
      </c>
      <c r="BB1736" s="708" t="str">
        <f t="shared" si="286"/>
        <v/>
      </c>
      <c r="BC1736" s="708" t="str">
        <f t="shared" si="287"/>
        <v/>
      </c>
      <c r="BD1736" s="708" t="str">
        <f t="shared" si="288"/>
        <v/>
      </c>
      <c r="BE1736" s="708" t="str">
        <f t="shared" si="289"/>
        <v/>
      </c>
      <c r="BF1736" s="708" t="str">
        <f t="shared" si="290"/>
        <v/>
      </c>
      <c r="BG1736" s="708" t="str">
        <f t="shared" si="291"/>
        <v/>
      </c>
      <c r="BH1736" s="708" t="str">
        <f t="shared" si="292"/>
        <v/>
      </c>
      <c r="BI1736" s="708" t="str">
        <f t="shared" si="293"/>
        <v/>
      </c>
      <c r="BJ1736" s="708" t="str">
        <f t="shared" si="294"/>
        <v/>
      </c>
      <c r="BK1736" s="708" t="str">
        <f t="shared" si="295"/>
        <v/>
      </c>
      <c r="BL1736" s="708" t="str">
        <f t="shared" si="296"/>
        <v/>
      </c>
      <c r="BM1736" s="708" t="str">
        <f t="shared" si="297"/>
        <v/>
      </c>
      <c r="BN1736" s="708" t="str">
        <f t="shared" si="298"/>
        <v/>
      </c>
      <c r="BO1736" s="708" t="str">
        <f t="shared" si="299"/>
        <v/>
      </c>
      <c r="BP1736" s="708" t="str">
        <f t="shared" si="300"/>
        <v/>
      </c>
      <c r="BQ1736" s="708" t="str">
        <f t="shared" si="301"/>
        <v/>
      </c>
      <c r="BR1736" s="708" t="str">
        <f t="shared" si="120"/>
        <v/>
      </c>
      <c r="BS1736" s="708" t="str">
        <f t="shared" si="121"/>
        <v/>
      </c>
      <c r="BT1736" s="708" t="str">
        <f t="shared" si="122"/>
        <v/>
      </c>
      <c r="BU1736" s="708" t="str">
        <f t="shared" si="123"/>
        <v/>
      </c>
      <c r="BV1736" s="708" t="str">
        <f t="shared" si="124"/>
        <v/>
      </c>
      <c r="BW1736" s="708" t="str">
        <f t="shared" si="125"/>
        <v/>
      </c>
      <c r="BX1736" s="708" t="str">
        <f t="shared" si="126"/>
        <v/>
      </c>
      <c r="BY1736" s="708" t="str">
        <f t="shared" si="127"/>
        <v/>
      </c>
      <c r="BZ1736" s="708" t="str">
        <f t="shared" si="128"/>
        <v/>
      </c>
      <c r="CA1736" s="708" t="str">
        <f t="shared" si="129"/>
        <v/>
      </c>
      <c r="CB1736" s="708" t="str">
        <f t="shared" si="130"/>
        <v/>
      </c>
      <c r="CC1736" s="708" t="str">
        <f t="shared" si="131"/>
        <v/>
      </c>
      <c r="CD1736" s="708" t="str">
        <f t="shared" si="132"/>
        <v/>
      </c>
      <c r="CE1736" s="708" t="str">
        <f t="shared" si="133"/>
        <v/>
      </c>
      <c r="CF1736" s="708" t="str">
        <f t="shared" si="134"/>
        <v/>
      </c>
      <c r="CG1736" s="708" t="str">
        <f t="shared" si="135"/>
        <v/>
      </c>
      <c r="CH1736" s="708" t="str">
        <f t="shared" si="136"/>
        <v/>
      </c>
      <c r="CI1736" s="708" t="str">
        <f t="shared" si="137"/>
        <v/>
      </c>
      <c r="CJ1736" s="708" t="str">
        <f t="shared" si="138"/>
        <v/>
      </c>
      <c r="CK1736" s="708" t="str">
        <f t="shared" si="139"/>
        <v/>
      </c>
      <c r="CL1736" s="708" t="str">
        <f t="shared" si="140"/>
        <v/>
      </c>
      <c r="CM1736" s="708" t="str">
        <f t="shared" si="141"/>
        <v/>
      </c>
      <c r="CN1736" s="708" t="str">
        <f t="shared" si="142"/>
        <v/>
      </c>
      <c r="CO1736" s="708" t="str">
        <f t="shared" si="143"/>
        <v/>
      </c>
      <c r="CP1736" s="708" t="str">
        <f t="shared" si="144"/>
        <v/>
      </c>
      <c r="CQ1736" s="708" t="str">
        <f t="shared" si="145"/>
        <v/>
      </c>
      <c r="CR1736" s="708" t="str">
        <f t="shared" si="146"/>
        <v/>
      </c>
      <c r="CS1736" s="708" t="str">
        <f t="shared" si="147"/>
        <v/>
      </c>
      <c r="CT1736" s="708" t="str">
        <f t="shared" si="148"/>
        <v/>
      </c>
      <c r="CU1736" s="708" t="str">
        <f t="shared" si="149"/>
        <v/>
      </c>
      <c r="CV1736" s="708" t="str">
        <f t="shared" si="150"/>
        <v/>
      </c>
      <c r="CW1736" s="708" t="str">
        <f t="shared" si="151"/>
        <v/>
      </c>
      <c r="CX1736" s="708" t="str">
        <f t="shared" si="152"/>
        <v/>
      </c>
      <c r="CY1736" s="708" t="str">
        <f t="shared" si="153"/>
        <v/>
      </c>
      <c r="CZ1736" s="708" t="str">
        <f t="shared" si="154"/>
        <v/>
      </c>
      <c r="DA1736" s="708" t="str">
        <f t="shared" si="155"/>
        <v/>
      </c>
      <c r="DB1736" s="708" t="str">
        <f t="shared" si="156"/>
        <v/>
      </c>
      <c r="DC1736" s="708" t="str">
        <f t="shared" si="157"/>
        <v/>
      </c>
      <c r="DD1736" s="708" t="str">
        <f t="shared" si="158"/>
        <v/>
      </c>
      <c r="DE1736" s="708" t="str">
        <f t="shared" si="159"/>
        <v/>
      </c>
      <c r="DF1736" s="708" t="str">
        <f t="shared" si="160"/>
        <v/>
      </c>
      <c r="DG1736" s="708" t="str">
        <f t="shared" si="161"/>
        <v/>
      </c>
      <c r="DH1736" s="708" t="str">
        <f t="shared" si="162"/>
        <v/>
      </c>
      <c r="DI1736" s="708" t="str">
        <f t="shared" si="163"/>
        <v/>
      </c>
      <c r="DJ1736" s="708" t="str">
        <f t="shared" si="164"/>
        <v/>
      </c>
      <c r="DK1736" s="708" t="str">
        <f t="shared" si="165"/>
        <v/>
      </c>
      <c r="DL1736" s="708" t="str">
        <f t="shared" si="166"/>
        <v/>
      </c>
      <c r="DM1736" s="708" t="str">
        <f t="shared" si="167"/>
        <v/>
      </c>
      <c r="DN1736" s="708" t="str">
        <f t="shared" si="168"/>
        <v/>
      </c>
      <c r="DO1736" s="708" t="str">
        <f t="shared" si="169"/>
        <v/>
      </c>
      <c r="DP1736" s="708" t="str">
        <f t="shared" si="170"/>
        <v/>
      </c>
      <c r="DQ1736" s="708" t="str">
        <f t="shared" si="171"/>
        <v/>
      </c>
      <c r="DR1736" s="708" t="str">
        <f t="shared" si="172"/>
        <v/>
      </c>
      <c r="DS1736" s="708" t="str">
        <f t="shared" si="173"/>
        <v/>
      </c>
      <c r="DT1736" s="708" t="str">
        <f t="shared" si="174"/>
        <v/>
      </c>
      <c r="DU1736" s="708" t="str">
        <f t="shared" si="175"/>
        <v/>
      </c>
      <c r="DV1736" s="708" t="str">
        <f t="shared" si="176"/>
        <v/>
      </c>
      <c r="DW1736" s="708" t="str">
        <f t="shared" si="177"/>
        <v/>
      </c>
      <c r="DX1736" s="708" t="str">
        <f t="shared" si="178"/>
        <v/>
      </c>
      <c r="DY1736" s="708" t="str">
        <f t="shared" si="179"/>
        <v/>
      </c>
      <c r="DZ1736" s="708" t="str">
        <f t="shared" si="180"/>
        <v/>
      </c>
      <c r="EA1736" s="708" t="str">
        <f t="shared" si="181"/>
        <v/>
      </c>
      <c r="EB1736" s="708" t="str">
        <f t="shared" si="182"/>
        <v/>
      </c>
      <c r="EC1736" s="708" t="str">
        <f t="shared" si="183"/>
        <v/>
      </c>
      <c r="ED1736" s="708" t="str">
        <f t="shared" si="184"/>
        <v/>
      </c>
      <c r="EE1736" s="708" t="str">
        <f t="shared" si="185"/>
        <v/>
      </c>
      <c r="EF1736" s="708" t="str">
        <f t="shared" si="186"/>
        <v/>
      </c>
      <c r="EG1736" s="708" t="str">
        <f t="shared" si="187"/>
        <v/>
      </c>
      <c r="EH1736" s="708" t="str">
        <f t="shared" si="188"/>
        <v/>
      </c>
      <c r="EI1736" s="708" t="str">
        <f t="shared" si="189"/>
        <v/>
      </c>
      <c r="EJ1736" s="708" t="str">
        <f t="shared" si="190"/>
        <v/>
      </c>
      <c r="EK1736" s="708" t="str">
        <f t="shared" si="191"/>
        <v/>
      </c>
      <c r="EL1736" s="708" t="str">
        <f t="shared" si="192"/>
        <v/>
      </c>
      <c r="EM1736" s="708" t="str">
        <f t="shared" si="193"/>
        <v/>
      </c>
      <c r="EN1736" s="708" t="str">
        <f t="shared" si="194"/>
        <v/>
      </c>
      <c r="EO1736" s="708" t="str">
        <f t="shared" si="195"/>
        <v/>
      </c>
      <c r="EP1736" s="708" t="str">
        <f t="shared" si="196"/>
        <v/>
      </c>
      <c r="EQ1736" s="708" t="str">
        <f t="shared" si="197"/>
        <v/>
      </c>
      <c r="ER1736" s="708" t="str">
        <f t="shared" si="198"/>
        <v/>
      </c>
      <c r="ES1736" s="708" t="str">
        <f t="shared" si="199"/>
        <v/>
      </c>
      <c r="ET1736" s="708" t="str">
        <f t="shared" si="200"/>
        <v/>
      </c>
      <c r="EU1736" s="708" t="str">
        <f t="shared" si="201"/>
        <v/>
      </c>
      <c r="EV1736" s="708" t="str">
        <f t="shared" si="202"/>
        <v/>
      </c>
      <c r="EW1736" s="708" t="str">
        <f t="shared" si="203"/>
        <v/>
      </c>
      <c r="EX1736" s="708" t="str">
        <f t="shared" si="204"/>
        <v/>
      </c>
      <c r="EY1736" s="708" t="str">
        <f t="shared" si="205"/>
        <v/>
      </c>
      <c r="EZ1736" s="708" t="str">
        <f t="shared" si="206"/>
        <v/>
      </c>
      <c r="FA1736" s="708" t="str">
        <f t="shared" si="207"/>
        <v/>
      </c>
      <c r="FB1736" s="708" t="str">
        <f t="shared" si="208"/>
        <v/>
      </c>
      <c r="FC1736" s="708" t="str">
        <f t="shared" si="209"/>
        <v/>
      </c>
      <c r="FD1736" s="708" t="str">
        <f t="shared" si="210"/>
        <v/>
      </c>
      <c r="FE1736" s="708" t="str">
        <f t="shared" si="211"/>
        <v/>
      </c>
      <c r="FF1736" s="708" t="str">
        <f t="shared" si="212"/>
        <v/>
      </c>
      <c r="FG1736" s="708" t="str">
        <f t="shared" si="213"/>
        <v/>
      </c>
      <c r="FH1736" s="708" t="str">
        <f t="shared" si="214"/>
        <v/>
      </c>
      <c r="FI1736" s="708" t="str">
        <f t="shared" si="215"/>
        <v/>
      </c>
      <c r="FJ1736" s="708" t="str">
        <f t="shared" si="216"/>
        <v/>
      </c>
      <c r="FK1736" s="708" t="str">
        <f t="shared" si="217"/>
        <v/>
      </c>
      <c r="FL1736" s="708" t="str">
        <f t="shared" si="218"/>
        <v/>
      </c>
      <c r="FM1736" s="708" t="str">
        <f t="shared" si="219"/>
        <v/>
      </c>
      <c r="FN1736" s="708" t="str">
        <f t="shared" si="220"/>
        <v/>
      </c>
      <c r="FO1736" s="708" t="str">
        <f t="shared" si="221"/>
        <v/>
      </c>
      <c r="FP1736" s="708" t="str">
        <f t="shared" si="222"/>
        <v/>
      </c>
      <c r="FQ1736" s="708" t="str">
        <f t="shared" si="223"/>
        <v/>
      </c>
      <c r="FR1736" s="708" t="str">
        <f t="shared" si="224"/>
        <v/>
      </c>
      <c r="FS1736" s="708" t="str">
        <f t="shared" si="225"/>
        <v/>
      </c>
      <c r="FT1736" s="708" t="str">
        <f t="shared" si="226"/>
        <v/>
      </c>
      <c r="FU1736" s="708" t="str">
        <f t="shared" si="227"/>
        <v/>
      </c>
      <c r="FV1736" s="708" t="str">
        <f t="shared" si="228"/>
        <v/>
      </c>
      <c r="FW1736" s="708" t="str">
        <f t="shared" si="229"/>
        <v/>
      </c>
      <c r="FX1736" s="708" t="str">
        <f t="shared" si="230"/>
        <v/>
      </c>
      <c r="FY1736" s="708" t="str">
        <f t="shared" si="231"/>
        <v/>
      </c>
      <c r="FZ1736" s="708" t="str">
        <f t="shared" si="232"/>
        <v/>
      </c>
      <c r="GA1736" s="708" t="str">
        <f t="shared" si="233"/>
        <v/>
      </c>
      <c r="GB1736" s="708" t="str">
        <f t="shared" si="234"/>
        <v/>
      </c>
      <c r="GC1736" s="708" t="str">
        <f t="shared" si="235"/>
        <v/>
      </c>
      <c r="GD1736" s="708" t="str">
        <f t="shared" si="236"/>
        <v/>
      </c>
      <c r="GE1736" s="708" t="str">
        <f t="shared" si="237"/>
        <v/>
      </c>
      <c r="GF1736" s="708" t="str">
        <f t="shared" si="238"/>
        <v/>
      </c>
      <c r="GG1736" s="708" t="str">
        <f t="shared" si="239"/>
        <v/>
      </c>
      <c r="GH1736" s="708" t="str">
        <f t="shared" si="240"/>
        <v/>
      </c>
      <c r="GI1736" s="708" t="str">
        <f t="shared" si="241"/>
        <v/>
      </c>
      <c r="GJ1736" s="708" t="str">
        <f t="shared" si="242"/>
        <v/>
      </c>
      <c r="GK1736" s="708" t="str">
        <f t="shared" si="243"/>
        <v/>
      </c>
      <c r="GL1736" s="708" t="str">
        <f t="shared" si="244"/>
        <v/>
      </c>
      <c r="GM1736" s="708" t="str">
        <f t="shared" si="245"/>
        <v/>
      </c>
      <c r="GN1736" s="708" t="str">
        <f t="shared" si="246"/>
        <v/>
      </c>
      <c r="GO1736" s="708" t="str">
        <f t="shared" si="247"/>
        <v/>
      </c>
      <c r="GP1736" s="708" t="str">
        <f t="shared" si="248"/>
        <v/>
      </c>
      <c r="GQ1736" s="708" t="str">
        <f t="shared" si="249"/>
        <v/>
      </c>
      <c r="GR1736" s="708" t="str">
        <f t="shared" si="250"/>
        <v/>
      </c>
      <c r="GS1736" s="708" t="str">
        <f t="shared" si="251"/>
        <v/>
      </c>
      <c r="GT1736" s="708" t="str">
        <f t="shared" si="252"/>
        <v/>
      </c>
      <c r="GU1736" s="708" t="str">
        <f t="shared" si="253"/>
        <v/>
      </c>
      <c r="GV1736" s="708" t="str">
        <f t="shared" si="254"/>
        <v/>
      </c>
      <c r="GW1736" s="708" t="str">
        <f t="shared" si="255"/>
        <v/>
      </c>
      <c r="GX1736" s="708" t="str">
        <f t="shared" si="256"/>
        <v/>
      </c>
      <c r="GY1736" s="708" t="str">
        <f t="shared" si="257"/>
        <v/>
      </c>
      <c r="GZ1736" s="708" t="str">
        <f t="shared" si="258"/>
        <v/>
      </c>
      <c r="HA1736" s="708" t="str">
        <f t="shared" si="259"/>
        <v/>
      </c>
      <c r="HB1736" s="708" t="str">
        <f t="shared" si="260"/>
        <v/>
      </c>
      <c r="HC1736" s="708" t="str">
        <f t="shared" si="261"/>
        <v/>
      </c>
      <c r="HD1736" s="708" t="str">
        <f t="shared" si="262"/>
        <v/>
      </c>
      <c r="HE1736" s="708" t="str">
        <f t="shared" si="263"/>
        <v/>
      </c>
      <c r="HF1736" s="708" t="str">
        <f t="shared" si="264"/>
        <v/>
      </c>
      <c r="HG1736" s="708" t="str">
        <f t="shared" si="265"/>
        <v/>
      </c>
      <c r="HH1736" s="708" t="str">
        <f t="shared" si="266"/>
        <v/>
      </c>
      <c r="HI1736" s="708" t="str">
        <f t="shared" si="267"/>
        <v/>
      </c>
      <c r="HJ1736" s="708" t="str">
        <f t="shared" si="268"/>
        <v/>
      </c>
      <c r="HK1736" s="708" t="str">
        <f t="shared" si="269"/>
        <v/>
      </c>
    </row>
    <row r="1737" spans="1:219" ht="13.15" customHeight="1">
      <c r="A1737" s="708" t="str">
        <f t="shared" si="270"/>
        <v/>
      </c>
      <c r="B1737" s="708">
        <f>'Part VI-Revenues &amp; Expenses'!B22</f>
        <v>0</v>
      </c>
      <c r="C1737" s="708">
        <f>'Part VI-Revenues &amp; Expenses'!C22</f>
        <v>0</v>
      </c>
      <c r="D1737" s="708">
        <f>'Part VI-Revenues &amp; Expenses'!D22</f>
        <v>0</v>
      </c>
      <c r="E1737" s="708">
        <f>'Part VI-Revenues &amp; Expenses'!E22</f>
        <v>0</v>
      </c>
      <c r="F1737" s="708">
        <f>'Part VI-Revenues &amp; Expenses'!F22</f>
        <v>0</v>
      </c>
      <c r="G1737" s="708">
        <f>'Part VI-Revenues &amp; Expenses'!G22</f>
        <v>0</v>
      </c>
      <c r="H1737" s="708">
        <f>'Part VI-Revenues &amp; Expenses'!H22</f>
        <v>0</v>
      </c>
      <c r="I1737" s="708">
        <f>'Part VI-Revenues &amp; Expenses'!I22</f>
        <v>0</v>
      </c>
      <c r="J1737" s="708">
        <f>'Part VI-Revenues &amp; Expenses'!J22</f>
        <v>0</v>
      </c>
      <c r="K1737" s="708">
        <f t="shared" si="271"/>
        <v>0</v>
      </c>
      <c r="L1737" s="708">
        <f t="shared" si="99"/>
        <v>0</v>
      </c>
      <c r="M1737" s="708">
        <f>'Part VI-Revenues &amp; Expenses'!M22</f>
        <v>0</v>
      </c>
      <c r="N1737" s="708">
        <f>'Part VI-Revenues &amp; Expenses'!N22</f>
        <v>0</v>
      </c>
      <c r="O1737" s="708">
        <f>'Part VI-Revenues &amp; Expenses'!O22</f>
        <v>0</v>
      </c>
      <c r="P1737" s="708" t="str">
        <f>'Part VI-Revenues &amp; Expenses'!P22</f>
        <v/>
      </c>
      <c r="Q1737" s="708" t="str">
        <f>'Part VI-Revenues &amp; Expenses'!Q22</f>
        <v/>
      </c>
      <c r="R1737" s="708">
        <f>'Part VI-Revenues &amp; Expenses'!R22</f>
        <v>0</v>
      </c>
      <c r="T1737" s="708" t="str">
        <f t="shared" si="100"/>
        <v/>
      </c>
      <c r="U1737" s="708" t="str">
        <f t="shared" si="101"/>
        <v/>
      </c>
      <c r="V1737" s="708" t="str">
        <f t="shared" si="102"/>
        <v/>
      </c>
      <c r="W1737" s="708" t="str">
        <f t="shared" si="103"/>
        <v/>
      </c>
      <c r="X1737" s="708" t="str">
        <f t="shared" si="104"/>
        <v/>
      </c>
      <c r="Y1737" s="708" t="str">
        <f t="shared" si="105"/>
        <v/>
      </c>
      <c r="Z1737" s="708" t="str">
        <f t="shared" si="106"/>
        <v/>
      </c>
      <c r="AA1737" s="708" t="str">
        <f t="shared" si="107"/>
        <v/>
      </c>
      <c r="AB1737" s="708" t="str">
        <f t="shared" si="108"/>
        <v/>
      </c>
      <c r="AC1737" s="708" t="str">
        <f t="shared" si="109"/>
        <v/>
      </c>
      <c r="AD1737" s="708" t="str">
        <f t="shared" si="110"/>
        <v/>
      </c>
      <c r="AE1737" s="708" t="str">
        <f t="shared" si="111"/>
        <v/>
      </c>
      <c r="AF1737" s="708" t="str">
        <f t="shared" si="112"/>
        <v/>
      </c>
      <c r="AG1737" s="708" t="str">
        <f t="shared" si="113"/>
        <v/>
      </c>
      <c r="AH1737" s="708" t="str">
        <f t="shared" si="114"/>
        <v/>
      </c>
      <c r="AI1737" s="708" t="str">
        <f t="shared" si="115"/>
        <v/>
      </c>
      <c r="AJ1737" s="708" t="str">
        <f t="shared" si="116"/>
        <v/>
      </c>
      <c r="AK1737" s="708" t="str">
        <f t="shared" si="117"/>
        <v/>
      </c>
      <c r="AL1737" s="708" t="str">
        <f t="shared" si="118"/>
        <v/>
      </c>
      <c r="AM1737" s="708" t="str">
        <f t="shared" si="119"/>
        <v/>
      </c>
      <c r="AN1737" s="708" t="str">
        <f t="shared" si="272"/>
        <v/>
      </c>
      <c r="AO1737" s="708" t="str">
        <f t="shared" si="273"/>
        <v/>
      </c>
      <c r="AP1737" s="708" t="str">
        <f t="shared" si="274"/>
        <v/>
      </c>
      <c r="AQ1737" s="708" t="str">
        <f t="shared" si="275"/>
        <v/>
      </c>
      <c r="AR1737" s="708" t="str">
        <f t="shared" si="276"/>
        <v/>
      </c>
      <c r="AS1737" s="708" t="str">
        <f t="shared" si="277"/>
        <v/>
      </c>
      <c r="AT1737" s="708" t="str">
        <f t="shared" si="278"/>
        <v/>
      </c>
      <c r="AU1737" s="708" t="str">
        <f t="shared" si="279"/>
        <v/>
      </c>
      <c r="AV1737" s="708" t="str">
        <f t="shared" si="280"/>
        <v/>
      </c>
      <c r="AW1737" s="708" t="str">
        <f t="shared" si="281"/>
        <v/>
      </c>
      <c r="AX1737" s="708" t="str">
        <f t="shared" si="282"/>
        <v/>
      </c>
      <c r="AY1737" s="708" t="str">
        <f t="shared" si="283"/>
        <v/>
      </c>
      <c r="AZ1737" s="708" t="str">
        <f t="shared" si="284"/>
        <v/>
      </c>
      <c r="BA1737" s="708" t="str">
        <f t="shared" si="285"/>
        <v/>
      </c>
      <c r="BB1737" s="708" t="str">
        <f t="shared" si="286"/>
        <v/>
      </c>
      <c r="BC1737" s="708" t="str">
        <f t="shared" si="287"/>
        <v/>
      </c>
      <c r="BD1737" s="708" t="str">
        <f t="shared" si="288"/>
        <v/>
      </c>
      <c r="BE1737" s="708" t="str">
        <f t="shared" si="289"/>
        <v/>
      </c>
      <c r="BF1737" s="708" t="str">
        <f t="shared" si="290"/>
        <v/>
      </c>
      <c r="BG1737" s="708" t="str">
        <f t="shared" si="291"/>
        <v/>
      </c>
      <c r="BH1737" s="708" t="str">
        <f t="shared" si="292"/>
        <v/>
      </c>
      <c r="BI1737" s="708" t="str">
        <f t="shared" si="293"/>
        <v/>
      </c>
      <c r="BJ1737" s="708" t="str">
        <f t="shared" si="294"/>
        <v/>
      </c>
      <c r="BK1737" s="708" t="str">
        <f t="shared" si="295"/>
        <v/>
      </c>
      <c r="BL1737" s="708" t="str">
        <f t="shared" si="296"/>
        <v/>
      </c>
      <c r="BM1737" s="708" t="str">
        <f t="shared" si="297"/>
        <v/>
      </c>
      <c r="BN1737" s="708" t="str">
        <f t="shared" si="298"/>
        <v/>
      </c>
      <c r="BO1737" s="708" t="str">
        <f t="shared" si="299"/>
        <v/>
      </c>
      <c r="BP1737" s="708" t="str">
        <f t="shared" si="300"/>
        <v/>
      </c>
      <c r="BQ1737" s="708" t="str">
        <f t="shared" si="301"/>
        <v/>
      </c>
      <c r="BR1737" s="708" t="str">
        <f t="shared" si="120"/>
        <v/>
      </c>
      <c r="BS1737" s="708" t="str">
        <f t="shared" si="121"/>
        <v/>
      </c>
      <c r="BT1737" s="708" t="str">
        <f t="shared" si="122"/>
        <v/>
      </c>
      <c r="BU1737" s="708" t="str">
        <f t="shared" si="123"/>
        <v/>
      </c>
      <c r="BV1737" s="708" t="str">
        <f t="shared" si="124"/>
        <v/>
      </c>
      <c r="BW1737" s="708" t="str">
        <f t="shared" si="125"/>
        <v/>
      </c>
      <c r="BX1737" s="708" t="str">
        <f t="shared" si="126"/>
        <v/>
      </c>
      <c r="BY1737" s="708" t="str">
        <f t="shared" si="127"/>
        <v/>
      </c>
      <c r="BZ1737" s="708" t="str">
        <f t="shared" si="128"/>
        <v/>
      </c>
      <c r="CA1737" s="708" t="str">
        <f t="shared" si="129"/>
        <v/>
      </c>
      <c r="CB1737" s="708" t="str">
        <f t="shared" si="130"/>
        <v/>
      </c>
      <c r="CC1737" s="708" t="str">
        <f t="shared" si="131"/>
        <v/>
      </c>
      <c r="CD1737" s="708" t="str">
        <f t="shared" si="132"/>
        <v/>
      </c>
      <c r="CE1737" s="708" t="str">
        <f t="shared" si="133"/>
        <v/>
      </c>
      <c r="CF1737" s="708" t="str">
        <f t="shared" si="134"/>
        <v/>
      </c>
      <c r="CG1737" s="708" t="str">
        <f t="shared" si="135"/>
        <v/>
      </c>
      <c r="CH1737" s="708" t="str">
        <f t="shared" si="136"/>
        <v/>
      </c>
      <c r="CI1737" s="708" t="str">
        <f t="shared" si="137"/>
        <v/>
      </c>
      <c r="CJ1737" s="708" t="str">
        <f t="shared" si="138"/>
        <v/>
      </c>
      <c r="CK1737" s="708" t="str">
        <f t="shared" si="139"/>
        <v/>
      </c>
      <c r="CL1737" s="708" t="str">
        <f t="shared" si="140"/>
        <v/>
      </c>
      <c r="CM1737" s="708" t="str">
        <f t="shared" si="141"/>
        <v/>
      </c>
      <c r="CN1737" s="708" t="str">
        <f t="shared" si="142"/>
        <v/>
      </c>
      <c r="CO1737" s="708" t="str">
        <f t="shared" si="143"/>
        <v/>
      </c>
      <c r="CP1737" s="708" t="str">
        <f t="shared" si="144"/>
        <v/>
      </c>
      <c r="CQ1737" s="708" t="str">
        <f t="shared" si="145"/>
        <v/>
      </c>
      <c r="CR1737" s="708" t="str">
        <f t="shared" si="146"/>
        <v/>
      </c>
      <c r="CS1737" s="708" t="str">
        <f t="shared" si="147"/>
        <v/>
      </c>
      <c r="CT1737" s="708" t="str">
        <f t="shared" si="148"/>
        <v/>
      </c>
      <c r="CU1737" s="708" t="str">
        <f t="shared" si="149"/>
        <v/>
      </c>
      <c r="CV1737" s="708" t="str">
        <f t="shared" si="150"/>
        <v/>
      </c>
      <c r="CW1737" s="708" t="str">
        <f t="shared" si="151"/>
        <v/>
      </c>
      <c r="CX1737" s="708" t="str">
        <f t="shared" si="152"/>
        <v/>
      </c>
      <c r="CY1737" s="708" t="str">
        <f t="shared" si="153"/>
        <v/>
      </c>
      <c r="CZ1737" s="708" t="str">
        <f t="shared" si="154"/>
        <v/>
      </c>
      <c r="DA1737" s="708" t="str">
        <f t="shared" si="155"/>
        <v/>
      </c>
      <c r="DB1737" s="708" t="str">
        <f t="shared" si="156"/>
        <v/>
      </c>
      <c r="DC1737" s="708" t="str">
        <f t="shared" si="157"/>
        <v/>
      </c>
      <c r="DD1737" s="708" t="str">
        <f t="shared" si="158"/>
        <v/>
      </c>
      <c r="DE1737" s="708" t="str">
        <f t="shared" si="159"/>
        <v/>
      </c>
      <c r="DF1737" s="708" t="str">
        <f t="shared" si="160"/>
        <v/>
      </c>
      <c r="DG1737" s="708" t="str">
        <f t="shared" si="161"/>
        <v/>
      </c>
      <c r="DH1737" s="708" t="str">
        <f t="shared" si="162"/>
        <v/>
      </c>
      <c r="DI1737" s="708" t="str">
        <f t="shared" si="163"/>
        <v/>
      </c>
      <c r="DJ1737" s="708" t="str">
        <f t="shared" si="164"/>
        <v/>
      </c>
      <c r="DK1737" s="708" t="str">
        <f t="shared" si="165"/>
        <v/>
      </c>
      <c r="DL1737" s="708" t="str">
        <f t="shared" si="166"/>
        <v/>
      </c>
      <c r="DM1737" s="708" t="str">
        <f t="shared" si="167"/>
        <v/>
      </c>
      <c r="DN1737" s="708" t="str">
        <f t="shared" si="168"/>
        <v/>
      </c>
      <c r="DO1737" s="708" t="str">
        <f t="shared" si="169"/>
        <v/>
      </c>
      <c r="DP1737" s="708" t="str">
        <f t="shared" si="170"/>
        <v/>
      </c>
      <c r="DQ1737" s="708" t="str">
        <f t="shared" si="171"/>
        <v/>
      </c>
      <c r="DR1737" s="708" t="str">
        <f t="shared" si="172"/>
        <v/>
      </c>
      <c r="DS1737" s="708" t="str">
        <f t="shared" si="173"/>
        <v/>
      </c>
      <c r="DT1737" s="708" t="str">
        <f t="shared" si="174"/>
        <v/>
      </c>
      <c r="DU1737" s="708" t="str">
        <f t="shared" si="175"/>
        <v/>
      </c>
      <c r="DV1737" s="708" t="str">
        <f t="shared" si="176"/>
        <v/>
      </c>
      <c r="DW1737" s="708" t="str">
        <f t="shared" si="177"/>
        <v/>
      </c>
      <c r="DX1737" s="708" t="str">
        <f t="shared" si="178"/>
        <v/>
      </c>
      <c r="DY1737" s="708" t="str">
        <f t="shared" si="179"/>
        <v/>
      </c>
      <c r="DZ1737" s="708" t="str">
        <f t="shared" si="180"/>
        <v/>
      </c>
      <c r="EA1737" s="708" t="str">
        <f t="shared" si="181"/>
        <v/>
      </c>
      <c r="EB1737" s="708" t="str">
        <f t="shared" si="182"/>
        <v/>
      </c>
      <c r="EC1737" s="708" t="str">
        <f t="shared" si="183"/>
        <v/>
      </c>
      <c r="ED1737" s="708" t="str">
        <f t="shared" si="184"/>
        <v/>
      </c>
      <c r="EE1737" s="708" t="str">
        <f t="shared" si="185"/>
        <v/>
      </c>
      <c r="EF1737" s="708" t="str">
        <f t="shared" si="186"/>
        <v/>
      </c>
      <c r="EG1737" s="708" t="str">
        <f t="shared" si="187"/>
        <v/>
      </c>
      <c r="EH1737" s="708" t="str">
        <f t="shared" si="188"/>
        <v/>
      </c>
      <c r="EI1737" s="708" t="str">
        <f t="shared" si="189"/>
        <v/>
      </c>
      <c r="EJ1737" s="708" t="str">
        <f t="shared" si="190"/>
        <v/>
      </c>
      <c r="EK1737" s="708" t="str">
        <f t="shared" si="191"/>
        <v/>
      </c>
      <c r="EL1737" s="708" t="str">
        <f t="shared" si="192"/>
        <v/>
      </c>
      <c r="EM1737" s="708" t="str">
        <f t="shared" si="193"/>
        <v/>
      </c>
      <c r="EN1737" s="708" t="str">
        <f t="shared" si="194"/>
        <v/>
      </c>
      <c r="EO1737" s="708" t="str">
        <f t="shared" si="195"/>
        <v/>
      </c>
      <c r="EP1737" s="708" t="str">
        <f t="shared" si="196"/>
        <v/>
      </c>
      <c r="EQ1737" s="708" t="str">
        <f t="shared" si="197"/>
        <v/>
      </c>
      <c r="ER1737" s="708" t="str">
        <f t="shared" si="198"/>
        <v/>
      </c>
      <c r="ES1737" s="708" t="str">
        <f t="shared" si="199"/>
        <v/>
      </c>
      <c r="ET1737" s="708" t="str">
        <f t="shared" si="200"/>
        <v/>
      </c>
      <c r="EU1737" s="708" t="str">
        <f t="shared" si="201"/>
        <v/>
      </c>
      <c r="EV1737" s="708" t="str">
        <f t="shared" si="202"/>
        <v/>
      </c>
      <c r="EW1737" s="708" t="str">
        <f t="shared" si="203"/>
        <v/>
      </c>
      <c r="EX1737" s="708" t="str">
        <f t="shared" si="204"/>
        <v/>
      </c>
      <c r="EY1737" s="708" t="str">
        <f t="shared" si="205"/>
        <v/>
      </c>
      <c r="EZ1737" s="708" t="str">
        <f t="shared" si="206"/>
        <v/>
      </c>
      <c r="FA1737" s="708" t="str">
        <f t="shared" si="207"/>
        <v/>
      </c>
      <c r="FB1737" s="708" t="str">
        <f t="shared" si="208"/>
        <v/>
      </c>
      <c r="FC1737" s="708" t="str">
        <f t="shared" si="209"/>
        <v/>
      </c>
      <c r="FD1737" s="708" t="str">
        <f t="shared" si="210"/>
        <v/>
      </c>
      <c r="FE1737" s="708" t="str">
        <f t="shared" si="211"/>
        <v/>
      </c>
      <c r="FF1737" s="708" t="str">
        <f t="shared" si="212"/>
        <v/>
      </c>
      <c r="FG1737" s="708" t="str">
        <f t="shared" si="213"/>
        <v/>
      </c>
      <c r="FH1737" s="708" t="str">
        <f t="shared" si="214"/>
        <v/>
      </c>
      <c r="FI1737" s="708" t="str">
        <f t="shared" si="215"/>
        <v/>
      </c>
      <c r="FJ1737" s="708" t="str">
        <f t="shared" si="216"/>
        <v/>
      </c>
      <c r="FK1737" s="708" t="str">
        <f t="shared" si="217"/>
        <v/>
      </c>
      <c r="FL1737" s="708" t="str">
        <f t="shared" si="218"/>
        <v/>
      </c>
      <c r="FM1737" s="708" t="str">
        <f t="shared" si="219"/>
        <v/>
      </c>
      <c r="FN1737" s="708" t="str">
        <f t="shared" si="220"/>
        <v/>
      </c>
      <c r="FO1737" s="708" t="str">
        <f t="shared" si="221"/>
        <v/>
      </c>
      <c r="FP1737" s="708" t="str">
        <f t="shared" si="222"/>
        <v/>
      </c>
      <c r="FQ1737" s="708" t="str">
        <f t="shared" si="223"/>
        <v/>
      </c>
      <c r="FR1737" s="708" t="str">
        <f t="shared" si="224"/>
        <v/>
      </c>
      <c r="FS1737" s="708" t="str">
        <f t="shared" si="225"/>
        <v/>
      </c>
      <c r="FT1737" s="708" t="str">
        <f t="shared" si="226"/>
        <v/>
      </c>
      <c r="FU1737" s="708" t="str">
        <f t="shared" si="227"/>
        <v/>
      </c>
      <c r="FV1737" s="708" t="str">
        <f t="shared" si="228"/>
        <v/>
      </c>
      <c r="FW1737" s="708" t="str">
        <f t="shared" si="229"/>
        <v/>
      </c>
      <c r="FX1737" s="708" t="str">
        <f t="shared" si="230"/>
        <v/>
      </c>
      <c r="FY1737" s="708" t="str">
        <f t="shared" si="231"/>
        <v/>
      </c>
      <c r="FZ1737" s="708" t="str">
        <f t="shared" si="232"/>
        <v/>
      </c>
      <c r="GA1737" s="708" t="str">
        <f t="shared" si="233"/>
        <v/>
      </c>
      <c r="GB1737" s="708" t="str">
        <f t="shared" si="234"/>
        <v/>
      </c>
      <c r="GC1737" s="708" t="str">
        <f t="shared" si="235"/>
        <v/>
      </c>
      <c r="GD1737" s="708" t="str">
        <f t="shared" si="236"/>
        <v/>
      </c>
      <c r="GE1737" s="708" t="str">
        <f t="shared" si="237"/>
        <v/>
      </c>
      <c r="GF1737" s="708" t="str">
        <f t="shared" si="238"/>
        <v/>
      </c>
      <c r="GG1737" s="708" t="str">
        <f t="shared" si="239"/>
        <v/>
      </c>
      <c r="GH1737" s="708" t="str">
        <f t="shared" si="240"/>
        <v/>
      </c>
      <c r="GI1737" s="708" t="str">
        <f t="shared" si="241"/>
        <v/>
      </c>
      <c r="GJ1737" s="708" t="str">
        <f t="shared" si="242"/>
        <v/>
      </c>
      <c r="GK1737" s="708" t="str">
        <f t="shared" si="243"/>
        <v/>
      </c>
      <c r="GL1737" s="708" t="str">
        <f t="shared" si="244"/>
        <v/>
      </c>
      <c r="GM1737" s="708" t="str">
        <f t="shared" si="245"/>
        <v/>
      </c>
      <c r="GN1737" s="708" t="str">
        <f t="shared" si="246"/>
        <v/>
      </c>
      <c r="GO1737" s="708" t="str">
        <f t="shared" si="247"/>
        <v/>
      </c>
      <c r="GP1737" s="708" t="str">
        <f t="shared" si="248"/>
        <v/>
      </c>
      <c r="GQ1737" s="708" t="str">
        <f t="shared" si="249"/>
        <v/>
      </c>
      <c r="GR1737" s="708" t="str">
        <f t="shared" si="250"/>
        <v/>
      </c>
      <c r="GS1737" s="708" t="str">
        <f t="shared" si="251"/>
        <v/>
      </c>
      <c r="GT1737" s="708" t="str">
        <f t="shared" si="252"/>
        <v/>
      </c>
      <c r="GU1737" s="708" t="str">
        <f t="shared" si="253"/>
        <v/>
      </c>
      <c r="GV1737" s="708" t="str">
        <f t="shared" si="254"/>
        <v/>
      </c>
      <c r="GW1737" s="708" t="str">
        <f t="shared" si="255"/>
        <v/>
      </c>
      <c r="GX1737" s="708" t="str">
        <f t="shared" si="256"/>
        <v/>
      </c>
      <c r="GY1737" s="708" t="str">
        <f t="shared" si="257"/>
        <v/>
      </c>
      <c r="GZ1737" s="708" t="str">
        <f t="shared" si="258"/>
        <v/>
      </c>
      <c r="HA1737" s="708" t="str">
        <f t="shared" si="259"/>
        <v/>
      </c>
      <c r="HB1737" s="708" t="str">
        <f t="shared" si="260"/>
        <v/>
      </c>
      <c r="HC1737" s="708" t="str">
        <f t="shared" si="261"/>
        <v/>
      </c>
      <c r="HD1737" s="708" t="str">
        <f t="shared" si="262"/>
        <v/>
      </c>
      <c r="HE1737" s="708" t="str">
        <f t="shared" si="263"/>
        <v/>
      </c>
      <c r="HF1737" s="708" t="str">
        <f t="shared" si="264"/>
        <v/>
      </c>
      <c r="HG1737" s="708" t="str">
        <f t="shared" si="265"/>
        <v/>
      </c>
      <c r="HH1737" s="708" t="str">
        <f t="shared" si="266"/>
        <v/>
      </c>
      <c r="HI1737" s="708" t="str">
        <f t="shared" si="267"/>
        <v/>
      </c>
      <c r="HJ1737" s="708" t="str">
        <f t="shared" si="268"/>
        <v/>
      </c>
      <c r="HK1737" s="708" t="str">
        <f t="shared" si="269"/>
        <v/>
      </c>
    </row>
    <row r="1738" spans="1:219" ht="13.15" customHeight="1">
      <c r="A1738" s="708" t="str">
        <f t="shared" si="270"/>
        <v/>
      </c>
      <c r="B1738" s="708">
        <f>'Part VI-Revenues &amp; Expenses'!B23</f>
        <v>0</v>
      </c>
      <c r="C1738" s="708">
        <f>'Part VI-Revenues &amp; Expenses'!C23</f>
        <v>0</v>
      </c>
      <c r="D1738" s="708">
        <f>'Part VI-Revenues &amp; Expenses'!D23</f>
        <v>0</v>
      </c>
      <c r="E1738" s="708">
        <f>'Part VI-Revenues &amp; Expenses'!E23</f>
        <v>0</v>
      </c>
      <c r="F1738" s="708">
        <f>'Part VI-Revenues &amp; Expenses'!F23</f>
        <v>0</v>
      </c>
      <c r="G1738" s="708">
        <f>'Part VI-Revenues &amp; Expenses'!G23</f>
        <v>0</v>
      </c>
      <c r="H1738" s="708">
        <f>'Part VI-Revenues &amp; Expenses'!H23</f>
        <v>0</v>
      </c>
      <c r="I1738" s="708">
        <f>'Part VI-Revenues &amp; Expenses'!I23</f>
        <v>0</v>
      </c>
      <c r="J1738" s="708">
        <f>'Part VI-Revenues &amp; Expenses'!J23</f>
        <v>0</v>
      </c>
      <c r="K1738" s="708">
        <f t="shared" si="271"/>
        <v>0</v>
      </c>
      <c r="L1738" s="708">
        <f t="shared" si="99"/>
        <v>0</v>
      </c>
      <c r="M1738" s="708">
        <f>'Part VI-Revenues &amp; Expenses'!M23</f>
        <v>0</v>
      </c>
      <c r="N1738" s="708">
        <f>'Part VI-Revenues &amp; Expenses'!N23</f>
        <v>0</v>
      </c>
      <c r="O1738" s="708">
        <f>'Part VI-Revenues &amp; Expenses'!O23</f>
        <v>0</v>
      </c>
      <c r="P1738" s="708" t="str">
        <f>'Part VI-Revenues &amp; Expenses'!P23</f>
        <v/>
      </c>
      <c r="Q1738" s="708" t="str">
        <f>'Part VI-Revenues &amp; Expenses'!Q23</f>
        <v/>
      </c>
      <c r="R1738" s="708">
        <f>'Part VI-Revenues &amp; Expenses'!R23</f>
        <v>0</v>
      </c>
      <c r="T1738" s="708" t="str">
        <f t="shared" si="100"/>
        <v/>
      </c>
      <c r="U1738" s="708" t="str">
        <f t="shared" si="101"/>
        <v/>
      </c>
      <c r="V1738" s="708" t="str">
        <f t="shared" si="102"/>
        <v/>
      </c>
      <c r="W1738" s="708" t="str">
        <f t="shared" si="103"/>
        <v/>
      </c>
      <c r="X1738" s="708" t="str">
        <f t="shared" si="104"/>
        <v/>
      </c>
      <c r="Y1738" s="708" t="str">
        <f t="shared" si="105"/>
        <v/>
      </c>
      <c r="Z1738" s="708" t="str">
        <f t="shared" si="106"/>
        <v/>
      </c>
      <c r="AA1738" s="708" t="str">
        <f t="shared" si="107"/>
        <v/>
      </c>
      <c r="AB1738" s="708" t="str">
        <f t="shared" si="108"/>
        <v/>
      </c>
      <c r="AC1738" s="708" t="str">
        <f t="shared" si="109"/>
        <v/>
      </c>
      <c r="AD1738" s="708" t="str">
        <f t="shared" si="110"/>
        <v/>
      </c>
      <c r="AE1738" s="708" t="str">
        <f t="shared" si="111"/>
        <v/>
      </c>
      <c r="AF1738" s="708" t="str">
        <f t="shared" si="112"/>
        <v/>
      </c>
      <c r="AG1738" s="708" t="str">
        <f t="shared" si="113"/>
        <v/>
      </c>
      <c r="AH1738" s="708" t="str">
        <f t="shared" si="114"/>
        <v/>
      </c>
      <c r="AI1738" s="708" t="str">
        <f t="shared" si="115"/>
        <v/>
      </c>
      <c r="AJ1738" s="708" t="str">
        <f t="shared" si="116"/>
        <v/>
      </c>
      <c r="AK1738" s="708" t="str">
        <f t="shared" si="117"/>
        <v/>
      </c>
      <c r="AL1738" s="708" t="str">
        <f t="shared" si="118"/>
        <v/>
      </c>
      <c r="AM1738" s="708" t="str">
        <f t="shared" si="119"/>
        <v/>
      </c>
      <c r="AN1738" s="708" t="str">
        <f t="shared" si="272"/>
        <v/>
      </c>
      <c r="AO1738" s="708" t="str">
        <f t="shared" si="273"/>
        <v/>
      </c>
      <c r="AP1738" s="708" t="str">
        <f t="shared" si="274"/>
        <v/>
      </c>
      <c r="AQ1738" s="708" t="str">
        <f t="shared" si="275"/>
        <v/>
      </c>
      <c r="AR1738" s="708" t="str">
        <f t="shared" si="276"/>
        <v/>
      </c>
      <c r="AS1738" s="708" t="str">
        <f t="shared" si="277"/>
        <v/>
      </c>
      <c r="AT1738" s="708" t="str">
        <f t="shared" si="278"/>
        <v/>
      </c>
      <c r="AU1738" s="708" t="str">
        <f t="shared" si="279"/>
        <v/>
      </c>
      <c r="AV1738" s="708" t="str">
        <f t="shared" si="280"/>
        <v/>
      </c>
      <c r="AW1738" s="708" t="str">
        <f t="shared" si="281"/>
        <v/>
      </c>
      <c r="AX1738" s="708" t="str">
        <f t="shared" si="282"/>
        <v/>
      </c>
      <c r="AY1738" s="708" t="str">
        <f t="shared" si="283"/>
        <v/>
      </c>
      <c r="AZ1738" s="708" t="str">
        <f t="shared" si="284"/>
        <v/>
      </c>
      <c r="BA1738" s="708" t="str">
        <f t="shared" si="285"/>
        <v/>
      </c>
      <c r="BB1738" s="708" t="str">
        <f t="shared" si="286"/>
        <v/>
      </c>
      <c r="BC1738" s="708" t="str">
        <f t="shared" si="287"/>
        <v/>
      </c>
      <c r="BD1738" s="708" t="str">
        <f t="shared" si="288"/>
        <v/>
      </c>
      <c r="BE1738" s="708" t="str">
        <f t="shared" si="289"/>
        <v/>
      </c>
      <c r="BF1738" s="708" t="str">
        <f t="shared" si="290"/>
        <v/>
      </c>
      <c r="BG1738" s="708" t="str">
        <f t="shared" si="291"/>
        <v/>
      </c>
      <c r="BH1738" s="708" t="str">
        <f t="shared" si="292"/>
        <v/>
      </c>
      <c r="BI1738" s="708" t="str">
        <f t="shared" si="293"/>
        <v/>
      </c>
      <c r="BJ1738" s="708" t="str">
        <f t="shared" si="294"/>
        <v/>
      </c>
      <c r="BK1738" s="708" t="str">
        <f t="shared" si="295"/>
        <v/>
      </c>
      <c r="BL1738" s="708" t="str">
        <f t="shared" si="296"/>
        <v/>
      </c>
      <c r="BM1738" s="708" t="str">
        <f t="shared" si="297"/>
        <v/>
      </c>
      <c r="BN1738" s="708" t="str">
        <f t="shared" si="298"/>
        <v/>
      </c>
      <c r="BO1738" s="708" t="str">
        <f t="shared" si="299"/>
        <v/>
      </c>
      <c r="BP1738" s="708" t="str">
        <f t="shared" si="300"/>
        <v/>
      </c>
      <c r="BQ1738" s="708" t="str">
        <f t="shared" si="301"/>
        <v/>
      </c>
      <c r="BR1738" s="708" t="str">
        <f t="shared" si="120"/>
        <v/>
      </c>
      <c r="BS1738" s="708" t="str">
        <f t="shared" si="121"/>
        <v/>
      </c>
      <c r="BT1738" s="708" t="str">
        <f t="shared" si="122"/>
        <v/>
      </c>
      <c r="BU1738" s="708" t="str">
        <f t="shared" si="123"/>
        <v/>
      </c>
      <c r="BV1738" s="708" t="str">
        <f t="shared" si="124"/>
        <v/>
      </c>
      <c r="BW1738" s="708" t="str">
        <f t="shared" si="125"/>
        <v/>
      </c>
      <c r="BX1738" s="708" t="str">
        <f t="shared" si="126"/>
        <v/>
      </c>
      <c r="BY1738" s="708" t="str">
        <f t="shared" si="127"/>
        <v/>
      </c>
      <c r="BZ1738" s="708" t="str">
        <f t="shared" si="128"/>
        <v/>
      </c>
      <c r="CA1738" s="708" t="str">
        <f t="shared" si="129"/>
        <v/>
      </c>
      <c r="CB1738" s="708" t="str">
        <f t="shared" si="130"/>
        <v/>
      </c>
      <c r="CC1738" s="708" t="str">
        <f t="shared" si="131"/>
        <v/>
      </c>
      <c r="CD1738" s="708" t="str">
        <f t="shared" si="132"/>
        <v/>
      </c>
      <c r="CE1738" s="708" t="str">
        <f t="shared" si="133"/>
        <v/>
      </c>
      <c r="CF1738" s="708" t="str">
        <f t="shared" si="134"/>
        <v/>
      </c>
      <c r="CG1738" s="708" t="str">
        <f t="shared" si="135"/>
        <v/>
      </c>
      <c r="CH1738" s="708" t="str">
        <f t="shared" si="136"/>
        <v/>
      </c>
      <c r="CI1738" s="708" t="str">
        <f t="shared" si="137"/>
        <v/>
      </c>
      <c r="CJ1738" s="708" t="str">
        <f t="shared" si="138"/>
        <v/>
      </c>
      <c r="CK1738" s="708" t="str">
        <f t="shared" si="139"/>
        <v/>
      </c>
      <c r="CL1738" s="708" t="str">
        <f t="shared" si="140"/>
        <v/>
      </c>
      <c r="CM1738" s="708" t="str">
        <f t="shared" si="141"/>
        <v/>
      </c>
      <c r="CN1738" s="708" t="str">
        <f t="shared" si="142"/>
        <v/>
      </c>
      <c r="CO1738" s="708" t="str">
        <f t="shared" si="143"/>
        <v/>
      </c>
      <c r="CP1738" s="708" t="str">
        <f t="shared" si="144"/>
        <v/>
      </c>
      <c r="CQ1738" s="708" t="str">
        <f t="shared" si="145"/>
        <v/>
      </c>
      <c r="CR1738" s="708" t="str">
        <f t="shared" si="146"/>
        <v/>
      </c>
      <c r="CS1738" s="708" t="str">
        <f t="shared" si="147"/>
        <v/>
      </c>
      <c r="CT1738" s="708" t="str">
        <f t="shared" si="148"/>
        <v/>
      </c>
      <c r="CU1738" s="708" t="str">
        <f t="shared" si="149"/>
        <v/>
      </c>
      <c r="CV1738" s="708" t="str">
        <f t="shared" si="150"/>
        <v/>
      </c>
      <c r="CW1738" s="708" t="str">
        <f t="shared" si="151"/>
        <v/>
      </c>
      <c r="CX1738" s="708" t="str">
        <f t="shared" si="152"/>
        <v/>
      </c>
      <c r="CY1738" s="708" t="str">
        <f t="shared" si="153"/>
        <v/>
      </c>
      <c r="CZ1738" s="708" t="str">
        <f t="shared" si="154"/>
        <v/>
      </c>
      <c r="DA1738" s="708" t="str">
        <f t="shared" si="155"/>
        <v/>
      </c>
      <c r="DB1738" s="708" t="str">
        <f t="shared" si="156"/>
        <v/>
      </c>
      <c r="DC1738" s="708" t="str">
        <f t="shared" si="157"/>
        <v/>
      </c>
      <c r="DD1738" s="708" t="str">
        <f t="shared" si="158"/>
        <v/>
      </c>
      <c r="DE1738" s="708" t="str">
        <f t="shared" si="159"/>
        <v/>
      </c>
      <c r="DF1738" s="708" t="str">
        <f t="shared" si="160"/>
        <v/>
      </c>
      <c r="DG1738" s="708" t="str">
        <f t="shared" si="161"/>
        <v/>
      </c>
      <c r="DH1738" s="708" t="str">
        <f t="shared" si="162"/>
        <v/>
      </c>
      <c r="DI1738" s="708" t="str">
        <f t="shared" si="163"/>
        <v/>
      </c>
      <c r="DJ1738" s="708" t="str">
        <f t="shared" si="164"/>
        <v/>
      </c>
      <c r="DK1738" s="708" t="str">
        <f t="shared" si="165"/>
        <v/>
      </c>
      <c r="DL1738" s="708" t="str">
        <f t="shared" si="166"/>
        <v/>
      </c>
      <c r="DM1738" s="708" t="str">
        <f t="shared" si="167"/>
        <v/>
      </c>
      <c r="DN1738" s="708" t="str">
        <f t="shared" si="168"/>
        <v/>
      </c>
      <c r="DO1738" s="708" t="str">
        <f t="shared" si="169"/>
        <v/>
      </c>
      <c r="DP1738" s="708" t="str">
        <f t="shared" si="170"/>
        <v/>
      </c>
      <c r="DQ1738" s="708" t="str">
        <f t="shared" si="171"/>
        <v/>
      </c>
      <c r="DR1738" s="708" t="str">
        <f t="shared" si="172"/>
        <v/>
      </c>
      <c r="DS1738" s="708" t="str">
        <f t="shared" si="173"/>
        <v/>
      </c>
      <c r="DT1738" s="708" t="str">
        <f t="shared" si="174"/>
        <v/>
      </c>
      <c r="DU1738" s="708" t="str">
        <f t="shared" si="175"/>
        <v/>
      </c>
      <c r="DV1738" s="708" t="str">
        <f t="shared" si="176"/>
        <v/>
      </c>
      <c r="DW1738" s="708" t="str">
        <f t="shared" si="177"/>
        <v/>
      </c>
      <c r="DX1738" s="708" t="str">
        <f t="shared" si="178"/>
        <v/>
      </c>
      <c r="DY1738" s="708" t="str">
        <f t="shared" si="179"/>
        <v/>
      </c>
      <c r="DZ1738" s="708" t="str">
        <f t="shared" si="180"/>
        <v/>
      </c>
      <c r="EA1738" s="708" t="str">
        <f t="shared" si="181"/>
        <v/>
      </c>
      <c r="EB1738" s="708" t="str">
        <f t="shared" si="182"/>
        <v/>
      </c>
      <c r="EC1738" s="708" t="str">
        <f t="shared" si="183"/>
        <v/>
      </c>
      <c r="ED1738" s="708" t="str">
        <f t="shared" si="184"/>
        <v/>
      </c>
      <c r="EE1738" s="708" t="str">
        <f t="shared" si="185"/>
        <v/>
      </c>
      <c r="EF1738" s="708" t="str">
        <f t="shared" si="186"/>
        <v/>
      </c>
      <c r="EG1738" s="708" t="str">
        <f t="shared" si="187"/>
        <v/>
      </c>
      <c r="EH1738" s="708" t="str">
        <f t="shared" si="188"/>
        <v/>
      </c>
      <c r="EI1738" s="708" t="str">
        <f t="shared" si="189"/>
        <v/>
      </c>
      <c r="EJ1738" s="708" t="str">
        <f t="shared" si="190"/>
        <v/>
      </c>
      <c r="EK1738" s="708" t="str">
        <f t="shared" si="191"/>
        <v/>
      </c>
      <c r="EL1738" s="708" t="str">
        <f t="shared" si="192"/>
        <v/>
      </c>
      <c r="EM1738" s="708" t="str">
        <f t="shared" si="193"/>
        <v/>
      </c>
      <c r="EN1738" s="708" t="str">
        <f t="shared" si="194"/>
        <v/>
      </c>
      <c r="EO1738" s="708" t="str">
        <f t="shared" si="195"/>
        <v/>
      </c>
      <c r="EP1738" s="708" t="str">
        <f t="shared" si="196"/>
        <v/>
      </c>
      <c r="EQ1738" s="708" t="str">
        <f t="shared" si="197"/>
        <v/>
      </c>
      <c r="ER1738" s="708" t="str">
        <f t="shared" si="198"/>
        <v/>
      </c>
      <c r="ES1738" s="708" t="str">
        <f t="shared" si="199"/>
        <v/>
      </c>
      <c r="ET1738" s="708" t="str">
        <f t="shared" si="200"/>
        <v/>
      </c>
      <c r="EU1738" s="708" t="str">
        <f t="shared" si="201"/>
        <v/>
      </c>
      <c r="EV1738" s="708" t="str">
        <f t="shared" si="202"/>
        <v/>
      </c>
      <c r="EW1738" s="708" t="str">
        <f t="shared" si="203"/>
        <v/>
      </c>
      <c r="EX1738" s="708" t="str">
        <f t="shared" si="204"/>
        <v/>
      </c>
      <c r="EY1738" s="708" t="str">
        <f t="shared" si="205"/>
        <v/>
      </c>
      <c r="EZ1738" s="708" t="str">
        <f t="shared" si="206"/>
        <v/>
      </c>
      <c r="FA1738" s="708" t="str">
        <f t="shared" si="207"/>
        <v/>
      </c>
      <c r="FB1738" s="708" t="str">
        <f t="shared" si="208"/>
        <v/>
      </c>
      <c r="FC1738" s="708" t="str">
        <f t="shared" si="209"/>
        <v/>
      </c>
      <c r="FD1738" s="708" t="str">
        <f t="shared" si="210"/>
        <v/>
      </c>
      <c r="FE1738" s="708" t="str">
        <f t="shared" si="211"/>
        <v/>
      </c>
      <c r="FF1738" s="708" t="str">
        <f t="shared" si="212"/>
        <v/>
      </c>
      <c r="FG1738" s="708" t="str">
        <f t="shared" si="213"/>
        <v/>
      </c>
      <c r="FH1738" s="708" t="str">
        <f t="shared" si="214"/>
        <v/>
      </c>
      <c r="FI1738" s="708" t="str">
        <f t="shared" si="215"/>
        <v/>
      </c>
      <c r="FJ1738" s="708" t="str">
        <f t="shared" si="216"/>
        <v/>
      </c>
      <c r="FK1738" s="708" t="str">
        <f t="shared" si="217"/>
        <v/>
      </c>
      <c r="FL1738" s="708" t="str">
        <f t="shared" si="218"/>
        <v/>
      </c>
      <c r="FM1738" s="708" t="str">
        <f t="shared" si="219"/>
        <v/>
      </c>
      <c r="FN1738" s="708" t="str">
        <f t="shared" si="220"/>
        <v/>
      </c>
      <c r="FO1738" s="708" t="str">
        <f t="shared" si="221"/>
        <v/>
      </c>
      <c r="FP1738" s="708" t="str">
        <f t="shared" si="222"/>
        <v/>
      </c>
      <c r="FQ1738" s="708" t="str">
        <f t="shared" si="223"/>
        <v/>
      </c>
      <c r="FR1738" s="708" t="str">
        <f t="shared" si="224"/>
        <v/>
      </c>
      <c r="FS1738" s="708" t="str">
        <f t="shared" si="225"/>
        <v/>
      </c>
      <c r="FT1738" s="708" t="str">
        <f t="shared" si="226"/>
        <v/>
      </c>
      <c r="FU1738" s="708" t="str">
        <f t="shared" si="227"/>
        <v/>
      </c>
      <c r="FV1738" s="708" t="str">
        <f t="shared" si="228"/>
        <v/>
      </c>
      <c r="FW1738" s="708" t="str">
        <f t="shared" si="229"/>
        <v/>
      </c>
      <c r="FX1738" s="708" t="str">
        <f t="shared" si="230"/>
        <v/>
      </c>
      <c r="FY1738" s="708" t="str">
        <f t="shared" si="231"/>
        <v/>
      </c>
      <c r="FZ1738" s="708" t="str">
        <f t="shared" si="232"/>
        <v/>
      </c>
      <c r="GA1738" s="708" t="str">
        <f t="shared" si="233"/>
        <v/>
      </c>
      <c r="GB1738" s="708" t="str">
        <f t="shared" si="234"/>
        <v/>
      </c>
      <c r="GC1738" s="708" t="str">
        <f t="shared" si="235"/>
        <v/>
      </c>
      <c r="GD1738" s="708" t="str">
        <f t="shared" si="236"/>
        <v/>
      </c>
      <c r="GE1738" s="708" t="str">
        <f t="shared" si="237"/>
        <v/>
      </c>
      <c r="GF1738" s="708" t="str">
        <f t="shared" si="238"/>
        <v/>
      </c>
      <c r="GG1738" s="708" t="str">
        <f t="shared" si="239"/>
        <v/>
      </c>
      <c r="GH1738" s="708" t="str">
        <f t="shared" si="240"/>
        <v/>
      </c>
      <c r="GI1738" s="708" t="str">
        <f t="shared" si="241"/>
        <v/>
      </c>
      <c r="GJ1738" s="708" t="str">
        <f t="shared" si="242"/>
        <v/>
      </c>
      <c r="GK1738" s="708" t="str">
        <f t="shared" si="243"/>
        <v/>
      </c>
      <c r="GL1738" s="708" t="str">
        <f t="shared" si="244"/>
        <v/>
      </c>
      <c r="GM1738" s="708" t="str">
        <f t="shared" si="245"/>
        <v/>
      </c>
      <c r="GN1738" s="708" t="str">
        <f t="shared" si="246"/>
        <v/>
      </c>
      <c r="GO1738" s="708" t="str">
        <f t="shared" si="247"/>
        <v/>
      </c>
      <c r="GP1738" s="708" t="str">
        <f t="shared" si="248"/>
        <v/>
      </c>
      <c r="GQ1738" s="708" t="str">
        <f t="shared" si="249"/>
        <v/>
      </c>
      <c r="GR1738" s="708" t="str">
        <f t="shared" si="250"/>
        <v/>
      </c>
      <c r="GS1738" s="708" t="str">
        <f t="shared" si="251"/>
        <v/>
      </c>
      <c r="GT1738" s="708" t="str">
        <f t="shared" si="252"/>
        <v/>
      </c>
      <c r="GU1738" s="708" t="str">
        <f t="shared" si="253"/>
        <v/>
      </c>
      <c r="GV1738" s="708" t="str">
        <f t="shared" si="254"/>
        <v/>
      </c>
      <c r="GW1738" s="708" t="str">
        <f t="shared" si="255"/>
        <v/>
      </c>
      <c r="GX1738" s="708" t="str">
        <f t="shared" si="256"/>
        <v/>
      </c>
      <c r="GY1738" s="708" t="str">
        <f t="shared" si="257"/>
        <v/>
      </c>
      <c r="GZ1738" s="708" t="str">
        <f t="shared" si="258"/>
        <v/>
      </c>
      <c r="HA1738" s="708" t="str">
        <f t="shared" si="259"/>
        <v/>
      </c>
      <c r="HB1738" s="708" t="str">
        <f t="shared" si="260"/>
        <v/>
      </c>
      <c r="HC1738" s="708" t="str">
        <f t="shared" si="261"/>
        <v/>
      </c>
      <c r="HD1738" s="708" t="str">
        <f t="shared" si="262"/>
        <v/>
      </c>
      <c r="HE1738" s="708" t="str">
        <f t="shared" si="263"/>
        <v/>
      </c>
      <c r="HF1738" s="708" t="str">
        <f t="shared" si="264"/>
        <v/>
      </c>
      <c r="HG1738" s="708" t="str">
        <f t="shared" si="265"/>
        <v/>
      </c>
      <c r="HH1738" s="708" t="str">
        <f t="shared" si="266"/>
        <v/>
      </c>
      <c r="HI1738" s="708" t="str">
        <f t="shared" si="267"/>
        <v/>
      </c>
      <c r="HJ1738" s="708" t="str">
        <f t="shared" si="268"/>
        <v/>
      </c>
      <c r="HK1738" s="708" t="str">
        <f t="shared" si="269"/>
        <v/>
      </c>
    </row>
    <row r="1739" spans="1:219" ht="13.15" customHeight="1">
      <c r="A1739" s="708" t="str">
        <f t="shared" si="270"/>
        <v/>
      </c>
      <c r="B1739" s="708">
        <f>'Part VI-Revenues &amp; Expenses'!B24</f>
        <v>0</v>
      </c>
      <c r="C1739" s="708">
        <f>'Part VI-Revenues &amp; Expenses'!C24</f>
        <v>0</v>
      </c>
      <c r="D1739" s="708">
        <f>'Part VI-Revenues &amp; Expenses'!D24</f>
        <v>0</v>
      </c>
      <c r="E1739" s="708">
        <f>'Part VI-Revenues &amp; Expenses'!E24</f>
        <v>0</v>
      </c>
      <c r="F1739" s="708">
        <f>'Part VI-Revenues &amp; Expenses'!F24</f>
        <v>0</v>
      </c>
      <c r="G1739" s="708">
        <f>'Part VI-Revenues &amp; Expenses'!G24</f>
        <v>0</v>
      </c>
      <c r="H1739" s="708">
        <f>'Part VI-Revenues &amp; Expenses'!H24</f>
        <v>0</v>
      </c>
      <c r="I1739" s="708">
        <f>'Part VI-Revenues &amp; Expenses'!I24</f>
        <v>0</v>
      </c>
      <c r="J1739" s="708">
        <f>'Part VI-Revenues &amp; Expenses'!J24</f>
        <v>0</v>
      </c>
      <c r="K1739" s="708">
        <f t="shared" si="271"/>
        <v>0</v>
      </c>
      <c r="L1739" s="708">
        <f t="shared" si="99"/>
        <v>0</v>
      </c>
      <c r="M1739" s="708">
        <f>'Part VI-Revenues &amp; Expenses'!M24</f>
        <v>0</v>
      </c>
      <c r="N1739" s="708">
        <f>'Part VI-Revenues &amp; Expenses'!N24</f>
        <v>0</v>
      </c>
      <c r="O1739" s="708">
        <f>'Part VI-Revenues &amp; Expenses'!O24</f>
        <v>0</v>
      </c>
      <c r="P1739" s="708" t="str">
        <f>'Part VI-Revenues &amp; Expenses'!P24</f>
        <v/>
      </c>
      <c r="Q1739" s="708" t="str">
        <f>'Part VI-Revenues &amp; Expenses'!Q24</f>
        <v/>
      </c>
      <c r="R1739" s="708">
        <f>'Part VI-Revenues &amp; Expenses'!R24</f>
        <v>0</v>
      </c>
      <c r="T1739" s="708" t="str">
        <f t="shared" si="100"/>
        <v/>
      </c>
      <c r="U1739" s="708" t="str">
        <f t="shared" si="101"/>
        <v/>
      </c>
      <c r="V1739" s="708" t="str">
        <f t="shared" si="102"/>
        <v/>
      </c>
      <c r="W1739" s="708" t="str">
        <f t="shared" si="103"/>
        <v/>
      </c>
      <c r="X1739" s="708" t="str">
        <f t="shared" si="104"/>
        <v/>
      </c>
      <c r="Y1739" s="708" t="str">
        <f t="shared" si="105"/>
        <v/>
      </c>
      <c r="Z1739" s="708" t="str">
        <f t="shared" si="106"/>
        <v/>
      </c>
      <c r="AA1739" s="708" t="str">
        <f t="shared" si="107"/>
        <v/>
      </c>
      <c r="AB1739" s="708" t="str">
        <f t="shared" si="108"/>
        <v/>
      </c>
      <c r="AC1739" s="708" t="str">
        <f t="shared" si="109"/>
        <v/>
      </c>
      <c r="AD1739" s="708" t="str">
        <f t="shared" si="110"/>
        <v/>
      </c>
      <c r="AE1739" s="708" t="str">
        <f t="shared" si="111"/>
        <v/>
      </c>
      <c r="AF1739" s="708" t="str">
        <f t="shared" si="112"/>
        <v/>
      </c>
      <c r="AG1739" s="708" t="str">
        <f t="shared" si="113"/>
        <v/>
      </c>
      <c r="AH1739" s="708" t="str">
        <f t="shared" si="114"/>
        <v/>
      </c>
      <c r="AI1739" s="708" t="str">
        <f t="shared" si="115"/>
        <v/>
      </c>
      <c r="AJ1739" s="708" t="str">
        <f t="shared" si="116"/>
        <v/>
      </c>
      <c r="AK1739" s="708" t="str">
        <f t="shared" si="117"/>
        <v/>
      </c>
      <c r="AL1739" s="708" t="str">
        <f t="shared" si="118"/>
        <v/>
      </c>
      <c r="AM1739" s="708" t="str">
        <f t="shared" si="119"/>
        <v/>
      </c>
      <c r="AN1739" s="708" t="str">
        <f t="shared" si="272"/>
        <v/>
      </c>
      <c r="AO1739" s="708" t="str">
        <f t="shared" si="273"/>
        <v/>
      </c>
      <c r="AP1739" s="708" t="str">
        <f t="shared" si="274"/>
        <v/>
      </c>
      <c r="AQ1739" s="708" t="str">
        <f t="shared" si="275"/>
        <v/>
      </c>
      <c r="AR1739" s="708" t="str">
        <f t="shared" si="276"/>
        <v/>
      </c>
      <c r="AS1739" s="708" t="str">
        <f t="shared" si="277"/>
        <v/>
      </c>
      <c r="AT1739" s="708" t="str">
        <f t="shared" si="278"/>
        <v/>
      </c>
      <c r="AU1739" s="708" t="str">
        <f t="shared" si="279"/>
        <v/>
      </c>
      <c r="AV1739" s="708" t="str">
        <f t="shared" si="280"/>
        <v/>
      </c>
      <c r="AW1739" s="708" t="str">
        <f t="shared" si="281"/>
        <v/>
      </c>
      <c r="AX1739" s="708" t="str">
        <f t="shared" si="282"/>
        <v/>
      </c>
      <c r="AY1739" s="708" t="str">
        <f t="shared" si="283"/>
        <v/>
      </c>
      <c r="AZ1739" s="708" t="str">
        <f t="shared" si="284"/>
        <v/>
      </c>
      <c r="BA1739" s="708" t="str">
        <f t="shared" si="285"/>
        <v/>
      </c>
      <c r="BB1739" s="708" t="str">
        <f t="shared" si="286"/>
        <v/>
      </c>
      <c r="BC1739" s="708" t="str">
        <f t="shared" si="287"/>
        <v/>
      </c>
      <c r="BD1739" s="708" t="str">
        <f t="shared" si="288"/>
        <v/>
      </c>
      <c r="BE1739" s="708" t="str">
        <f t="shared" si="289"/>
        <v/>
      </c>
      <c r="BF1739" s="708" t="str">
        <f t="shared" si="290"/>
        <v/>
      </c>
      <c r="BG1739" s="708" t="str">
        <f t="shared" si="291"/>
        <v/>
      </c>
      <c r="BH1739" s="708" t="str">
        <f t="shared" si="292"/>
        <v/>
      </c>
      <c r="BI1739" s="708" t="str">
        <f t="shared" si="293"/>
        <v/>
      </c>
      <c r="BJ1739" s="708" t="str">
        <f t="shared" si="294"/>
        <v/>
      </c>
      <c r="BK1739" s="708" t="str">
        <f t="shared" si="295"/>
        <v/>
      </c>
      <c r="BL1739" s="708" t="str">
        <f t="shared" si="296"/>
        <v/>
      </c>
      <c r="BM1739" s="708" t="str">
        <f t="shared" si="297"/>
        <v/>
      </c>
      <c r="BN1739" s="708" t="str">
        <f t="shared" si="298"/>
        <v/>
      </c>
      <c r="BO1739" s="708" t="str">
        <f t="shared" si="299"/>
        <v/>
      </c>
      <c r="BP1739" s="708" t="str">
        <f t="shared" si="300"/>
        <v/>
      </c>
      <c r="BQ1739" s="708" t="str">
        <f t="shared" si="301"/>
        <v/>
      </c>
      <c r="BR1739" s="708" t="str">
        <f t="shared" si="120"/>
        <v/>
      </c>
      <c r="BS1739" s="708" t="str">
        <f t="shared" si="121"/>
        <v/>
      </c>
      <c r="BT1739" s="708" t="str">
        <f t="shared" si="122"/>
        <v/>
      </c>
      <c r="BU1739" s="708" t="str">
        <f t="shared" si="123"/>
        <v/>
      </c>
      <c r="BV1739" s="708" t="str">
        <f t="shared" si="124"/>
        <v/>
      </c>
      <c r="BW1739" s="708" t="str">
        <f t="shared" si="125"/>
        <v/>
      </c>
      <c r="BX1739" s="708" t="str">
        <f t="shared" si="126"/>
        <v/>
      </c>
      <c r="BY1739" s="708" t="str">
        <f t="shared" si="127"/>
        <v/>
      </c>
      <c r="BZ1739" s="708" t="str">
        <f t="shared" si="128"/>
        <v/>
      </c>
      <c r="CA1739" s="708" t="str">
        <f t="shared" si="129"/>
        <v/>
      </c>
      <c r="CB1739" s="708" t="str">
        <f t="shared" si="130"/>
        <v/>
      </c>
      <c r="CC1739" s="708" t="str">
        <f t="shared" si="131"/>
        <v/>
      </c>
      <c r="CD1739" s="708" t="str">
        <f t="shared" si="132"/>
        <v/>
      </c>
      <c r="CE1739" s="708" t="str">
        <f t="shared" si="133"/>
        <v/>
      </c>
      <c r="CF1739" s="708" t="str">
        <f t="shared" si="134"/>
        <v/>
      </c>
      <c r="CG1739" s="708" t="str">
        <f t="shared" si="135"/>
        <v/>
      </c>
      <c r="CH1739" s="708" t="str">
        <f t="shared" si="136"/>
        <v/>
      </c>
      <c r="CI1739" s="708" t="str">
        <f t="shared" si="137"/>
        <v/>
      </c>
      <c r="CJ1739" s="708" t="str">
        <f t="shared" si="138"/>
        <v/>
      </c>
      <c r="CK1739" s="708" t="str">
        <f t="shared" si="139"/>
        <v/>
      </c>
      <c r="CL1739" s="708" t="str">
        <f t="shared" si="140"/>
        <v/>
      </c>
      <c r="CM1739" s="708" t="str">
        <f t="shared" si="141"/>
        <v/>
      </c>
      <c r="CN1739" s="708" t="str">
        <f t="shared" si="142"/>
        <v/>
      </c>
      <c r="CO1739" s="708" t="str">
        <f t="shared" si="143"/>
        <v/>
      </c>
      <c r="CP1739" s="708" t="str">
        <f t="shared" si="144"/>
        <v/>
      </c>
      <c r="CQ1739" s="708" t="str">
        <f t="shared" si="145"/>
        <v/>
      </c>
      <c r="CR1739" s="708" t="str">
        <f t="shared" si="146"/>
        <v/>
      </c>
      <c r="CS1739" s="708" t="str">
        <f t="shared" si="147"/>
        <v/>
      </c>
      <c r="CT1739" s="708" t="str">
        <f t="shared" si="148"/>
        <v/>
      </c>
      <c r="CU1739" s="708" t="str">
        <f t="shared" si="149"/>
        <v/>
      </c>
      <c r="CV1739" s="708" t="str">
        <f t="shared" si="150"/>
        <v/>
      </c>
      <c r="CW1739" s="708" t="str">
        <f t="shared" si="151"/>
        <v/>
      </c>
      <c r="CX1739" s="708" t="str">
        <f t="shared" si="152"/>
        <v/>
      </c>
      <c r="CY1739" s="708" t="str">
        <f t="shared" si="153"/>
        <v/>
      </c>
      <c r="CZ1739" s="708" t="str">
        <f t="shared" si="154"/>
        <v/>
      </c>
      <c r="DA1739" s="708" t="str">
        <f t="shared" si="155"/>
        <v/>
      </c>
      <c r="DB1739" s="708" t="str">
        <f t="shared" si="156"/>
        <v/>
      </c>
      <c r="DC1739" s="708" t="str">
        <f t="shared" si="157"/>
        <v/>
      </c>
      <c r="DD1739" s="708" t="str">
        <f t="shared" si="158"/>
        <v/>
      </c>
      <c r="DE1739" s="708" t="str">
        <f t="shared" si="159"/>
        <v/>
      </c>
      <c r="DF1739" s="708" t="str">
        <f t="shared" si="160"/>
        <v/>
      </c>
      <c r="DG1739" s="708" t="str">
        <f t="shared" si="161"/>
        <v/>
      </c>
      <c r="DH1739" s="708" t="str">
        <f t="shared" si="162"/>
        <v/>
      </c>
      <c r="DI1739" s="708" t="str">
        <f t="shared" si="163"/>
        <v/>
      </c>
      <c r="DJ1739" s="708" t="str">
        <f t="shared" si="164"/>
        <v/>
      </c>
      <c r="DK1739" s="708" t="str">
        <f t="shared" si="165"/>
        <v/>
      </c>
      <c r="DL1739" s="708" t="str">
        <f t="shared" si="166"/>
        <v/>
      </c>
      <c r="DM1739" s="708" t="str">
        <f t="shared" si="167"/>
        <v/>
      </c>
      <c r="DN1739" s="708" t="str">
        <f t="shared" si="168"/>
        <v/>
      </c>
      <c r="DO1739" s="708" t="str">
        <f t="shared" si="169"/>
        <v/>
      </c>
      <c r="DP1739" s="708" t="str">
        <f t="shared" si="170"/>
        <v/>
      </c>
      <c r="DQ1739" s="708" t="str">
        <f t="shared" si="171"/>
        <v/>
      </c>
      <c r="DR1739" s="708" t="str">
        <f t="shared" si="172"/>
        <v/>
      </c>
      <c r="DS1739" s="708" t="str">
        <f t="shared" si="173"/>
        <v/>
      </c>
      <c r="DT1739" s="708" t="str">
        <f t="shared" si="174"/>
        <v/>
      </c>
      <c r="DU1739" s="708" t="str">
        <f t="shared" si="175"/>
        <v/>
      </c>
      <c r="DV1739" s="708" t="str">
        <f t="shared" si="176"/>
        <v/>
      </c>
      <c r="DW1739" s="708" t="str">
        <f t="shared" si="177"/>
        <v/>
      </c>
      <c r="DX1739" s="708" t="str">
        <f t="shared" si="178"/>
        <v/>
      </c>
      <c r="DY1739" s="708" t="str">
        <f t="shared" si="179"/>
        <v/>
      </c>
      <c r="DZ1739" s="708" t="str">
        <f t="shared" si="180"/>
        <v/>
      </c>
      <c r="EA1739" s="708" t="str">
        <f t="shared" si="181"/>
        <v/>
      </c>
      <c r="EB1739" s="708" t="str">
        <f t="shared" si="182"/>
        <v/>
      </c>
      <c r="EC1739" s="708" t="str">
        <f t="shared" si="183"/>
        <v/>
      </c>
      <c r="ED1739" s="708" t="str">
        <f t="shared" si="184"/>
        <v/>
      </c>
      <c r="EE1739" s="708" t="str">
        <f t="shared" si="185"/>
        <v/>
      </c>
      <c r="EF1739" s="708" t="str">
        <f t="shared" si="186"/>
        <v/>
      </c>
      <c r="EG1739" s="708" t="str">
        <f t="shared" si="187"/>
        <v/>
      </c>
      <c r="EH1739" s="708" t="str">
        <f t="shared" si="188"/>
        <v/>
      </c>
      <c r="EI1739" s="708" t="str">
        <f t="shared" si="189"/>
        <v/>
      </c>
      <c r="EJ1739" s="708" t="str">
        <f t="shared" si="190"/>
        <v/>
      </c>
      <c r="EK1739" s="708" t="str">
        <f t="shared" si="191"/>
        <v/>
      </c>
      <c r="EL1739" s="708" t="str">
        <f t="shared" si="192"/>
        <v/>
      </c>
      <c r="EM1739" s="708" t="str">
        <f t="shared" si="193"/>
        <v/>
      </c>
      <c r="EN1739" s="708" t="str">
        <f t="shared" si="194"/>
        <v/>
      </c>
      <c r="EO1739" s="708" t="str">
        <f t="shared" si="195"/>
        <v/>
      </c>
      <c r="EP1739" s="708" t="str">
        <f t="shared" si="196"/>
        <v/>
      </c>
      <c r="EQ1739" s="708" t="str">
        <f t="shared" si="197"/>
        <v/>
      </c>
      <c r="ER1739" s="708" t="str">
        <f t="shared" si="198"/>
        <v/>
      </c>
      <c r="ES1739" s="708" t="str">
        <f t="shared" si="199"/>
        <v/>
      </c>
      <c r="ET1739" s="708" t="str">
        <f t="shared" si="200"/>
        <v/>
      </c>
      <c r="EU1739" s="708" t="str">
        <f t="shared" si="201"/>
        <v/>
      </c>
      <c r="EV1739" s="708" t="str">
        <f t="shared" si="202"/>
        <v/>
      </c>
      <c r="EW1739" s="708" t="str">
        <f t="shared" si="203"/>
        <v/>
      </c>
      <c r="EX1739" s="708" t="str">
        <f t="shared" si="204"/>
        <v/>
      </c>
      <c r="EY1739" s="708" t="str">
        <f t="shared" si="205"/>
        <v/>
      </c>
      <c r="EZ1739" s="708" t="str">
        <f t="shared" si="206"/>
        <v/>
      </c>
      <c r="FA1739" s="708" t="str">
        <f t="shared" si="207"/>
        <v/>
      </c>
      <c r="FB1739" s="708" t="str">
        <f t="shared" si="208"/>
        <v/>
      </c>
      <c r="FC1739" s="708" t="str">
        <f t="shared" si="209"/>
        <v/>
      </c>
      <c r="FD1739" s="708" t="str">
        <f t="shared" si="210"/>
        <v/>
      </c>
      <c r="FE1739" s="708" t="str">
        <f t="shared" si="211"/>
        <v/>
      </c>
      <c r="FF1739" s="708" t="str">
        <f t="shared" si="212"/>
        <v/>
      </c>
      <c r="FG1739" s="708" t="str">
        <f t="shared" si="213"/>
        <v/>
      </c>
      <c r="FH1739" s="708" t="str">
        <f t="shared" si="214"/>
        <v/>
      </c>
      <c r="FI1739" s="708" t="str">
        <f t="shared" si="215"/>
        <v/>
      </c>
      <c r="FJ1739" s="708" t="str">
        <f t="shared" si="216"/>
        <v/>
      </c>
      <c r="FK1739" s="708" t="str">
        <f t="shared" si="217"/>
        <v/>
      </c>
      <c r="FL1739" s="708" t="str">
        <f t="shared" si="218"/>
        <v/>
      </c>
      <c r="FM1739" s="708" t="str">
        <f t="shared" si="219"/>
        <v/>
      </c>
      <c r="FN1739" s="708" t="str">
        <f t="shared" si="220"/>
        <v/>
      </c>
      <c r="FO1739" s="708" t="str">
        <f t="shared" si="221"/>
        <v/>
      </c>
      <c r="FP1739" s="708" t="str">
        <f t="shared" si="222"/>
        <v/>
      </c>
      <c r="FQ1739" s="708" t="str">
        <f t="shared" si="223"/>
        <v/>
      </c>
      <c r="FR1739" s="708" t="str">
        <f t="shared" si="224"/>
        <v/>
      </c>
      <c r="FS1739" s="708" t="str">
        <f t="shared" si="225"/>
        <v/>
      </c>
      <c r="FT1739" s="708" t="str">
        <f t="shared" si="226"/>
        <v/>
      </c>
      <c r="FU1739" s="708" t="str">
        <f t="shared" si="227"/>
        <v/>
      </c>
      <c r="FV1739" s="708" t="str">
        <f t="shared" si="228"/>
        <v/>
      </c>
      <c r="FW1739" s="708" t="str">
        <f t="shared" si="229"/>
        <v/>
      </c>
      <c r="FX1739" s="708" t="str">
        <f t="shared" si="230"/>
        <v/>
      </c>
      <c r="FY1739" s="708" t="str">
        <f t="shared" si="231"/>
        <v/>
      </c>
      <c r="FZ1739" s="708" t="str">
        <f t="shared" si="232"/>
        <v/>
      </c>
      <c r="GA1739" s="708" t="str">
        <f t="shared" si="233"/>
        <v/>
      </c>
      <c r="GB1739" s="708" t="str">
        <f t="shared" si="234"/>
        <v/>
      </c>
      <c r="GC1739" s="708" t="str">
        <f t="shared" si="235"/>
        <v/>
      </c>
      <c r="GD1739" s="708" t="str">
        <f t="shared" si="236"/>
        <v/>
      </c>
      <c r="GE1739" s="708" t="str">
        <f t="shared" si="237"/>
        <v/>
      </c>
      <c r="GF1739" s="708" t="str">
        <f t="shared" si="238"/>
        <v/>
      </c>
      <c r="GG1739" s="708" t="str">
        <f t="shared" si="239"/>
        <v/>
      </c>
      <c r="GH1739" s="708" t="str">
        <f t="shared" si="240"/>
        <v/>
      </c>
      <c r="GI1739" s="708" t="str">
        <f t="shared" si="241"/>
        <v/>
      </c>
      <c r="GJ1739" s="708" t="str">
        <f t="shared" si="242"/>
        <v/>
      </c>
      <c r="GK1739" s="708" t="str">
        <f t="shared" si="243"/>
        <v/>
      </c>
      <c r="GL1739" s="708" t="str">
        <f t="shared" si="244"/>
        <v/>
      </c>
      <c r="GM1739" s="708" t="str">
        <f t="shared" si="245"/>
        <v/>
      </c>
      <c r="GN1739" s="708" t="str">
        <f t="shared" si="246"/>
        <v/>
      </c>
      <c r="GO1739" s="708" t="str">
        <f t="shared" si="247"/>
        <v/>
      </c>
      <c r="GP1739" s="708" t="str">
        <f t="shared" si="248"/>
        <v/>
      </c>
      <c r="GQ1739" s="708" t="str">
        <f t="shared" si="249"/>
        <v/>
      </c>
      <c r="GR1739" s="708" t="str">
        <f t="shared" si="250"/>
        <v/>
      </c>
      <c r="GS1739" s="708" t="str">
        <f t="shared" si="251"/>
        <v/>
      </c>
      <c r="GT1739" s="708" t="str">
        <f t="shared" si="252"/>
        <v/>
      </c>
      <c r="GU1739" s="708" t="str">
        <f t="shared" si="253"/>
        <v/>
      </c>
      <c r="GV1739" s="708" t="str">
        <f t="shared" si="254"/>
        <v/>
      </c>
      <c r="GW1739" s="708" t="str">
        <f t="shared" si="255"/>
        <v/>
      </c>
      <c r="GX1739" s="708" t="str">
        <f t="shared" si="256"/>
        <v/>
      </c>
      <c r="GY1739" s="708" t="str">
        <f t="shared" si="257"/>
        <v/>
      </c>
      <c r="GZ1739" s="708" t="str">
        <f t="shared" si="258"/>
        <v/>
      </c>
      <c r="HA1739" s="708" t="str">
        <f t="shared" si="259"/>
        <v/>
      </c>
      <c r="HB1739" s="708" t="str">
        <f t="shared" si="260"/>
        <v/>
      </c>
      <c r="HC1739" s="708" t="str">
        <f t="shared" si="261"/>
        <v/>
      </c>
      <c r="HD1739" s="708" t="str">
        <f t="shared" si="262"/>
        <v/>
      </c>
      <c r="HE1739" s="708" t="str">
        <f t="shared" si="263"/>
        <v/>
      </c>
      <c r="HF1739" s="708" t="str">
        <f t="shared" si="264"/>
        <v/>
      </c>
      <c r="HG1739" s="708" t="str">
        <f t="shared" si="265"/>
        <v/>
      </c>
      <c r="HH1739" s="708" t="str">
        <f t="shared" si="266"/>
        <v/>
      </c>
      <c r="HI1739" s="708" t="str">
        <f t="shared" si="267"/>
        <v/>
      </c>
      <c r="HJ1739" s="708" t="str">
        <f t="shared" si="268"/>
        <v/>
      </c>
      <c r="HK1739" s="708" t="str">
        <f t="shared" si="269"/>
        <v/>
      </c>
    </row>
    <row r="1740" spans="1:219" ht="13.15" customHeight="1">
      <c r="A1740" s="708" t="str">
        <f t="shared" si="270"/>
        <v/>
      </c>
      <c r="B1740" s="708">
        <f>'Part VI-Revenues &amp; Expenses'!B25</f>
        <v>0</v>
      </c>
      <c r="C1740" s="708">
        <f>'Part VI-Revenues &amp; Expenses'!C25</f>
        <v>0</v>
      </c>
      <c r="D1740" s="708">
        <f>'Part VI-Revenues &amp; Expenses'!D25</f>
        <v>0</v>
      </c>
      <c r="E1740" s="708">
        <f>'Part VI-Revenues &amp; Expenses'!E25</f>
        <v>0</v>
      </c>
      <c r="F1740" s="708">
        <f>'Part VI-Revenues &amp; Expenses'!F25</f>
        <v>0</v>
      </c>
      <c r="G1740" s="708">
        <f>'Part VI-Revenues &amp; Expenses'!G25</f>
        <v>0</v>
      </c>
      <c r="H1740" s="708">
        <f>'Part VI-Revenues &amp; Expenses'!H25</f>
        <v>0</v>
      </c>
      <c r="I1740" s="708">
        <f>'Part VI-Revenues &amp; Expenses'!I25</f>
        <v>0</v>
      </c>
      <c r="J1740" s="708">
        <f>'Part VI-Revenues &amp; Expenses'!J25</f>
        <v>0</v>
      </c>
      <c r="K1740" s="708">
        <f t="shared" si="271"/>
        <v>0</v>
      </c>
      <c r="L1740" s="708">
        <f t="shared" si="99"/>
        <v>0</v>
      </c>
      <c r="M1740" s="708">
        <f>'Part VI-Revenues &amp; Expenses'!M25</f>
        <v>0</v>
      </c>
      <c r="N1740" s="708">
        <f>'Part VI-Revenues &amp; Expenses'!N25</f>
        <v>0</v>
      </c>
      <c r="O1740" s="708">
        <f>'Part VI-Revenues &amp; Expenses'!O25</f>
        <v>0</v>
      </c>
      <c r="P1740" s="708" t="str">
        <f>'Part VI-Revenues &amp; Expenses'!P25</f>
        <v/>
      </c>
      <c r="Q1740" s="708" t="str">
        <f>'Part VI-Revenues &amp; Expenses'!Q25</f>
        <v/>
      </c>
      <c r="R1740" s="708">
        <f>'Part VI-Revenues &amp; Expenses'!R25</f>
        <v>0</v>
      </c>
      <c r="T1740" s="708" t="str">
        <f t="shared" si="100"/>
        <v/>
      </c>
      <c r="U1740" s="708" t="str">
        <f t="shared" si="101"/>
        <v/>
      </c>
      <c r="V1740" s="708" t="str">
        <f t="shared" si="102"/>
        <v/>
      </c>
      <c r="W1740" s="708" t="str">
        <f t="shared" si="103"/>
        <v/>
      </c>
      <c r="X1740" s="708" t="str">
        <f t="shared" si="104"/>
        <v/>
      </c>
      <c r="Y1740" s="708" t="str">
        <f t="shared" si="105"/>
        <v/>
      </c>
      <c r="Z1740" s="708" t="str">
        <f t="shared" si="106"/>
        <v/>
      </c>
      <c r="AA1740" s="708" t="str">
        <f t="shared" si="107"/>
        <v/>
      </c>
      <c r="AB1740" s="708" t="str">
        <f t="shared" si="108"/>
        <v/>
      </c>
      <c r="AC1740" s="708" t="str">
        <f t="shared" si="109"/>
        <v/>
      </c>
      <c r="AD1740" s="708" t="str">
        <f t="shared" si="110"/>
        <v/>
      </c>
      <c r="AE1740" s="708" t="str">
        <f t="shared" si="111"/>
        <v/>
      </c>
      <c r="AF1740" s="708" t="str">
        <f t="shared" si="112"/>
        <v/>
      </c>
      <c r="AG1740" s="708" t="str">
        <f t="shared" si="113"/>
        <v/>
      </c>
      <c r="AH1740" s="708" t="str">
        <f t="shared" si="114"/>
        <v/>
      </c>
      <c r="AI1740" s="708" t="str">
        <f t="shared" si="115"/>
        <v/>
      </c>
      <c r="AJ1740" s="708" t="str">
        <f t="shared" si="116"/>
        <v/>
      </c>
      <c r="AK1740" s="708" t="str">
        <f t="shared" si="117"/>
        <v/>
      </c>
      <c r="AL1740" s="708" t="str">
        <f t="shared" si="118"/>
        <v/>
      </c>
      <c r="AM1740" s="708" t="str">
        <f t="shared" si="119"/>
        <v/>
      </c>
      <c r="AN1740" s="708" t="str">
        <f t="shared" si="272"/>
        <v/>
      </c>
      <c r="AO1740" s="708" t="str">
        <f t="shared" si="273"/>
        <v/>
      </c>
      <c r="AP1740" s="708" t="str">
        <f t="shared" si="274"/>
        <v/>
      </c>
      <c r="AQ1740" s="708" t="str">
        <f t="shared" si="275"/>
        <v/>
      </c>
      <c r="AR1740" s="708" t="str">
        <f t="shared" si="276"/>
        <v/>
      </c>
      <c r="AS1740" s="708" t="str">
        <f t="shared" si="277"/>
        <v/>
      </c>
      <c r="AT1740" s="708" t="str">
        <f t="shared" si="278"/>
        <v/>
      </c>
      <c r="AU1740" s="708" t="str">
        <f t="shared" si="279"/>
        <v/>
      </c>
      <c r="AV1740" s="708" t="str">
        <f t="shared" si="280"/>
        <v/>
      </c>
      <c r="AW1740" s="708" t="str">
        <f t="shared" si="281"/>
        <v/>
      </c>
      <c r="AX1740" s="708" t="str">
        <f t="shared" si="282"/>
        <v/>
      </c>
      <c r="AY1740" s="708" t="str">
        <f t="shared" si="283"/>
        <v/>
      </c>
      <c r="AZ1740" s="708" t="str">
        <f t="shared" si="284"/>
        <v/>
      </c>
      <c r="BA1740" s="708" t="str">
        <f t="shared" si="285"/>
        <v/>
      </c>
      <c r="BB1740" s="708" t="str">
        <f t="shared" si="286"/>
        <v/>
      </c>
      <c r="BC1740" s="708" t="str">
        <f t="shared" si="287"/>
        <v/>
      </c>
      <c r="BD1740" s="708" t="str">
        <f t="shared" si="288"/>
        <v/>
      </c>
      <c r="BE1740" s="708" t="str">
        <f t="shared" si="289"/>
        <v/>
      </c>
      <c r="BF1740" s="708" t="str">
        <f t="shared" si="290"/>
        <v/>
      </c>
      <c r="BG1740" s="708" t="str">
        <f t="shared" si="291"/>
        <v/>
      </c>
      <c r="BH1740" s="708" t="str">
        <f t="shared" si="292"/>
        <v/>
      </c>
      <c r="BI1740" s="708" t="str">
        <f t="shared" si="293"/>
        <v/>
      </c>
      <c r="BJ1740" s="708" t="str">
        <f t="shared" si="294"/>
        <v/>
      </c>
      <c r="BK1740" s="708" t="str">
        <f t="shared" si="295"/>
        <v/>
      </c>
      <c r="BL1740" s="708" t="str">
        <f t="shared" si="296"/>
        <v/>
      </c>
      <c r="BM1740" s="708" t="str">
        <f t="shared" si="297"/>
        <v/>
      </c>
      <c r="BN1740" s="708" t="str">
        <f t="shared" si="298"/>
        <v/>
      </c>
      <c r="BO1740" s="708" t="str">
        <f t="shared" si="299"/>
        <v/>
      </c>
      <c r="BP1740" s="708" t="str">
        <f t="shared" si="300"/>
        <v/>
      </c>
      <c r="BQ1740" s="708" t="str">
        <f t="shared" si="301"/>
        <v/>
      </c>
      <c r="BR1740" s="708" t="str">
        <f t="shared" si="120"/>
        <v/>
      </c>
      <c r="BS1740" s="708" t="str">
        <f t="shared" si="121"/>
        <v/>
      </c>
      <c r="BT1740" s="708" t="str">
        <f t="shared" si="122"/>
        <v/>
      </c>
      <c r="BU1740" s="708" t="str">
        <f t="shared" si="123"/>
        <v/>
      </c>
      <c r="BV1740" s="708" t="str">
        <f t="shared" si="124"/>
        <v/>
      </c>
      <c r="BW1740" s="708" t="str">
        <f t="shared" si="125"/>
        <v/>
      </c>
      <c r="BX1740" s="708" t="str">
        <f t="shared" si="126"/>
        <v/>
      </c>
      <c r="BY1740" s="708" t="str">
        <f t="shared" si="127"/>
        <v/>
      </c>
      <c r="BZ1740" s="708" t="str">
        <f t="shared" si="128"/>
        <v/>
      </c>
      <c r="CA1740" s="708" t="str">
        <f t="shared" si="129"/>
        <v/>
      </c>
      <c r="CB1740" s="708" t="str">
        <f t="shared" si="130"/>
        <v/>
      </c>
      <c r="CC1740" s="708" t="str">
        <f t="shared" si="131"/>
        <v/>
      </c>
      <c r="CD1740" s="708" t="str">
        <f t="shared" si="132"/>
        <v/>
      </c>
      <c r="CE1740" s="708" t="str">
        <f t="shared" si="133"/>
        <v/>
      </c>
      <c r="CF1740" s="708" t="str">
        <f t="shared" si="134"/>
        <v/>
      </c>
      <c r="CG1740" s="708" t="str">
        <f t="shared" si="135"/>
        <v/>
      </c>
      <c r="CH1740" s="708" t="str">
        <f t="shared" si="136"/>
        <v/>
      </c>
      <c r="CI1740" s="708" t="str">
        <f t="shared" si="137"/>
        <v/>
      </c>
      <c r="CJ1740" s="708" t="str">
        <f t="shared" si="138"/>
        <v/>
      </c>
      <c r="CK1740" s="708" t="str">
        <f t="shared" si="139"/>
        <v/>
      </c>
      <c r="CL1740" s="708" t="str">
        <f t="shared" si="140"/>
        <v/>
      </c>
      <c r="CM1740" s="708" t="str">
        <f t="shared" si="141"/>
        <v/>
      </c>
      <c r="CN1740" s="708" t="str">
        <f t="shared" si="142"/>
        <v/>
      </c>
      <c r="CO1740" s="708" t="str">
        <f t="shared" si="143"/>
        <v/>
      </c>
      <c r="CP1740" s="708" t="str">
        <f t="shared" si="144"/>
        <v/>
      </c>
      <c r="CQ1740" s="708" t="str">
        <f t="shared" si="145"/>
        <v/>
      </c>
      <c r="CR1740" s="708" t="str">
        <f t="shared" si="146"/>
        <v/>
      </c>
      <c r="CS1740" s="708" t="str">
        <f t="shared" si="147"/>
        <v/>
      </c>
      <c r="CT1740" s="708" t="str">
        <f t="shared" si="148"/>
        <v/>
      </c>
      <c r="CU1740" s="708" t="str">
        <f t="shared" si="149"/>
        <v/>
      </c>
      <c r="CV1740" s="708" t="str">
        <f t="shared" si="150"/>
        <v/>
      </c>
      <c r="CW1740" s="708" t="str">
        <f t="shared" si="151"/>
        <v/>
      </c>
      <c r="CX1740" s="708" t="str">
        <f t="shared" si="152"/>
        <v/>
      </c>
      <c r="CY1740" s="708" t="str">
        <f t="shared" si="153"/>
        <v/>
      </c>
      <c r="CZ1740" s="708" t="str">
        <f t="shared" si="154"/>
        <v/>
      </c>
      <c r="DA1740" s="708" t="str">
        <f t="shared" si="155"/>
        <v/>
      </c>
      <c r="DB1740" s="708" t="str">
        <f t="shared" si="156"/>
        <v/>
      </c>
      <c r="DC1740" s="708" t="str">
        <f t="shared" si="157"/>
        <v/>
      </c>
      <c r="DD1740" s="708" t="str">
        <f t="shared" si="158"/>
        <v/>
      </c>
      <c r="DE1740" s="708" t="str">
        <f t="shared" si="159"/>
        <v/>
      </c>
      <c r="DF1740" s="708" t="str">
        <f t="shared" si="160"/>
        <v/>
      </c>
      <c r="DG1740" s="708" t="str">
        <f t="shared" si="161"/>
        <v/>
      </c>
      <c r="DH1740" s="708" t="str">
        <f t="shared" si="162"/>
        <v/>
      </c>
      <c r="DI1740" s="708" t="str">
        <f t="shared" si="163"/>
        <v/>
      </c>
      <c r="DJ1740" s="708" t="str">
        <f t="shared" si="164"/>
        <v/>
      </c>
      <c r="DK1740" s="708" t="str">
        <f t="shared" si="165"/>
        <v/>
      </c>
      <c r="DL1740" s="708" t="str">
        <f t="shared" si="166"/>
        <v/>
      </c>
      <c r="DM1740" s="708" t="str">
        <f t="shared" si="167"/>
        <v/>
      </c>
      <c r="DN1740" s="708" t="str">
        <f t="shared" si="168"/>
        <v/>
      </c>
      <c r="DO1740" s="708" t="str">
        <f t="shared" si="169"/>
        <v/>
      </c>
      <c r="DP1740" s="708" t="str">
        <f t="shared" si="170"/>
        <v/>
      </c>
      <c r="DQ1740" s="708" t="str">
        <f t="shared" si="171"/>
        <v/>
      </c>
      <c r="DR1740" s="708" t="str">
        <f t="shared" si="172"/>
        <v/>
      </c>
      <c r="DS1740" s="708" t="str">
        <f t="shared" si="173"/>
        <v/>
      </c>
      <c r="DT1740" s="708" t="str">
        <f t="shared" si="174"/>
        <v/>
      </c>
      <c r="DU1740" s="708" t="str">
        <f t="shared" si="175"/>
        <v/>
      </c>
      <c r="DV1740" s="708" t="str">
        <f t="shared" si="176"/>
        <v/>
      </c>
      <c r="DW1740" s="708" t="str">
        <f t="shared" si="177"/>
        <v/>
      </c>
      <c r="DX1740" s="708" t="str">
        <f t="shared" si="178"/>
        <v/>
      </c>
      <c r="DY1740" s="708" t="str">
        <f t="shared" si="179"/>
        <v/>
      </c>
      <c r="DZ1740" s="708" t="str">
        <f t="shared" si="180"/>
        <v/>
      </c>
      <c r="EA1740" s="708" t="str">
        <f t="shared" si="181"/>
        <v/>
      </c>
      <c r="EB1740" s="708" t="str">
        <f t="shared" si="182"/>
        <v/>
      </c>
      <c r="EC1740" s="708" t="str">
        <f t="shared" si="183"/>
        <v/>
      </c>
      <c r="ED1740" s="708" t="str">
        <f t="shared" si="184"/>
        <v/>
      </c>
      <c r="EE1740" s="708" t="str">
        <f t="shared" si="185"/>
        <v/>
      </c>
      <c r="EF1740" s="708" t="str">
        <f t="shared" si="186"/>
        <v/>
      </c>
      <c r="EG1740" s="708" t="str">
        <f t="shared" si="187"/>
        <v/>
      </c>
      <c r="EH1740" s="708" t="str">
        <f t="shared" si="188"/>
        <v/>
      </c>
      <c r="EI1740" s="708" t="str">
        <f t="shared" si="189"/>
        <v/>
      </c>
      <c r="EJ1740" s="708" t="str">
        <f t="shared" si="190"/>
        <v/>
      </c>
      <c r="EK1740" s="708" t="str">
        <f t="shared" si="191"/>
        <v/>
      </c>
      <c r="EL1740" s="708" t="str">
        <f t="shared" si="192"/>
        <v/>
      </c>
      <c r="EM1740" s="708" t="str">
        <f t="shared" si="193"/>
        <v/>
      </c>
      <c r="EN1740" s="708" t="str">
        <f t="shared" si="194"/>
        <v/>
      </c>
      <c r="EO1740" s="708" t="str">
        <f t="shared" si="195"/>
        <v/>
      </c>
      <c r="EP1740" s="708" t="str">
        <f t="shared" si="196"/>
        <v/>
      </c>
      <c r="EQ1740" s="708" t="str">
        <f t="shared" si="197"/>
        <v/>
      </c>
      <c r="ER1740" s="708" t="str">
        <f t="shared" si="198"/>
        <v/>
      </c>
      <c r="ES1740" s="708" t="str">
        <f t="shared" si="199"/>
        <v/>
      </c>
      <c r="ET1740" s="708" t="str">
        <f t="shared" si="200"/>
        <v/>
      </c>
      <c r="EU1740" s="708" t="str">
        <f t="shared" si="201"/>
        <v/>
      </c>
      <c r="EV1740" s="708" t="str">
        <f t="shared" si="202"/>
        <v/>
      </c>
      <c r="EW1740" s="708" t="str">
        <f t="shared" si="203"/>
        <v/>
      </c>
      <c r="EX1740" s="708" t="str">
        <f t="shared" si="204"/>
        <v/>
      </c>
      <c r="EY1740" s="708" t="str">
        <f t="shared" si="205"/>
        <v/>
      </c>
      <c r="EZ1740" s="708" t="str">
        <f t="shared" si="206"/>
        <v/>
      </c>
      <c r="FA1740" s="708" t="str">
        <f t="shared" si="207"/>
        <v/>
      </c>
      <c r="FB1740" s="708" t="str">
        <f t="shared" si="208"/>
        <v/>
      </c>
      <c r="FC1740" s="708" t="str">
        <f t="shared" si="209"/>
        <v/>
      </c>
      <c r="FD1740" s="708" t="str">
        <f t="shared" si="210"/>
        <v/>
      </c>
      <c r="FE1740" s="708" t="str">
        <f t="shared" si="211"/>
        <v/>
      </c>
      <c r="FF1740" s="708" t="str">
        <f t="shared" si="212"/>
        <v/>
      </c>
      <c r="FG1740" s="708" t="str">
        <f t="shared" si="213"/>
        <v/>
      </c>
      <c r="FH1740" s="708" t="str">
        <f t="shared" si="214"/>
        <v/>
      </c>
      <c r="FI1740" s="708" t="str">
        <f t="shared" si="215"/>
        <v/>
      </c>
      <c r="FJ1740" s="708" t="str">
        <f t="shared" si="216"/>
        <v/>
      </c>
      <c r="FK1740" s="708" t="str">
        <f t="shared" si="217"/>
        <v/>
      </c>
      <c r="FL1740" s="708" t="str">
        <f t="shared" si="218"/>
        <v/>
      </c>
      <c r="FM1740" s="708" t="str">
        <f t="shared" si="219"/>
        <v/>
      </c>
      <c r="FN1740" s="708" t="str">
        <f t="shared" si="220"/>
        <v/>
      </c>
      <c r="FO1740" s="708" t="str">
        <f t="shared" si="221"/>
        <v/>
      </c>
      <c r="FP1740" s="708" t="str">
        <f t="shared" si="222"/>
        <v/>
      </c>
      <c r="FQ1740" s="708" t="str">
        <f t="shared" si="223"/>
        <v/>
      </c>
      <c r="FR1740" s="708" t="str">
        <f t="shared" si="224"/>
        <v/>
      </c>
      <c r="FS1740" s="708" t="str">
        <f t="shared" si="225"/>
        <v/>
      </c>
      <c r="FT1740" s="708" t="str">
        <f t="shared" si="226"/>
        <v/>
      </c>
      <c r="FU1740" s="708" t="str">
        <f t="shared" si="227"/>
        <v/>
      </c>
      <c r="FV1740" s="708" t="str">
        <f t="shared" si="228"/>
        <v/>
      </c>
      <c r="FW1740" s="708" t="str">
        <f t="shared" si="229"/>
        <v/>
      </c>
      <c r="FX1740" s="708" t="str">
        <f t="shared" si="230"/>
        <v/>
      </c>
      <c r="FY1740" s="708" t="str">
        <f t="shared" si="231"/>
        <v/>
      </c>
      <c r="FZ1740" s="708" t="str">
        <f t="shared" si="232"/>
        <v/>
      </c>
      <c r="GA1740" s="708" t="str">
        <f t="shared" si="233"/>
        <v/>
      </c>
      <c r="GB1740" s="708" t="str">
        <f t="shared" si="234"/>
        <v/>
      </c>
      <c r="GC1740" s="708" t="str">
        <f t="shared" si="235"/>
        <v/>
      </c>
      <c r="GD1740" s="708" t="str">
        <f t="shared" si="236"/>
        <v/>
      </c>
      <c r="GE1740" s="708" t="str">
        <f t="shared" si="237"/>
        <v/>
      </c>
      <c r="GF1740" s="708" t="str">
        <f t="shared" si="238"/>
        <v/>
      </c>
      <c r="GG1740" s="708" t="str">
        <f t="shared" si="239"/>
        <v/>
      </c>
      <c r="GH1740" s="708" t="str">
        <f t="shared" si="240"/>
        <v/>
      </c>
      <c r="GI1740" s="708" t="str">
        <f t="shared" si="241"/>
        <v/>
      </c>
      <c r="GJ1740" s="708" t="str">
        <f t="shared" si="242"/>
        <v/>
      </c>
      <c r="GK1740" s="708" t="str">
        <f t="shared" si="243"/>
        <v/>
      </c>
      <c r="GL1740" s="708" t="str">
        <f t="shared" si="244"/>
        <v/>
      </c>
      <c r="GM1740" s="708" t="str">
        <f t="shared" si="245"/>
        <v/>
      </c>
      <c r="GN1740" s="708" t="str">
        <f t="shared" si="246"/>
        <v/>
      </c>
      <c r="GO1740" s="708" t="str">
        <f t="shared" si="247"/>
        <v/>
      </c>
      <c r="GP1740" s="708" t="str">
        <f t="shared" si="248"/>
        <v/>
      </c>
      <c r="GQ1740" s="708" t="str">
        <f t="shared" si="249"/>
        <v/>
      </c>
      <c r="GR1740" s="708" t="str">
        <f t="shared" si="250"/>
        <v/>
      </c>
      <c r="GS1740" s="708" t="str">
        <f t="shared" si="251"/>
        <v/>
      </c>
      <c r="GT1740" s="708" t="str">
        <f t="shared" si="252"/>
        <v/>
      </c>
      <c r="GU1740" s="708" t="str">
        <f t="shared" si="253"/>
        <v/>
      </c>
      <c r="GV1740" s="708" t="str">
        <f t="shared" si="254"/>
        <v/>
      </c>
      <c r="GW1740" s="708" t="str">
        <f t="shared" si="255"/>
        <v/>
      </c>
      <c r="GX1740" s="708" t="str">
        <f t="shared" si="256"/>
        <v/>
      </c>
      <c r="GY1740" s="708" t="str">
        <f t="shared" si="257"/>
        <v/>
      </c>
      <c r="GZ1740" s="708" t="str">
        <f t="shared" si="258"/>
        <v/>
      </c>
      <c r="HA1740" s="708" t="str">
        <f t="shared" si="259"/>
        <v/>
      </c>
      <c r="HB1740" s="708" t="str">
        <f t="shared" si="260"/>
        <v/>
      </c>
      <c r="HC1740" s="708" t="str">
        <f t="shared" si="261"/>
        <v/>
      </c>
      <c r="HD1740" s="708" t="str">
        <f t="shared" si="262"/>
        <v/>
      </c>
      <c r="HE1740" s="708" t="str">
        <f t="shared" si="263"/>
        <v/>
      </c>
      <c r="HF1740" s="708" t="str">
        <f t="shared" si="264"/>
        <v/>
      </c>
      <c r="HG1740" s="708" t="str">
        <f t="shared" si="265"/>
        <v/>
      </c>
      <c r="HH1740" s="708" t="str">
        <f t="shared" si="266"/>
        <v/>
      </c>
      <c r="HI1740" s="708" t="str">
        <f t="shared" si="267"/>
        <v/>
      </c>
      <c r="HJ1740" s="708" t="str">
        <f t="shared" si="268"/>
        <v/>
      </c>
      <c r="HK1740" s="708" t="str">
        <f t="shared" si="269"/>
        <v/>
      </c>
    </row>
    <row r="1741" spans="1:219" ht="13.15" customHeight="1">
      <c r="A1741" s="708" t="str">
        <f t="shared" si="270"/>
        <v/>
      </c>
      <c r="B1741" s="708">
        <f>'Part VI-Revenues &amp; Expenses'!B26</f>
        <v>0</v>
      </c>
      <c r="C1741" s="708">
        <f>'Part VI-Revenues &amp; Expenses'!C26</f>
        <v>0</v>
      </c>
      <c r="D1741" s="708">
        <f>'Part VI-Revenues &amp; Expenses'!D26</f>
        <v>0</v>
      </c>
      <c r="E1741" s="708">
        <f>'Part VI-Revenues &amp; Expenses'!E26</f>
        <v>0</v>
      </c>
      <c r="F1741" s="708">
        <f>'Part VI-Revenues &amp; Expenses'!F26</f>
        <v>0</v>
      </c>
      <c r="G1741" s="708">
        <f>'Part VI-Revenues &amp; Expenses'!G26</f>
        <v>0</v>
      </c>
      <c r="H1741" s="708">
        <f>'Part VI-Revenues &amp; Expenses'!H26</f>
        <v>0</v>
      </c>
      <c r="I1741" s="708">
        <f>'Part VI-Revenues &amp; Expenses'!I26</f>
        <v>0</v>
      </c>
      <c r="J1741" s="708">
        <f>'Part VI-Revenues &amp; Expenses'!J26</f>
        <v>0</v>
      </c>
      <c r="K1741" s="708">
        <f t="shared" si="271"/>
        <v>0</v>
      </c>
      <c r="L1741" s="708">
        <f t="shared" si="99"/>
        <v>0</v>
      </c>
      <c r="M1741" s="708">
        <f>'Part VI-Revenues &amp; Expenses'!M26</f>
        <v>0</v>
      </c>
      <c r="N1741" s="708">
        <f>'Part VI-Revenues &amp; Expenses'!N26</f>
        <v>0</v>
      </c>
      <c r="O1741" s="708">
        <f>'Part VI-Revenues &amp; Expenses'!O26</f>
        <v>0</v>
      </c>
      <c r="P1741" s="708" t="str">
        <f>'Part VI-Revenues &amp; Expenses'!P26</f>
        <v/>
      </c>
      <c r="Q1741" s="708" t="str">
        <f>'Part VI-Revenues &amp; Expenses'!Q26</f>
        <v/>
      </c>
      <c r="R1741" s="708">
        <f>'Part VI-Revenues &amp; Expenses'!R26</f>
        <v>0</v>
      </c>
      <c r="T1741" s="708" t="str">
        <f t="shared" si="100"/>
        <v/>
      </c>
      <c r="U1741" s="708" t="str">
        <f t="shared" si="101"/>
        <v/>
      </c>
      <c r="V1741" s="708" t="str">
        <f t="shared" si="102"/>
        <v/>
      </c>
      <c r="W1741" s="708" t="str">
        <f t="shared" si="103"/>
        <v/>
      </c>
      <c r="X1741" s="708" t="str">
        <f t="shared" si="104"/>
        <v/>
      </c>
      <c r="Y1741" s="708" t="str">
        <f t="shared" si="105"/>
        <v/>
      </c>
      <c r="Z1741" s="708" t="str">
        <f t="shared" si="106"/>
        <v/>
      </c>
      <c r="AA1741" s="708" t="str">
        <f t="shared" si="107"/>
        <v/>
      </c>
      <c r="AB1741" s="708" t="str">
        <f t="shared" si="108"/>
        <v/>
      </c>
      <c r="AC1741" s="708" t="str">
        <f t="shared" si="109"/>
        <v/>
      </c>
      <c r="AD1741" s="708" t="str">
        <f t="shared" si="110"/>
        <v/>
      </c>
      <c r="AE1741" s="708" t="str">
        <f t="shared" si="111"/>
        <v/>
      </c>
      <c r="AF1741" s="708" t="str">
        <f t="shared" si="112"/>
        <v/>
      </c>
      <c r="AG1741" s="708" t="str">
        <f t="shared" si="113"/>
        <v/>
      </c>
      <c r="AH1741" s="708" t="str">
        <f t="shared" si="114"/>
        <v/>
      </c>
      <c r="AI1741" s="708" t="str">
        <f t="shared" si="115"/>
        <v/>
      </c>
      <c r="AJ1741" s="708" t="str">
        <f t="shared" si="116"/>
        <v/>
      </c>
      <c r="AK1741" s="708" t="str">
        <f t="shared" si="117"/>
        <v/>
      </c>
      <c r="AL1741" s="708" t="str">
        <f t="shared" si="118"/>
        <v/>
      </c>
      <c r="AM1741" s="708" t="str">
        <f t="shared" si="119"/>
        <v/>
      </c>
      <c r="AN1741" s="708" t="str">
        <f t="shared" si="272"/>
        <v/>
      </c>
      <c r="AO1741" s="708" t="str">
        <f t="shared" si="273"/>
        <v/>
      </c>
      <c r="AP1741" s="708" t="str">
        <f t="shared" si="274"/>
        <v/>
      </c>
      <c r="AQ1741" s="708" t="str">
        <f t="shared" si="275"/>
        <v/>
      </c>
      <c r="AR1741" s="708" t="str">
        <f t="shared" si="276"/>
        <v/>
      </c>
      <c r="AS1741" s="708" t="str">
        <f t="shared" si="277"/>
        <v/>
      </c>
      <c r="AT1741" s="708" t="str">
        <f t="shared" si="278"/>
        <v/>
      </c>
      <c r="AU1741" s="708" t="str">
        <f t="shared" si="279"/>
        <v/>
      </c>
      <c r="AV1741" s="708" t="str">
        <f t="shared" si="280"/>
        <v/>
      </c>
      <c r="AW1741" s="708" t="str">
        <f t="shared" si="281"/>
        <v/>
      </c>
      <c r="AX1741" s="708" t="str">
        <f t="shared" si="282"/>
        <v/>
      </c>
      <c r="AY1741" s="708" t="str">
        <f t="shared" si="283"/>
        <v/>
      </c>
      <c r="AZ1741" s="708" t="str">
        <f t="shared" si="284"/>
        <v/>
      </c>
      <c r="BA1741" s="708" t="str">
        <f t="shared" si="285"/>
        <v/>
      </c>
      <c r="BB1741" s="708" t="str">
        <f t="shared" si="286"/>
        <v/>
      </c>
      <c r="BC1741" s="708" t="str">
        <f t="shared" si="287"/>
        <v/>
      </c>
      <c r="BD1741" s="708" t="str">
        <f t="shared" si="288"/>
        <v/>
      </c>
      <c r="BE1741" s="708" t="str">
        <f t="shared" si="289"/>
        <v/>
      </c>
      <c r="BF1741" s="708" t="str">
        <f t="shared" si="290"/>
        <v/>
      </c>
      <c r="BG1741" s="708" t="str">
        <f t="shared" si="291"/>
        <v/>
      </c>
      <c r="BH1741" s="708" t="str">
        <f t="shared" si="292"/>
        <v/>
      </c>
      <c r="BI1741" s="708" t="str">
        <f t="shared" si="293"/>
        <v/>
      </c>
      <c r="BJ1741" s="708" t="str">
        <f t="shared" si="294"/>
        <v/>
      </c>
      <c r="BK1741" s="708" t="str">
        <f t="shared" si="295"/>
        <v/>
      </c>
      <c r="BL1741" s="708" t="str">
        <f t="shared" si="296"/>
        <v/>
      </c>
      <c r="BM1741" s="708" t="str">
        <f t="shared" si="297"/>
        <v/>
      </c>
      <c r="BN1741" s="708" t="str">
        <f t="shared" si="298"/>
        <v/>
      </c>
      <c r="BO1741" s="708" t="str">
        <f t="shared" si="299"/>
        <v/>
      </c>
      <c r="BP1741" s="708" t="str">
        <f t="shared" si="300"/>
        <v/>
      </c>
      <c r="BQ1741" s="708" t="str">
        <f t="shared" si="301"/>
        <v/>
      </c>
      <c r="BR1741" s="708" t="str">
        <f t="shared" si="120"/>
        <v/>
      </c>
      <c r="BS1741" s="708" t="str">
        <f t="shared" si="121"/>
        <v/>
      </c>
      <c r="BT1741" s="708" t="str">
        <f t="shared" si="122"/>
        <v/>
      </c>
      <c r="BU1741" s="708" t="str">
        <f t="shared" si="123"/>
        <v/>
      </c>
      <c r="BV1741" s="708" t="str">
        <f t="shared" si="124"/>
        <v/>
      </c>
      <c r="BW1741" s="708" t="str">
        <f t="shared" si="125"/>
        <v/>
      </c>
      <c r="BX1741" s="708" t="str">
        <f t="shared" si="126"/>
        <v/>
      </c>
      <c r="BY1741" s="708" t="str">
        <f t="shared" si="127"/>
        <v/>
      </c>
      <c r="BZ1741" s="708" t="str">
        <f t="shared" si="128"/>
        <v/>
      </c>
      <c r="CA1741" s="708" t="str">
        <f t="shared" si="129"/>
        <v/>
      </c>
      <c r="CB1741" s="708" t="str">
        <f t="shared" si="130"/>
        <v/>
      </c>
      <c r="CC1741" s="708" t="str">
        <f t="shared" si="131"/>
        <v/>
      </c>
      <c r="CD1741" s="708" t="str">
        <f t="shared" si="132"/>
        <v/>
      </c>
      <c r="CE1741" s="708" t="str">
        <f t="shared" si="133"/>
        <v/>
      </c>
      <c r="CF1741" s="708" t="str">
        <f t="shared" si="134"/>
        <v/>
      </c>
      <c r="CG1741" s="708" t="str">
        <f t="shared" si="135"/>
        <v/>
      </c>
      <c r="CH1741" s="708" t="str">
        <f t="shared" si="136"/>
        <v/>
      </c>
      <c r="CI1741" s="708" t="str">
        <f t="shared" si="137"/>
        <v/>
      </c>
      <c r="CJ1741" s="708" t="str">
        <f t="shared" si="138"/>
        <v/>
      </c>
      <c r="CK1741" s="708" t="str">
        <f t="shared" si="139"/>
        <v/>
      </c>
      <c r="CL1741" s="708" t="str">
        <f t="shared" si="140"/>
        <v/>
      </c>
      <c r="CM1741" s="708" t="str">
        <f t="shared" si="141"/>
        <v/>
      </c>
      <c r="CN1741" s="708" t="str">
        <f t="shared" si="142"/>
        <v/>
      </c>
      <c r="CO1741" s="708" t="str">
        <f t="shared" si="143"/>
        <v/>
      </c>
      <c r="CP1741" s="708" t="str">
        <f t="shared" si="144"/>
        <v/>
      </c>
      <c r="CQ1741" s="708" t="str">
        <f t="shared" si="145"/>
        <v/>
      </c>
      <c r="CR1741" s="708" t="str">
        <f t="shared" si="146"/>
        <v/>
      </c>
      <c r="CS1741" s="708" t="str">
        <f t="shared" si="147"/>
        <v/>
      </c>
      <c r="CT1741" s="708" t="str">
        <f t="shared" si="148"/>
        <v/>
      </c>
      <c r="CU1741" s="708" t="str">
        <f t="shared" si="149"/>
        <v/>
      </c>
      <c r="CV1741" s="708" t="str">
        <f t="shared" si="150"/>
        <v/>
      </c>
      <c r="CW1741" s="708" t="str">
        <f t="shared" si="151"/>
        <v/>
      </c>
      <c r="CX1741" s="708" t="str">
        <f t="shared" si="152"/>
        <v/>
      </c>
      <c r="CY1741" s="708" t="str">
        <f t="shared" si="153"/>
        <v/>
      </c>
      <c r="CZ1741" s="708" t="str">
        <f t="shared" si="154"/>
        <v/>
      </c>
      <c r="DA1741" s="708" t="str">
        <f t="shared" si="155"/>
        <v/>
      </c>
      <c r="DB1741" s="708" t="str">
        <f t="shared" si="156"/>
        <v/>
      </c>
      <c r="DC1741" s="708" t="str">
        <f t="shared" si="157"/>
        <v/>
      </c>
      <c r="DD1741" s="708" t="str">
        <f t="shared" si="158"/>
        <v/>
      </c>
      <c r="DE1741" s="708" t="str">
        <f t="shared" si="159"/>
        <v/>
      </c>
      <c r="DF1741" s="708" t="str">
        <f t="shared" si="160"/>
        <v/>
      </c>
      <c r="DG1741" s="708" t="str">
        <f t="shared" si="161"/>
        <v/>
      </c>
      <c r="DH1741" s="708" t="str">
        <f t="shared" si="162"/>
        <v/>
      </c>
      <c r="DI1741" s="708" t="str">
        <f t="shared" si="163"/>
        <v/>
      </c>
      <c r="DJ1741" s="708" t="str">
        <f t="shared" si="164"/>
        <v/>
      </c>
      <c r="DK1741" s="708" t="str">
        <f t="shared" si="165"/>
        <v/>
      </c>
      <c r="DL1741" s="708" t="str">
        <f t="shared" si="166"/>
        <v/>
      </c>
      <c r="DM1741" s="708" t="str">
        <f t="shared" si="167"/>
        <v/>
      </c>
      <c r="DN1741" s="708" t="str">
        <f t="shared" si="168"/>
        <v/>
      </c>
      <c r="DO1741" s="708" t="str">
        <f t="shared" si="169"/>
        <v/>
      </c>
      <c r="DP1741" s="708" t="str">
        <f t="shared" si="170"/>
        <v/>
      </c>
      <c r="DQ1741" s="708" t="str">
        <f t="shared" si="171"/>
        <v/>
      </c>
      <c r="DR1741" s="708" t="str">
        <f t="shared" si="172"/>
        <v/>
      </c>
      <c r="DS1741" s="708" t="str">
        <f t="shared" si="173"/>
        <v/>
      </c>
      <c r="DT1741" s="708" t="str">
        <f t="shared" si="174"/>
        <v/>
      </c>
      <c r="DU1741" s="708" t="str">
        <f t="shared" si="175"/>
        <v/>
      </c>
      <c r="DV1741" s="708" t="str">
        <f t="shared" si="176"/>
        <v/>
      </c>
      <c r="DW1741" s="708" t="str">
        <f t="shared" si="177"/>
        <v/>
      </c>
      <c r="DX1741" s="708" t="str">
        <f t="shared" si="178"/>
        <v/>
      </c>
      <c r="DY1741" s="708" t="str">
        <f t="shared" si="179"/>
        <v/>
      </c>
      <c r="DZ1741" s="708" t="str">
        <f t="shared" si="180"/>
        <v/>
      </c>
      <c r="EA1741" s="708" t="str">
        <f t="shared" si="181"/>
        <v/>
      </c>
      <c r="EB1741" s="708" t="str">
        <f t="shared" si="182"/>
        <v/>
      </c>
      <c r="EC1741" s="708" t="str">
        <f t="shared" si="183"/>
        <v/>
      </c>
      <c r="ED1741" s="708" t="str">
        <f t="shared" si="184"/>
        <v/>
      </c>
      <c r="EE1741" s="708" t="str">
        <f t="shared" si="185"/>
        <v/>
      </c>
      <c r="EF1741" s="708" t="str">
        <f t="shared" si="186"/>
        <v/>
      </c>
      <c r="EG1741" s="708" t="str">
        <f t="shared" si="187"/>
        <v/>
      </c>
      <c r="EH1741" s="708" t="str">
        <f t="shared" si="188"/>
        <v/>
      </c>
      <c r="EI1741" s="708" t="str">
        <f t="shared" si="189"/>
        <v/>
      </c>
      <c r="EJ1741" s="708" t="str">
        <f t="shared" si="190"/>
        <v/>
      </c>
      <c r="EK1741" s="708" t="str">
        <f t="shared" si="191"/>
        <v/>
      </c>
      <c r="EL1741" s="708" t="str">
        <f t="shared" si="192"/>
        <v/>
      </c>
      <c r="EM1741" s="708" t="str">
        <f t="shared" si="193"/>
        <v/>
      </c>
      <c r="EN1741" s="708" t="str">
        <f t="shared" si="194"/>
        <v/>
      </c>
      <c r="EO1741" s="708" t="str">
        <f t="shared" si="195"/>
        <v/>
      </c>
      <c r="EP1741" s="708" t="str">
        <f t="shared" si="196"/>
        <v/>
      </c>
      <c r="EQ1741" s="708" t="str">
        <f t="shared" si="197"/>
        <v/>
      </c>
      <c r="ER1741" s="708" t="str">
        <f t="shared" si="198"/>
        <v/>
      </c>
      <c r="ES1741" s="708" t="str">
        <f t="shared" si="199"/>
        <v/>
      </c>
      <c r="ET1741" s="708" t="str">
        <f t="shared" si="200"/>
        <v/>
      </c>
      <c r="EU1741" s="708" t="str">
        <f t="shared" si="201"/>
        <v/>
      </c>
      <c r="EV1741" s="708" t="str">
        <f t="shared" si="202"/>
        <v/>
      </c>
      <c r="EW1741" s="708" t="str">
        <f t="shared" si="203"/>
        <v/>
      </c>
      <c r="EX1741" s="708" t="str">
        <f t="shared" si="204"/>
        <v/>
      </c>
      <c r="EY1741" s="708" t="str">
        <f t="shared" si="205"/>
        <v/>
      </c>
      <c r="EZ1741" s="708" t="str">
        <f t="shared" si="206"/>
        <v/>
      </c>
      <c r="FA1741" s="708" t="str">
        <f t="shared" si="207"/>
        <v/>
      </c>
      <c r="FB1741" s="708" t="str">
        <f t="shared" si="208"/>
        <v/>
      </c>
      <c r="FC1741" s="708" t="str">
        <f t="shared" si="209"/>
        <v/>
      </c>
      <c r="FD1741" s="708" t="str">
        <f t="shared" si="210"/>
        <v/>
      </c>
      <c r="FE1741" s="708" t="str">
        <f t="shared" si="211"/>
        <v/>
      </c>
      <c r="FF1741" s="708" t="str">
        <f t="shared" si="212"/>
        <v/>
      </c>
      <c r="FG1741" s="708" t="str">
        <f t="shared" si="213"/>
        <v/>
      </c>
      <c r="FH1741" s="708" t="str">
        <f t="shared" si="214"/>
        <v/>
      </c>
      <c r="FI1741" s="708" t="str">
        <f t="shared" si="215"/>
        <v/>
      </c>
      <c r="FJ1741" s="708" t="str">
        <f t="shared" si="216"/>
        <v/>
      </c>
      <c r="FK1741" s="708" t="str">
        <f t="shared" si="217"/>
        <v/>
      </c>
      <c r="FL1741" s="708" t="str">
        <f t="shared" si="218"/>
        <v/>
      </c>
      <c r="FM1741" s="708" t="str">
        <f t="shared" si="219"/>
        <v/>
      </c>
      <c r="FN1741" s="708" t="str">
        <f t="shared" si="220"/>
        <v/>
      </c>
      <c r="FO1741" s="708" t="str">
        <f t="shared" si="221"/>
        <v/>
      </c>
      <c r="FP1741" s="708" t="str">
        <f t="shared" si="222"/>
        <v/>
      </c>
      <c r="FQ1741" s="708" t="str">
        <f t="shared" si="223"/>
        <v/>
      </c>
      <c r="FR1741" s="708" t="str">
        <f t="shared" si="224"/>
        <v/>
      </c>
      <c r="FS1741" s="708" t="str">
        <f t="shared" si="225"/>
        <v/>
      </c>
      <c r="FT1741" s="708" t="str">
        <f t="shared" si="226"/>
        <v/>
      </c>
      <c r="FU1741" s="708" t="str">
        <f t="shared" si="227"/>
        <v/>
      </c>
      <c r="FV1741" s="708" t="str">
        <f t="shared" si="228"/>
        <v/>
      </c>
      <c r="FW1741" s="708" t="str">
        <f t="shared" si="229"/>
        <v/>
      </c>
      <c r="FX1741" s="708" t="str">
        <f t="shared" si="230"/>
        <v/>
      </c>
      <c r="FY1741" s="708" t="str">
        <f t="shared" si="231"/>
        <v/>
      </c>
      <c r="FZ1741" s="708" t="str">
        <f t="shared" si="232"/>
        <v/>
      </c>
      <c r="GA1741" s="708" t="str">
        <f t="shared" si="233"/>
        <v/>
      </c>
      <c r="GB1741" s="708" t="str">
        <f t="shared" si="234"/>
        <v/>
      </c>
      <c r="GC1741" s="708" t="str">
        <f t="shared" si="235"/>
        <v/>
      </c>
      <c r="GD1741" s="708" t="str">
        <f t="shared" si="236"/>
        <v/>
      </c>
      <c r="GE1741" s="708" t="str">
        <f t="shared" si="237"/>
        <v/>
      </c>
      <c r="GF1741" s="708" t="str">
        <f t="shared" si="238"/>
        <v/>
      </c>
      <c r="GG1741" s="708" t="str">
        <f t="shared" si="239"/>
        <v/>
      </c>
      <c r="GH1741" s="708" t="str">
        <f t="shared" si="240"/>
        <v/>
      </c>
      <c r="GI1741" s="708" t="str">
        <f t="shared" si="241"/>
        <v/>
      </c>
      <c r="GJ1741" s="708" t="str">
        <f t="shared" si="242"/>
        <v/>
      </c>
      <c r="GK1741" s="708" t="str">
        <f t="shared" si="243"/>
        <v/>
      </c>
      <c r="GL1741" s="708" t="str">
        <f t="shared" si="244"/>
        <v/>
      </c>
      <c r="GM1741" s="708" t="str">
        <f t="shared" si="245"/>
        <v/>
      </c>
      <c r="GN1741" s="708" t="str">
        <f t="shared" si="246"/>
        <v/>
      </c>
      <c r="GO1741" s="708" t="str">
        <f t="shared" si="247"/>
        <v/>
      </c>
      <c r="GP1741" s="708" t="str">
        <f t="shared" si="248"/>
        <v/>
      </c>
      <c r="GQ1741" s="708" t="str">
        <f t="shared" si="249"/>
        <v/>
      </c>
      <c r="GR1741" s="708" t="str">
        <f t="shared" si="250"/>
        <v/>
      </c>
      <c r="GS1741" s="708" t="str">
        <f t="shared" si="251"/>
        <v/>
      </c>
      <c r="GT1741" s="708" t="str">
        <f t="shared" si="252"/>
        <v/>
      </c>
      <c r="GU1741" s="708" t="str">
        <f t="shared" si="253"/>
        <v/>
      </c>
      <c r="GV1741" s="708" t="str">
        <f t="shared" si="254"/>
        <v/>
      </c>
      <c r="GW1741" s="708" t="str">
        <f t="shared" si="255"/>
        <v/>
      </c>
      <c r="GX1741" s="708" t="str">
        <f t="shared" si="256"/>
        <v/>
      </c>
      <c r="GY1741" s="708" t="str">
        <f t="shared" si="257"/>
        <v/>
      </c>
      <c r="GZ1741" s="708" t="str">
        <f t="shared" si="258"/>
        <v/>
      </c>
      <c r="HA1741" s="708" t="str">
        <f t="shared" si="259"/>
        <v/>
      </c>
      <c r="HB1741" s="708" t="str">
        <f t="shared" si="260"/>
        <v/>
      </c>
      <c r="HC1741" s="708" t="str">
        <f t="shared" si="261"/>
        <v/>
      </c>
      <c r="HD1741" s="708" t="str">
        <f t="shared" si="262"/>
        <v/>
      </c>
      <c r="HE1741" s="708" t="str">
        <f t="shared" si="263"/>
        <v/>
      </c>
      <c r="HF1741" s="708" t="str">
        <f t="shared" si="264"/>
        <v/>
      </c>
      <c r="HG1741" s="708" t="str">
        <f t="shared" si="265"/>
        <v/>
      </c>
      <c r="HH1741" s="708" t="str">
        <f t="shared" si="266"/>
        <v/>
      </c>
      <c r="HI1741" s="708" t="str">
        <f t="shared" si="267"/>
        <v/>
      </c>
      <c r="HJ1741" s="708" t="str">
        <f t="shared" si="268"/>
        <v/>
      </c>
      <c r="HK1741" s="708" t="str">
        <f t="shared" si="269"/>
        <v/>
      </c>
    </row>
    <row r="1742" spans="1:219" ht="13.15" customHeight="1">
      <c r="A1742" s="708" t="str">
        <f t="shared" si="270"/>
        <v/>
      </c>
      <c r="B1742" s="708">
        <f>'Part VI-Revenues &amp; Expenses'!B27</f>
        <v>0</v>
      </c>
      <c r="C1742" s="708">
        <f>'Part VI-Revenues &amp; Expenses'!C27</f>
        <v>0</v>
      </c>
      <c r="D1742" s="708">
        <f>'Part VI-Revenues &amp; Expenses'!D27</f>
        <v>0</v>
      </c>
      <c r="E1742" s="708">
        <f>'Part VI-Revenues &amp; Expenses'!E27</f>
        <v>0</v>
      </c>
      <c r="F1742" s="708">
        <f>'Part VI-Revenues &amp; Expenses'!F27</f>
        <v>0</v>
      </c>
      <c r="G1742" s="708">
        <f>'Part VI-Revenues &amp; Expenses'!G27</f>
        <v>0</v>
      </c>
      <c r="H1742" s="708">
        <f>'Part VI-Revenues &amp; Expenses'!H27</f>
        <v>0</v>
      </c>
      <c r="I1742" s="708">
        <f>'Part VI-Revenues &amp; Expenses'!I27</f>
        <v>0</v>
      </c>
      <c r="J1742" s="708">
        <f>'Part VI-Revenues &amp; Expenses'!J27</f>
        <v>0</v>
      </c>
      <c r="K1742" s="708">
        <f t="shared" si="271"/>
        <v>0</v>
      </c>
      <c r="L1742" s="708">
        <f t="shared" si="99"/>
        <v>0</v>
      </c>
      <c r="M1742" s="708">
        <f>'Part VI-Revenues &amp; Expenses'!M27</f>
        <v>0</v>
      </c>
      <c r="N1742" s="708">
        <f>'Part VI-Revenues &amp; Expenses'!N27</f>
        <v>0</v>
      </c>
      <c r="O1742" s="708">
        <f>'Part VI-Revenues &amp; Expenses'!O27</f>
        <v>0</v>
      </c>
      <c r="P1742" s="708" t="str">
        <f>'Part VI-Revenues &amp; Expenses'!P27</f>
        <v/>
      </c>
      <c r="Q1742" s="708" t="str">
        <f>'Part VI-Revenues &amp; Expenses'!Q27</f>
        <v/>
      </c>
      <c r="R1742" s="708">
        <f>'Part VI-Revenues &amp; Expenses'!R27</f>
        <v>0</v>
      </c>
      <c r="T1742" s="708" t="str">
        <f t="shared" si="100"/>
        <v/>
      </c>
      <c r="U1742" s="708" t="str">
        <f t="shared" si="101"/>
        <v/>
      </c>
      <c r="V1742" s="708" t="str">
        <f t="shared" si="102"/>
        <v/>
      </c>
      <c r="W1742" s="708" t="str">
        <f t="shared" si="103"/>
        <v/>
      </c>
      <c r="X1742" s="708" t="str">
        <f t="shared" si="104"/>
        <v/>
      </c>
      <c r="Y1742" s="708" t="str">
        <f t="shared" si="105"/>
        <v/>
      </c>
      <c r="Z1742" s="708" t="str">
        <f t="shared" si="106"/>
        <v/>
      </c>
      <c r="AA1742" s="708" t="str">
        <f t="shared" si="107"/>
        <v/>
      </c>
      <c r="AB1742" s="708" t="str">
        <f t="shared" si="108"/>
        <v/>
      </c>
      <c r="AC1742" s="708" t="str">
        <f t="shared" si="109"/>
        <v/>
      </c>
      <c r="AD1742" s="708" t="str">
        <f t="shared" si="110"/>
        <v/>
      </c>
      <c r="AE1742" s="708" t="str">
        <f t="shared" si="111"/>
        <v/>
      </c>
      <c r="AF1742" s="708" t="str">
        <f t="shared" si="112"/>
        <v/>
      </c>
      <c r="AG1742" s="708" t="str">
        <f t="shared" si="113"/>
        <v/>
      </c>
      <c r="AH1742" s="708" t="str">
        <f t="shared" si="114"/>
        <v/>
      </c>
      <c r="AI1742" s="708" t="str">
        <f t="shared" si="115"/>
        <v/>
      </c>
      <c r="AJ1742" s="708" t="str">
        <f t="shared" si="116"/>
        <v/>
      </c>
      <c r="AK1742" s="708" t="str">
        <f t="shared" si="117"/>
        <v/>
      </c>
      <c r="AL1742" s="708" t="str">
        <f t="shared" si="118"/>
        <v/>
      </c>
      <c r="AM1742" s="708" t="str">
        <f t="shared" si="119"/>
        <v/>
      </c>
      <c r="AN1742" s="708" t="str">
        <f t="shared" si="272"/>
        <v/>
      </c>
      <c r="AO1742" s="708" t="str">
        <f t="shared" si="273"/>
        <v/>
      </c>
      <c r="AP1742" s="708" t="str">
        <f t="shared" si="274"/>
        <v/>
      </c>
      <c r="AQ1742" s="708" t="str">
        <f t="shared" si="275"/>
        <v/>
      </c>
      <c r="AR1742" s="708" t="str">
        <f t="shared" si="276"/>
        <v/>
      </c>
      <c r="AS1742" s="708" t="str">
        <f t="shared" si="277"/>
        <v/>
      </c>
      <c r="AT1742" s="708" t="str">
        <f t="shared" si="278"/>
        <v/>
      </c>
      <c r="AU1742" s="708" t="str">
        <f t="shared" si="279"/>
        <v/>
      </c>
      <c r="AV1742" s="708" t="str">
        <f t="shared" si="280"/>
        <v/>
      </c>
      <c r="AW1742" s="708" t="str">
        <f t="shared" si="281"/>
        <v/>
      </c>
      <c r="AX1742" s="708" t="str">
        <f t="shared" si="282"/>
        <v/>
      </c>
      <c r="AY1742" s="708" t="str">
        <f t="shared" si="283"/>
        <v/>
      </c>
      <c r="AZ1742" s="708" t="str">
        <f t="shared" si="284"/>
        <v/>
      </c>
      <c r="BA1742" s="708" t="str">
        <f t="shared" si="285"/>
        <v/>
      </c>
      <c r="BB1742" s="708" t="str">
        <f t="shared" si="286"/>
        <v/>
      </c>
      <c r="BC1742" s="708" t="str">
        <f t="shared" si="287"/>
        <v/>
      </c>
      <c r="BD1742" s="708" t="str">
        <f t="shared" si="288"/>
        <v/>
      </c>
      <c r="BE1742" s="708" t="str">
        <f t="shared" si="289"/>
        <v/>
      </c>
      <c r="BF1742" s="708" t="str">
        <f t="shared" si="290"/>
        <v/>
      </c>
      <c r="BG1742" s="708" t="str">
        <f t="shared" si="291"/>
        <v/>
      </c>
      <c r="BH1742" s="708" t="str">
        <f t="shared" si="292"/>
        <v/>
      </c>
      <c r="BI1742" s="708" t="str">
        <f t="shared" si="293"/>
        <v/>
      </c>
      <c r="BJ1742" s="708" t="str">
        <f t="shared" si="294"/>
        <v/>
      </c>
      <c r="BK1742" s="708" t="str">
        <f t="shared" si="295"/>
        <v/>
      </c>
      <c r="BL1742" s="708" t="str">
        <f t="shared" si="296"/>
        <v/>
      </c>
      <c r="BM1742" s="708" t="str">
        <f t="shared" si="297"/>
        <v/>
      </c>
      <c r="BN1742" s="708" t="str">
        <f t="shared" si="298"/>
        <v/>
      </c>
      <c r="BO1742" s="708" t="str">
        <f t="shared" si="299"/>
        <v/>
      </c>
      <c r="BP1742" s="708" t="str">
        <f t="shared" si="300"/>
        <v/>
      </c>
      <c r="BQ1742" s="708" t="str">
        <f t="shared" si="301"/>
        <v/>
      </c>
      <c r="BR1742" s="708" t="str">
        <f t="shared" si="120"/>
        <v/>
      </c>
      <c r="BS1742" s="708" t="str">
        <f t="shared" si="121"/>
        <v/>
      </c>
      <c r="BT1742" s="708" t="str">
        <f t="shared" si="122"/>
        <v/>
      </c>
      <c r="BU1742" s="708" t="str">
        <f t="shared" si="123"/>
        <v/>
      </c>
      <c r="BV1742" s="708" t="str">
        <f t="shared" si="124"/>
        <v/>
      </c>
      <c r="BW1742" s="708" t="str">
        <f t="shared" si="125"/>
        <v/>
      </c>
      <c r="BX1742" s="708" t="str">
        <f t="shared" si="126"/>
        <v/>
      </c>
      <c r="BY1742" s="708" t="str">
        <f t="shared" si="127"/>
        <v/>
      </c>
      <c r="BZ1742" s="708" t="str">
        <f t="shared" si="128"/>
        <v/>
      </c>
      <c r="CA1742" s="708" t="str">
        <f t="shared" si="129"/>
        <v/>
      </c>
      <c r="CB1742" s="708" t="str">
        <f t="shared" si="130"/>
        <v/>
      </c>
      <c r="CC1742" s="708" t="str">
        <f t="shared" si="131"/>
        <v/>
      </c>
      <c r="CD1742" s="708" t="str">
        <f t="shared" si="132"/>
        <v/>
      </c>
      <c r="CE1742" s="708" t="str">
        <f t="shared" si="133"/>
        <v/>
      </c>
      <c r="CF1742" s="708" t="str">
        <f t="shared" si="134"/>
        <v/>
      </c>
      <c r="CG1742" s="708" t="str">
        <f t="shared" si="135"/>
        <v/>
      </c>
      <c r="CH1742" s="708" t="str">
        <f t="shared" si="136"/>
        <v/>
      </c>
      <c r="CI1742" s="708" t="str">
        <f t="shared" si="137"/>
        <v/>
      </c>
      <c r="CJ1742" s="708" t="str">
        <f t="shared" si="138"/>
        <v/>
      </c>
      <c r="CK1742" s="708" t="str">
        <f t="shared" si="139"/>
        <v/>
      </c>
      <c r="CL1742" s="708" t="str">
        <f t="shared" si="140"/>
        <v/>
      </c>
      <c r="CM1742" s="708" t="str">
        <f t="shared" si="141"/>
        <v/>
      </c>
      <c r="CN1742" s="708" t="str">
        <f t="shared" si="142"/>
        <v/>
      </c>
      <c r="CO1742" s="708" t="str">
        <f t="shared" si="143"/>
        <v/>
      </c>
      <c r="CP1742" s="708" t="str">
        <f t="shared" si="144"/>
        <v/>
      </c>
      <c r="CQ1742" s="708" t="str">
        <f t="shared" si="145"/>
        <v/>
      </c>
      <c r="CR1742" s="708" t="str">
        <f t="shared" si="146"/>
        <v/>
      </c>
      <c r="CS1742" s="708" t="str">
        <f t="shared" si="147"/>
        <v/>
      </c>
      <c r="CT1742" s="708" t="str">
        <f t="shared" si="148"/>
        <v/>
      </c>
      <c r="CU1742" s="708" t="str">
        <f t="shared" si="149"/>
        <v/>
      </c>
      <c r="CV1742" s="708" t="str">
        <f t="shared" si="150"/>
        <v/>
      </c>
      <c r="CW1742" s="708" t="str">
        <f t="shared" si="151"/>
        <v/>
      </c>
      <c r="CX1742" s="708" t="str">
        <f t="shared" si="152"/>
        <v/>
      </c>
      <c r="CY1742" s="708" t="str">
        <f t="shared" si="153"/>
        <v/>
      </c>
      <c r="CZ1742" s="708" t="str">
        <f t="shared" si="154"/>
        <v/>
      </c>
      <c r="DA1742" s="708" t="str">
        <f t="shared" si="155"/>
        <v/>
      </c>
      <c r="DB1742" s="708" t="str">
        <f t="shared" si="156"/>
        <v/>
      </c>
      <c r="DC1742" s="708" t="str">
        <f t="shared" si="157"/>
        <v/>
      </c>
      <c r="DD1742" s="708" t="str">
        <f t="shared" si="158"/>
        <v/>
      </c>
      <c r="DE1742" s="708" t="str">
        <f t="shared" si="159"/>
        <v/>
      </c>
      <c r="DF1742" s="708" t="str">
        <f t="shared" si="160"/>
        <v/>
      </c>
      <c r="DG1742" s="708" t="str">
        <f t="shared" si="161"/>
        <v/>
      </c>
      <c r="DH1742" s="708" t="str">
        <f t="shared" si="162"/>
        <v/>
      </c>
      <c r="DI1742" s="708" t="str">
        <f t="shared" si="163"/>
        <v/>
      </c>
      <c r="DJ1742" s="708" t="str">
        <f t="shared" si="164"/>
        <v/>
      </c>
      <c r="DK1742" s="708" t="str">
        <f t="shared" si="165"/>
        <v/>
      </c>
      <c r="DL1742" s="708" t="str">
        <f t="shared" si="166"/>
        <v/>
      </c>
      <c r="DM1742" s="708" t="str">
        <f t="shared" si="167"/>
        <v/>
      </c>
      <c r="DN1742" s="708" t="str">
        <f t="shared" si="168"/>
        <v/>
      </c>
      <c r="DO1742" s="708" t="str">
        <f t="shared" si="169"/>
        <v/>
      </c>
      <c r="DP1742" s="708" t="str">
        <f t="shared" si="170"/>
        <v/>
      </c>
      <c r="DQ1742" s="708" t="str">
        <f t="shared" si="171"/>
        <v/>
      </c>
      <c r="DR1742" s="708" t="str">
        <f t="shared" si="172"/>
        <v/>
      </c>
      <c r="DS1742" s="708" t="str">
        <f t="shared" si="173"/>
        <v/>
      </c>
      <c r="DT1742" s="708" t="str">
        <f t="shared" si="174"/>
        <v/>
      </c>
      <c r="DU1742" s="708" t="str">
        <f t="shared" si="175"/>
        <v/>
      </c>
      <c r="DV1742" s="708" t="str">
        <f t="shared" si="176"/>
        <v/>
      </c>
      <c r="DW1742" s="708" t="str">
        <f t="shared" si="177"/>
        <v/>
      </c>
      <c r="DX1742" s="708" t="str">
        <f t="shared" si="178"/>
        <v/>
      </c>
      <c r="DY1742" s="708" t="str">
        <f t="shared" si="179"/>
        <v/>
      </c>
      <c r="DZ1742" s="708" t="str">
        <f t="shared" si="180"/>
        <v/>
      </c>
      <c r="EA1742" s="708" t="str">
        <f t="shared" si="181"/>
        <v/>
      </c>
      <c r="EB1742" s="708" t="str">
        <f t="shared" si="182"/>
        <v/>
      </c>
      <c r="EC1742" s="708" t="str">
        <f t="shared" si="183"/>
        <v/>
      </c>
      <c r="ED1742" s="708" t="str">
        <f t="shared" si="184"/>
        <v/>
      </c>
      <c r="EE1742" s="708" t="str">
        <f t="shared" si="185"/>
        <v/>
      </c>
      <c r="EF1742" s="708" t="str">
        <f t="shared" si="186"/>
        <v/>
      </c>
      <c r="EG1742" s="708" t="str">
        <f t="shared" si="187"/>
        <v/>
      </c>
      <c r="EH1742" s="708" t="str">
        <f t="shared" si="188"/>
        <v/>
      </c>
      <c r="EI1742" s="708" t="str">
        <f t="shared" si="189"/>
        <v/>
      </c>
      <c r="EJ1742" s="708" t="str">
        <f t="shared" si="190"/>
        <v/>
      </c>
      <c r="EK1742" s="708" t="str">
        <f t="shared" si="191"/>
        <v/>
      </c>
      <c r="EL1742" s="708" t="str">
        <f t="shared" si="192"/>
        <v/>
      </c>
      <c r="EM1742" s="708" t="str">
        <f t="shared" si="193"/>
        <v/>
      </c>
      <c r="EN1742" s="708" t="str">
        <f t="shared" si="194"/>
        <v/>
      </c>
      <c r="EO1742" s="708" t="str">
        <f t="shared" si="195"/>
        <v/>
      </c>
      <c r="EP1742" s="708" t="str">
        <f t="shared" si="196"/>
        <v/>
      </c>
      <c r="EQ1742" s="708" t="str">
        <f t="shared" si="197"/>
        <v/>
      </c>
      <c r="ER1742" s="708" t="str">
        <f t="shared" si="198"/>
        <v/>
      </c>
      <c r="ES1742" s="708" t="str">
        <f t="shared" si="199"/>
        <v/>
      </c>
      <c r="ET1742" s="708" t="str">
        <f t="shared" si="200"/>
        <v/>
      </c>
      <c r="EU1742" s="708" t="str">
        <f t="shared" si="201"/>
        <v/>
      </c>
      <c r="EV1742" s="708" t="str">
        <f t="shared" si="202"/>
        <v/>
      </c>
      <c r="EW1742" s="708" t="str">
        <f t="shared" si="203"/>
        <v/>
      </c>
      <c r="EX1742" s="708" t="str">
        <f t="shared" si="204"/>
        <v/>
      </c>
      <c r="EY1742" s="708" t="str">
        <f t="shared" si="205"/>
        <v/>
      </c>
      <c r="EZ1742" s="708" t="str">
        <f t="shared" si="206"/>
        <v/>
      </c>
      <c r="FA1742" s="708" t="str">
        <f t="shared" si="207"/>
        <v/>
      </c>
      <c r="FB1742" s="708" t="str">
        <f t="shared" si="208"/>
        <v/>
      </c>
      <c r="FC1742" s="708" t="str">
        <f t="shared" si="209"/>
        <v/>
      </c>
      <c r="FD1742" s="708" t="str">
        <f t="shared" si="210"/>
        <v/>
      </c>
      <c r="FE1742" s="708" t="str">
        <f t="shared" si="211"/>
        <v/>
      </c>
      <c r="FF1742" s="708" t="str">
        <f t="shared" si="212"/>
        <v/>
      </c>
      <c r="FG1742" s="708" t="str">
        <f t="shared" si="213"/>
        <v/>
      </c>
      <c r="FH1742" s="708" t="str">
        <f t="shared" si="214"/>
        <v/>
      </c>
      <c r="FI1742" s="708" t="str">
        <f t="shared" si="215"/>
        <v/>
      </c>
      <c r="FJ1742" s="708" t="str">
        <f t="shared" si="216"/>
        <v/>
      </c>
      <c r="FK1742" s="708" t="str">
        <f t="shared" si="217"/>
        <v/>
      </c>
      <c r="FL1742" s="708" t="str">
        <f t="shared" si="218"/>
        <v/>
      </c>
      <c r="FM1742" s="708" t="str">
        <f t="shared" si="219"/>
        <v/>
      </c>
      <c r="FN1742" s="708" t="str">
        <f t="shared" si="220"/>
        <v/>
      </c>
      <c r="FO1742" s="708" t="str">
        <f t="shared" si="221"/>
        <v/>
      </c>
      <c r="FP1742" s="708" t="str">
        <f t="shared" si="222"/>
        <v/>
      </c>
      <c r="FQ1742" s="708" t="str">
        <f t="shared" si="223"/>
        <v/>
      </c>
      <c r="FR1742" s="708" t="str">
        <f t="shared" si="224"/>
        <v/>
      </c>
      <c r="FS1742" s="708" t="str">
        <f t="shared" si="225"/>
        <v/>
      </c>
      <c r="FT1742" s="708" t="str">
        <f t="shared" si="226"/>
        <v/>
      </c>
      <c r="FU1742" s="708" t="str">
        <f t="shared" si="227"/>
        <v/>
      </c>
      <c r="FV1742" s="708" t="str">
        <f t="shared" si="228"/>
        <v/>
      </c>
      <c r="FW1742" s="708" t="str">
        <f t="shared" si="229"/>
        <v/>
      </c>
      <c r="FX1742" s="708" t="str">
        <f t="shared" si="230"/>
        <v/>
      </c>
      <c r="FY1742" s="708" t="str">
        <f t="shared" si="231"/>
        <v/>
      </c>
      <c r="FZ1742" s="708" t="str">
        <f t="shared" si="232"/>
        <v/>
      </c>
      <c r="GA1742" s="708" t="str">
        <f t="shared" si="233"/>
        <v/>
      </c>
      <c r="GB1742" s="708" t="str">
        <f t="shared" si="234"/>
        <v/>
      </c>
      <c r="GC1742" s="708" t="str">
        <f t="shared" si="235"/>
        <v/>
      </c>
      <c r="GD1742" s="708" t="str">
        <f t="shared" si="236"/>
        <v/>
      </c>
      <c r="GE1742" s="708" t="str">
        <f t="shared" si="237"/>
        <v/>
      </c>
      <c r="GF1742" s="708" t="str">
        <f t="shared" si="238"/>
        <v/>
      </c>
      <c r="GG1742" s="708" t="str">
        <f t="shared" si="239"/>
        <v/>
      </c>
      <c r="GH1742" s="708" t="str">
        <f t="shared" si="240"/>
        <v/>
      </c>
      <c r="GI1742" s="708" t="str">
        <f t="shared" si="241"/>
        <v/>
      </c>
      <c r="GJ1742" s="708" t="str">
        <f t="shared" si="242"/>
        <v/>
      </c>
      <c r="GK1742" s="708" t="str">
        <f t="shared" si="243"/>
        <v/>
      </c>
      <c r="GL1742" s="708" t="str">
        <f t="shared" si="244"/>
        <v/>
      </c>
      <c r="GM1742" s="708" t="str">
        <f t="shared" si="245"/>
        <v/>
      </c>
      <c r="GN1742" s="708" t="str">
        <f t="shared" si="246"/>
        <v/>
      </c>
      <c r="GO1742" s="708" t="str">
        <f t="shared" si="247"/>
        <v/>
      </c>
      <c r="GP1742" s="708" t="str">
        <f t="shared" si="248"/>
        <v/>
      </c>
      <c r="GQ1742" s="708" t="str">
        <f t="shared" si="249"/>
        <v/>
      </c>
      <c r="GR1742" s="708" t="str">
        <f t="shared" si="250"/>
        <v/>
      </c>
      <c r="GS1742" s="708" t="str">
        <f t="shared" si="251"/>
        <v/>
      </c>
      <c r="GT1742" s="708" t="str">
        <f t="shared" si="252"/>
        <v/>
      </c>
      <c r="GU1742" s="708" t="str">
        <f t="shared" si="253"/>
        <v/>
      </c>
      <c r="GV1742" s="708" t="str">
        <f t="shared" si="254"/>
        <v/>
      </c>
      <c r="GW1742" s="708" t="str">
        <f t="shared" si="255"/>
        <v/>
      </c>
      <c r="GX1742" s="708" t="str">
        <f t="shared" si="256"/>
        <v/>
      </c>
      <c r="GY1742" s="708" t="str">
        <f t="shared" si="257"/>
        <v/>
      </c>
      <c r="GZ1742" s="708" t="str">
        <f t="shared" si="258"/>
        <v/>
      </c>
      <c r="HA1742" s="708" t="str">
        <f t="shared" si="259"/>
        <v/>
      </c>
      <c r="HB1742" s="708" t="str">
        <f t="shared" si="260"/>
        <v/>
      </c>
      <c r="HC1742" s="708" t="str">
        <f t="shared" si="261"/>
        <v/>
      </c>
      <c r="HD1742" s="708" t="str">
        <f t="shared" si="262"/>
        <v/>
      </c>
      <c r="HE1742" s="708" t="str">
        <f t="shared" si="263"/>
        <v/>
      </c>
      <c r="HF1742" s="708" t="str">
        <f t="shared" si="264"/>
        <v/>
      </c>
      <c r="HG1742" s="708" t="str">
        <f t="shared" si="265"/>
        <v/>
      </c>
      <c r="HH1742" s="708" t="str">
        <f t="shared" si="266"/>
        <v/>
      </c>
      <c r="HI1742" s="708" t="str">
        <f t="shared" si="267"/>
        <v/>
      </c>
      <c r="HJ1742" s="708" t="str">
        <f t="shared" si="268"/>
        <v/>
      </c>
      <c r="HK1742" s="708" t="str">
        <f t="shared" si="269"/>
        <v/>
      </c>
    </row>
    <row r="1743" spans="1:219" ht="13.15" customHeight="1">
      <c r="A1743" s="708" t="str">
        <f t="shared" si="270"/>
        <v/>
      </c>
      <c r="B1743" s="708">
        <f>'Part VI-Revenues &amp; Expenses'!B28</f>
        <v>0</v>
      </c>
      <c r="C1743" s="708">
        <f>'Part VI-Revenues &amp; Expenses'!C28</f>
        <v>0</v>
      </c>
      <c r="D1743" s="708">
        <f>'Part VI-Revenues &amp; Expenses'!D28</f>
        <v>0</v>
      </c>
      <c r="E1743" s="708">
        <f>'Part VI-Revenues &amp; Expenses'!E28</f>
        <v>0</v>
      </c>
      <c r="F1743" s="708">
        <f>'Part VI-Revenues &amp; Expenses'!F28</f>
        <v>0</v>
      </c>
      <c r="G1743" s="708">
        <f>'Part VI-Revenues &amp; Expenses'!G28</f>
        <v>0</v>
      </c>
      <c r="H1743" s="708">
        <f>'Part VI-Revenues &amp; Expenses'!H28</f>
        <v>0</v>
      </c>
      <c r="I1743" s="708">
        <f>'Part VI-Revenues &amp; Expenses'!I28</f>
        <v>0</v>
      </c>
      <c r="J1743" s="708">
        <f>'Part VI-Revenues &amp; Expenses'!J28</f>
        <v>0</v>
      </c>
      <c r="K1743" s="708">
        <f>MAX(0,H1743-I1743)</f>
        <v>0</v>
      </c>
      <c r="L1743" s="708">
        <f t="shared" si="99"/>
        <v>0</v>
      </c>
      <c r="M1743" s="708">
        <f>'Part VI-Revenues &amp; Expenses'!M28</f>
        <v>0</v>
      </c>
      <c r="N1743" s="708">
        <f>'Part VI-Revenues &amp; Expenses'!N28</f>
        <v>0</v>
      </c>
      <c r="O1743" s="708">
        <f>'Part VI-Revenues &amp; Expenses'!O28</f>
        <v>0</v>
      </c>
      <c r="P1743" s="708" t="str">
        <f>'Part VI-Revenues &amp; Expenses'!P28</f>
        <v/>
      </c>
      <c r="Q1743" s="708" t="str">
        <f>'Part VI-Revenues &amp; Expenses'!Q28</f>
        <v/>
      </c>
      <c r="R1743" s="708">
        <f>'Part VI-Revenues &amp; Expenses'!R28</f>
        <v>0</v>
      </c>
      <c r="T1743" s="708" t="str">
        <f t="shared" si="100"/>
        <v/>
      </c>
      <c r="U1743" s="708" t="str">
        <f t="shared" si="101"/>
        <v/>
      </c>
      <c r="V1743" s="708" t="str">
        <f t="shared" si="102"/>
        <v/>
      </c>
      <c r="W1743" s="708" t="str">
        <f t="shared" si="103"/>
        <v/>
      </c>
      <c r="X1743" s="708" t="str">
        <f t="shared" si="104"/>
        <v/>
      </c>
      <c r="Y1743" s="708" t="str">
        <f t="shared" si="105"/>
        <v/>
      </c>
      <c r="Z1743" s="708" t="str">
        <f t="shared" si="106"/>
        <v/>
      </c>
      <c r="AA1743" s="708" t="str">
        <f t="shared" si="107"/>
        <v/>
      </c>
      <c r="AB1743" s="708" t="str">
        <f t="shared" si="108"/>
        <v/>
      </c>
      <c r="AC1743" s="708" t="str">
        <f t="shared" si="109"/>
        <v/>
      </c>
      <c r="AD1743" s="708" t="str">
        <f t="shared" si="110"/>
        <v/>
      </c>
      <c r="AE1743" s="708" t="str">
        <f t="shared" si="111"/>
        <v/>
      </c>
      <c r="AF1743" s="708" t="str">
        <f t="shared" si="112"/>
        <v/>
      </c>
      <c r="AG1743" s="708" t="str">
        <f t="shared" si="113"/>
        <v/>
      </c>
      <c r="AH1743" s="708" t="str">
        <f t="shared" si="114"/>
        <v/>
      </c>
      <c r="AI1743" s="708" t="str">
        <f t="shared" si="115"/>
        <v/>
      </c>
      <c r="AJ1743" s="708" t="str">
        <f t="shared" si="116"/>
        <v/>
      </c>
      <c r="AK1743" s="708" t="str">
        <f t="shared" si="117"/>
        <v/>
      </c>
      <c r="AL1743" s="708" t="str">
        <f t="shared" si="118"/>
        <v/>
      </c>
      <c r="AM1743" s="708" t="str">
        <f t="shared" si="119"/>
        <v/>
      </c>
      <c r="AN1743" s="708" t="str">
        <f t="shared" si="272"/>
        <v/>
      </c>
      <c r="AO1743" s="708" t="str">
        <f t="shared" si="273"/>
        <v/>
      </c>
      <c r="AP1743" s="708" t="str">
        <f t="shared" si="274"/>
        <v/>
      </c>
      <c r="AQ1743" s="708" t="str">
        <f t="shared" si="275"/>
        <v/>
      </c>
      <c r="AR1743" s="708" t="str">
        <f t="shared" si="276"/>
        <v/>
      </c>
      <c r="AS1743" s="708" t="str">
        <f t="shared" si="277"/>
        <v/>
      </c>
      <c r="AT1743" s="708" t="str">
        <f t="shared" si="278"/>
        <v/>
      </c>
      <c r="AU1743" s="708" t="str">
        <f t="shared" si="279"/>
        <v/>
      </c>
      <c r="AV1743" s="708" t="str">
        <f t="shared" si="280"/>
        <v/>
      </c>
      <c r="AW1743" s="708" t="str">
        <f t="shared" si="281"/>
        <v/>
      </c>
      <c r="AX1743" s="708" t="str">
        <f t="shared" si="282"/>
        <v/>
      </c>
      <c r="AY1743" s="708" t="str">
        <f t="shared" si="283"/>
        <v/>
      </c>
      <c r="AZ1743" s="708" t="str">
        <f t="shared" si="284"/>
        <v/>
      </c>
      <c r="BA1743" s="708" t="str">
        <f t="shared" si="285"/>
        <v/>
      </c>
      <c r="BB1743" s="708" t="str">
        <f t="shared" si="286"/>
        <v/>
      </c>
      <c r="BC1743" s="708" t="str">
        <f t="shared" si="287"/>
        <v/>
      </c>
      <c r="BD1743" s="708" t="str">
        <f t="shared" si="288"/>
        <v/>
      </c>
      <c r="BE1743" s="708" t="str">
        <f t="shared" si="289"/>
        <v/>
      </c>
      <c r="BF1743" s="708" t="str">
        <f t="shared" si="290"/>
        <v/>
      </c>
      <c r="BG1743" s="708" t="str">
        <f t="shared" si="291"/>
        <v/>
      </c>
      <c r="BH1743" s="708" t="str">
        <f t="shared" si="292"/>
        <v/>
      </c>
      <c r="BI1743" s="708" t="str">
        <f t="shared" si="293"/>
        <v/>
      </c>
      <c r="BJ1743" s="708" t="str">
        <f t="shared" si="294"/>
        <v/>
      </c>
      <c r="BK1743" s="708" t="str">
        <f t="shared" si="295"/>
        <v/>
      </c>
      <c r="BL1743" s="708" t="str">
        <f t="shared" si="296"/>
        <v/>
      </c>
      <c r="BM1743" s="708" t="str">
        <f t="shared" si="297"/>
        <v/>
      </c>
      <c r="BN1743" s="708" t="str">
        <f t="shared" si="298"/>
        <v/>
      </c>
      <c r="BO1743" s="708" t="str">
        <f t="shared" si="299"/>
        <v/>
      </c>
      <c r="BP1743" s="708" t="str">
        <f t="shared" si="300"/>
        <v/>
      </c>
      <c r="BQ1743" s="708" t="str">
        <f t="shared" si="301"/>
        <v/>
      </c>
      <c r="BR1743" s="708" t="str">
        <f t="shared" si="120"/>
        <v/>
      </c>
      <c r="BS1743" s="708" t="str">
        <f t="shared" si="121"/>
        <v/>
      </c>
      <c r="BT1743" s="708" t="str">
        <f t="shared" si="122"/>
        <v/>
      </c>
      <c r="BU1743" s="708" t="str">
        <f t="shared" si="123"/>
        <v/>
      </c>
      <c r="BV1743" s="708" t="str">
        <f t="shared" si="124"/>
        <v/>
      </c>
      <c r="BW1743" s="708" t="str">
        <f t="shared" si="125"/>
        <v/>
      </c>
      <c r="BX1743" s="708" t="str">
        <f t="shared" si="126"/>
        <v/>
      </c>
      <c r="BY1743" s="708" t="str">
        <f t="shared" si="127"/>
        <v/>
      </c>
      <c r="BZ1743" s="708" t="str">
        <f t="shared" si="128"/>
        <v/>
      </c>
      <c r="CA1743" s="708" t="str">
        <f t="shared" si="129"/>
        <v/>
      </c>
      <c r="CB1743" s="708" t="str">
        <f t="shared" si="130"/>
        <v/>
      </c>
      <c r="CC1743" s="708" t="str">
        <f t="shared" si="131"/>
        <v/>
      </c>
      <c r="CD1743" s="708" t="str">
        <f t="shared" si="132"/>
        <v/>
      </c>
      <c r="CE1743" s="708" t="str">
        <f t="shared" si="133"/>
        <v/>
      </c>
      <c r="CF1743" s="708" t="str">
        <f t="shared" si="134"/>
        <v/>
      </c>
      <c r="CG1743" s="708" t="str">
        <f t="shared" si="135"/>
        <v/>
      </c>
      <c r="CH1743" s="708" t="str">
        <f t="shared" si="136"/>
        <v/>
      </c>
      <c r="CI1743" s="708" t="str">
        <f t="shared" si="137"/>
        <v/>
      </c>
      <c r="CJ1743" s="708" t="str">
        <f t="shared" si="138"/>
        <v/>
      </c>
      <c r="CK1743" s="708" t="str">
        <f t="shared" si="139"/>
        <v/>
      </c>
      <c r="CL1743" s="708" t="str">
        <f t="shared" si="140"/>
        <v/>
      </c>
      <c r="CM1743" s="708" t="str">
        <f t="shared" si="141"/>
        <v/>
      </c>
      <c r="CN1743" s="708" t="str">
        <f t="shared" si="142"/>
        <v/>
      </c>
      <c r="CO1743" s="708" t="str">
        <f t="shared" si="143"/>
        <v/>
      </c>
      <c r="CP1743" s="708" t="str">
        <f t="shared" si="144"/>
        <v/>
      </c>
      <c r="CQ1743" s="708" t="str">
        <f t="shared" si="145"/>
        <v/>
      </c>
      <c r="CR1743" s="708" t="str">
        <f t="shared" si="146"/>
        <v/>
      </c>
      <c r="CS1743" s="708" t="str">
        <f t="shared" si="147"/>
        <v/>
      </c>
      <c r="CT1743" s="708" t="str">
        <f t="shared" si="148"/>
        <v/>
      </c>
      <c r="CU1743" s="708" t="str">
        <f t="shared" si="149"/>
        <v/>
      </c>
      <c r="CV1743" s="708" t="str">
        <f t="shared" si="150"/>
        <v/>
      </c>
      <c r="CW1743" s="708" t="str">
        <f t="shared" si="151"/>
        <v/>
      </c>
      <c r="CX1743" s="708" t="str">
        <f t="shared" si="152"/>
        <v/>
      </c>
      <c r="CY1743" s="708" t="str">
        <f t="shared" si="153"/>
        <v/>
      </c>
      <c r="CZ1743" s="708" t="str">
        <f t="shared" si="154"/>
        <v/>
      </c>
      <c r="DA1743" s="708" t="str">
        <f t="shared" si="155"/>
        <v/>
      </c>
      <c r="DB1743" s="708" t="str">
        <f t="shared" si="156"/>
        <v/>
      </c>
      <c r="DC1743" s="708" t="str">
        <f t="shared" si="157"/>
        <v/>
      </c>
      <c r="DD1743" s="708" t="str">
        <f t="shared" si="158"/>
        <v/>
      </c>
      <c r="DE1743" s="708" t="str">
        <f t="shared" si="159"/>
        <v/>
      </c>
      <c r="DF1743" s="708" t="str">
        <f t="shared" si="160"/>
        <v/>
      </c>
      <c r="DG1743" s="708" t="str">
        <f t="shared" si="161"/>
        <v/>
      </c>
      <c r="DH1743" s="708" t="str">
        <f t="shared" si="162"/>
        <v/>
      </c>
      <c r="DI1743" s="708" t="str">
        <f t="shared" si="163"/>
        <v/>
      </c>
      <c r="DJ1743" s="708" t="str">
        <f t="shared" si="164"/>
        <v/>
      </c>
      <c r="DK1743" s="708" t="str">
        <f t="shared" si="165"/>
        <v/>
      </c>
      <c r="DL1743" s="708" t="str">
        <f t="shared" si="166"/>
        <v/>
      </c>
      <c r="DM1743" s="708" t="str">
        <f t="shared" si="167"/>
        <v/>
      </c>
      <c r="DN1743" s="708" t="str">
        <f t="shared" si="168"/>
        <v/>
      </c>
      <c r="DO1743" s="708" t="str">
        <f t="shared" si="169"/>
        <v/>
      </c>
      <c r="DP1743" s="708" t="str">
        <f t="shared" si="170"/>
        <v/>
      </c>
      <c r="DQ1743" s="708" t="str">
        <f t="shared" si="171"/>
        <v/>
      </c>
      <c r="DR1743" s="708" t="str">
        <f t="shared" si="172"/>
        <v/>
      </c>
      <c r="DS1743" s="708" t="str">
        <f t="shared" si="173"/>
        <v/>
      </c>
      <c r="DT1743" s="708" t="str">
        <f t="shared" si="174"/>
        <v/>
      </c>
      <c r="DU1743" s="708" t="str">
        <f t="shared" si="175"/>
        <v/>
      </c>
      <c r="DV1743" s="708" t="str">
        <f t="shared" si="176"/>
        <v/>
      </c>
      <c r="DW1743" s="708" t="str">
        <f t="shared" si="177"/>
        <v/>
      </c>
      <c r="DX1743" s="708" t="str">
        <f t="shared" si="178"/>
        <v/>
      </c>
      <c r="DY1743" s="708" t="str">
        <f t="shared" si="179"/>
        <v/>
      </c>
      <c r="DZ1743" s="708" t="str">
        <f t="shared" si="180"/>
        <v/>
      </c>
      <c r="EA1743" s="708" t="str">
        <f t="shared" si="181"/>
        <v/>
      </c>
      <c r="EB1743" s="708" t="str">
        <f t="shared" si="182"/>
        <v/>
      </c>
      <c r="EC1743" s="708" t="str">
        <f t="shared" si="183"/>
        <v/>
      </c>
      <c r="ED1743" s="708" t="str">
        <f t="shared" si="184"/>
        <v/>
      </c>
      <c r="EE1743" s="708" t="str">
        <f t="shared" si="185"/>
        <v/>
      </c>
      <c r="EF1743" s="708" t="str">
        <f t="shared" si="186"/>
        <v/>
      </c>
      <c r="EG1743" s="708" t="str">
        <f t="shared" si="187"/>
        <v/>
      </c>
      <c r="EH1743" s="708" t="str">
        <f t="shared" si="188"/>
        <v/>
      </c>
      <c r="EI1743" s="708" t="str">
        <f t="shared" si="189"/>
        <v/>
      </c>
      <c r="EJ1743" s="708" t="str">
        <f t="shared" si="190"/>
        <v/>
      </c>
      <c r="EK1743" s="708" t="str">
        <f t="shared" si="191"/>
        <v/>
      </c>
      <c r="EL1743" s="708" t="str">
        <f t="shared" si="192"/>
        <v/>
      </c>
      <c r="EM1743" s="708" t="str">
        <f t="shared" si="193"/>
        <v/>
      </c>
      <c r="EN1743" s="708" t="str">
        <f t="shared" si="194"/>
        <v/>
      </c>
      <c r="EO1743" s="708" t="str">
        <f t="shared" si="195"/>
        <v/>
      </c>
      <c r="EP1743" s="708" t="str">
        <f t="shared" si="196"/>
        <v/>
      </c>
      <c r="EQ1743" s="708" t="str">
        <f t="shared" si="197"/>
        <v/>
      </c>
      <c r="ER1743" s="708" t="str">
        <f t="shared" si="198"/>
        <v/>
      </c>
      <c r="ES1743" s="708" t="str">
        <f t="shared" si="199"/>
        <v/>
      </c>
      <c r="ET1743" s="708" t="str">
        <f t="shared" si="200"/>
        <v/>
      </c>
      <c r="EU1743" s="708" t="str">
        <f t="shared" si="201"/>
        <v/>
      </c>
      <c r="EV1743" s="708" t="str">
        <f t="shared" si="202"/>
        <v/>
      </c>
      <c r="EW1743" s="708" t="str">
        <f t="shared" si="203"/>
        <v/>
      </c>
      <c r="EX1743" s="708" t="str">
        <f t="shared" si="204"/>
        <v/>
      </c>
      <c r="EY1743" s="708" t="str">
        <f t="shared" si="205"/>
        <v/>
      </c>
      <c r="EZ1743" s="708" t="str">
        <f t="shared" si="206"/>
        <v/>
      </c>
      <c r="FA1743" s="708" t="str">
        <f t="shared" si="207"/>
        <v/>
      </c>
      <c r="FB1743" s="708" t="str">
        <f t="shared" si="208"/>
        <v/>
      </c>
      <c r="FC1743" s="708" t="str">
        <f t="shared" si="209"/>
        <v/>
      </c>
      <c r="FD1743" s="708" t="str">
        <f t="shared" si="210"/>
        <v/>
      </c>
      <c r="FE1743" s="708" t="str">
        <f t="shared" si="211"/>
        <v/>
      </c>
      <c r="FF1743" s="708" t="str">
        <f t="shared" si="212"/>
        <v/>
      </c>
      <c r="FG1743" s="708" t="str">
        <f t="shared" si="213"/>
        <v/>
      </c>
      <c r="FH1743" s="708" t="str">
        <f t="shared" si="214"/>
        <v/>
      </c>
      <c r="FI1743" s="708" t="str">
        <f t="shared" si="215"/>
        <v/>
      </c>
      <c r="FJ1743" s="708" t="str">
        <f t="shared" si="216"/>
        <v/>
      </c>
      <c r="FK1743" s="708" t="str">
        <f t="shared" si="217"/>
        <v/>
      </c>
      <c r="FL1743" s="708" t="str">
        <f t="shared" si="218"/>
        <v/>
      </c>
      <c r="FM1743" s="708" t="str">
        <f t="shared" si="219"/>
        <v/>
      </c>
      <c r="FN1743" s="708" t="str">
        <f t="shared" si="220"/>
        <v/>
      </c>
      <c r="FO1743" s="708" t="str">
        <f t="shared" si="221"/>
        <v/>
      </c>
      <c r="FP1743" s="708" t="str">
        <f t="shared" si="222"/>
        <v/>
      </c>
      <c r="FQ1743" s="708" t="str">
        <f t="shared" si="223"/>
        <v/>
      </c>
      <c r="FR1743" s="708" t="str">
        <f t="shared" si="224"/>
        <v/>
      </c>
      <c r="FS1743" s="708" t="str">
        <f t="shared" si="225"/>
        <v/>
      </c>
      <c r="FT1743" s="708" t="str">
        <f t="shared" si="226"/>
        <v/>
      </c>
      <c r="FU1743" s="708" t="str">
        <f t="shared" si="227"/>
        <v/>
      </c>
      <c r="FV1743" s="708" t="str">
        <f t="shared" si="228"/>
        <v/>
      </c>
      <c r="FW1743" s="708" t="str">
        <f t="shared" si="229"/>
        <v/>
      </c>
      <c r="FX1743" s="708" t="str">
        <f t="shared" si="230"/>
        <v/>
      </c>
      <c r="FY1743" s="708" t="str">
        <f t="shared" si="231"/>
        <v/>
      </c>
      <c r="FZ1743" s="708" t="str">
        <f t="shared" si="232"/>
        <v/>
      </c>
      <c r="GA1743" s="708" t="str">
        <f t="shared" si="233"/>
        <v/>
      </c>
      <c r="GB1743" s="708" t="str">
        <f t="shared" si="234"/>
        <v/>
      </c>
      <c r="GC1743" s="708" t="str">
        <f t="shared" si="235"/>
        <v/>
      </c>
      <c r="GD1743" s="708" t="str">
        <f t="shared" si="236"/>
        <v/>
      </c>
      <c r="GE1743" s="708" t="str">
        <f t="shared" si="237"/>
        <v/>
      </c>
      <c r="GF1743" s="708" t="str">
        <f t="shared" si="238"/>
        <v/>
      </c>
      <c r="GG1743" s="708" t="str">
        <f t="shared" si="239"/>
        <v/>
      </c>
      <c r="GH1743" s="708" t="str">
        <f t="shared" si="240"/>
        <v/>
      </c>
      <c r="GI1743" s="708" t="str">
        <f t="shared" si="241"/>
        <v/>
      </c>
      <c r="GJ1743" s="708" t="str">
        <f t="shared" si="242"/>
        <v/>
      </c>
      <c r="GK1743" s="708" t="str">
        <f t="shared" si="243"/>
        <v/>
      </c>
      <c r="GL1743" s="708" t="str">
        <f t="shared" si="244"/>
        <v/>
      </c>
      <c r="GM1743" s="708" t="str">
        <f t="shared" si="245"/>
        <v/>
      </c>
      <c r="GN1743" s="708" t="str">
        <f t="shared" si="246"/>
        <v/>
      </c>
      <c r="GO1743" s="708" t="str">
        <f t="shared" si="247"/>
        <v/>
      </c>
      <c r="GP1743" s="708" t="str">
        <f t="shared" si="248"/>
        <v/>
      </c>
      <c r="GQ1743" s="708" t="str">
        <f t="shared" si="249"/>
        <v/>
      </c>
      <c r="GR1743" s="708" t="str">
        <f t="shared" si="250"/>
        <v/>
      </c>
      <c r="GS1743" s="708" t="str">
        <f t="shared" si="251"/>
        <v/>
      </c>
      <c r="GT1743" s="708" t="str">
        <f t="shared" si="252"/>
        <v/>
      </c>
      <c r="GU1743" s="708" t="str">
        <f t="shared" si="253"/>
        <v/>
      </c>
      <c r="GV1743" s="708" t="str">
        <f t="shared" si="254"/>
        <v/>
      </c>
      <c r="GW1743" s="708" t="str">
        <f t="shared" si="255"/>
        <v/>
      </c>
      <c r="GX1743" s="708" t="str">
        <f t="shared" si="256"/>
        <v/>
      </c>
      <c r="GY1743" s="708" t="str">
        <f t="shared" si="257"/>
        <v/>
      </c>
      <c r="GZ1743" s="708" t="str">
        <f t="shared" si="258"/>
        <v/>
      </c>
      <c r="HA1743" s="708" t="str">
        <f t="shared" si="259"/>
        <v/>
      </c>
      <c r="HB1743" s="708" t="str">
        <f t="shared" si="260"/>
        <v/>
      </c>
      <c r="HC1743" s="708" t="str">
        <f t="shared" si="261"/>
        <v/>
      </c>
      <c r="HD1743" s="708" t="str">
        <f t="shared" si="262"/>
        <v/>
      </c>
      <c r="HE1743" s="708" t="str">
        <f t="shared" si="263"/>
        <v/>
      </c>
      <c r="HF1743" s="708" t="str">
        <f t="shared" si="264"/>
        <v/>
      </c>
      <c r="HG1743" s="708" t="str">
        <f t="shared" si="265"/>
        <v/>
      </c>
      <c r="HH1743" s="708" t="str">
        <f t="shared" si="266"/>
        <v/>
      </c>
      <c r="HI1743" s="708" t="str">
        <f t="shared" si="267"/>
        <v/>
      </c>
      <c r="HJ1743" s="708" t="str">
        <f t="shared" si="268"/>
        <v/>
      </c>
      <c r="HK1743" s="708" t="str">
        <f t="shared" si="269"/>
        <v/>
      </c>
    </row>
    <row r="1744" spans="1:219" ht="13.15" customHeight="1">
      <c r="A1744" s="708" t="str">
        <f t="shared" si="270"/>
        <v/>
      </c>
      <c r="B1744" s="708">
        <f>'Part VI-Revenues &amp; Expenses'!B29</f>
        <v>0</v>
      </c>
      <c r="C1744" s="708">
        <f>'Part VI-Revenues &amp; Expenses'!C29</f>
        <v>0</v>
      </c>
      <c r="D1744" s="708">
        <f>'Part VI-Revenues &amp; Expenses'!D29</f>
        <v>0</v>
      </c>
      <c r="E1744" s="708">
        <f>'Part VI-Revenues &amp; Expenses'!E29</f>
        <v>0</v>
      </c>
      <c r="F1744" s="708">
        <f>'Part VI-Revenues &amp; Expenses'!F29</f>
        <v>0</v>
      </c>
      <c r="G1744" s="708">
        <f>'Part VI-Revenues &amp; Expenses'!G29</f>
        <v>0</v>
      </c>
      <c r="H1744" s="708">
        <f>'Part VI-Revenues &amp; Expenses'!H29</f>
        <v>0</v>
      </c>
      <c r="I1744" s="708">
        <f>'Part VI-Revenues &amp; Expenses'!I29</f>
        <v>0</v>
      </c>
      <c r="J1744" s="708">
        <f>'Part VI-Revenues &amp; Expenses'!J29</f>
        <v>0</v>
      </c>
      <c r="K1744" s="708">
        <f t="shared" ref="K1744:K1762" si="302">MAX(0,H1744-I1744)</f>
        <v>0</v>
      </c>
      <c r="L1744" s="708">
        <f t="shared" si="99"/>
        <v>0</v>
      </c>
      <c r="M1744" s="708">
        <f>'Part VI-Revenues &amp; Expenses'!M29</f>
        <v>0</v>
      </c>
      <c r="N1744" s="708">
        <f>'Part VI-Revenues &amp; Expenses'!N29</f>
        <v>0</v>
      </c>
      <c r="O1744" s="708">
        <f>'Part VI-Revenues &amp; Expenses'!O29</f>
        <v>0</v>
      </c>
      <c r="P1744" s="708" t="str">
        <f>'Part VI-Revenues &amp; Expenses'!P29</f>
        <v/>
      </c>
      <c r="Q1744" s="708" t="str">
        <f>'Part VI-Revenues &amp; Expenses'!Q29</f>
        <v/>
      </c>
      <c r="R1744" s="708">
        <f>'Part VI-Revenues &amp; Expenses'!R29</f>
        <v>0</v>
      </c>
      <c r="T1744" s="708" t="str">
        <f t="shared" si="100"/>
        <v/>
      </c>
      <c r="U1744" s="708" t="str">
        <f t="shared" si="101"/>
        <v/>
      </c>
      <c r="V1744" s="708" t="str">
        <f t="shared" si="102"/>
        <v/>
      </c>
      <c r="W1744" s="708" t="str">
        <f t="shared" si="103"/>
        <v/>
      </c>
      <c r="X1744" s="708" t="str">
        <f t="shared" si="104"/>
        <v/>
      </c>
      <c r="Y1744" s="708" t="str">
        <f t="shared" si="105"/>
        <v/>
      </c>
      <c r="Z1744" s="708" t="str">
        <f t="shared" si="106"/>
        <v/>
      </c>
      <c r="AA1744" s="708" t="str">
        <f t="shared" si="107"/>
        <v/>
      </c>
      <c r="AB1744" s="708" t="str">
        <f t="shared" si="108"/>
        <v/>
      </c>
      <c r="AC1744" s="708" t="str">
        <f t="shared" si="109"/>
        <v/>
      </c>
      <c r="AD1744" s="708" t="str">
        <f t="shared" si="110"/>
        <v/>
      </c>
      <c r="AE1744" s="708" t="str">
        <f t="shared" si="111"/>
        <v/>
      </c>
      <c r="AF1744" s="708" t="str">
        <f t="shared" si="112"/>
        <v/>
      </c>
      <c r="AG1744" s="708" t="str">
        <f t="shared" si="113"/>
        <v/>
      </c>
      <c r="AH1744" s="708" t="str">
        <f t="shared" si="114"/>
        <v/>
      </c>
      <c r="AI1744" s="708" t="str">
        <f t="shared" si="115"/>
        <v/>
      </c>
      <c r="AJ1744" s="708" t="str">
        <f t="shared" si="116"/>
        <v/>
      </c>
      <c r="AK1744" s="708" t="str">
        <f t="shared" si="117"/>
        <v/>
      </c>
      <c r="AL1744" s="708" t="str">
        <f t="shared" si="118"/>
        <v/>
      </c>
      <c r="AM1744" s="708" t="str">
        <f t="shared" si="119"/>
        <v/>
      </c>
      <c r="AN1744" s="708" t="str">
        <f t="shared" si="272"/>
        <v/>
      </c>
      <c r="AO1744" s="708" t="str">
        <f t="shared" si="273"/>
        <v/>
      </c>
      <c r="AP1744" s="708" t="str">
        <f t="shared" si="274"/>
        <v/>
      </c>
      <c r="AQ1744" s="708" t="str">
        <f t="shared" si="275"/>
        <v/>
      </c>
      <c r="AR1744" s="708" t="str">
        <f t="shared" si="276"/>
        <v/>
      </c>
      <c r="AS1744" s="708" t="str">
        <f t="shared" si="277"/>
        <v/>
      </c>
      <c r="AT1744" s="708" t="str">
        <f t="shared" si="278"/>
        <v/>
      </c>
      <c r="AU1744" s="708" t="str">
        <f t="shared" si="279"/>
        <v/>
      </c>
      <c r="AV1744" s="708" t="str">
        <f t="shared" si="280"/>
        <v/>
      </c>
      <c r="AW1744" s="708" t="str">
        <f t="shared" si="281"/>
        <v/>
      </c>
      <c r="AX1744" s="708" t="str">
        <f t="shared" si="282"/>
        <v/>
      </c>
      <c r="AY1744" s="708" t="str">
        <f t="shared" si="283"/>
        <v/>
      </c>
      <c r="AZ1744" s="708" t="str">
        <f t="shared" si="284"/>
        <v/>
      </c>
      <c r="BA1744" s="708" t="str">
        <f t="shared" si="285"/>
        <v/>
      </c>
      <c r="BB1744" s="708" t="str">
        <f t="shared" si="286"/>
        <v/>
      </c>
      <c r="BC1744" s="708" t="str">
        <f t="shared" si="287"/>
        <v/>
      </c>
      <c r="BD1744" s="708" t="str">
        <f t="shared" si="288"/>
        <v/>
      </c>
      <c r="BE1744" s="708" t="str">
        <f t="shared" si="289"/>
        <v/>
      </c>
      <c r="BF1744" s="708" t="str">
        <f t="shared" si="290"/>
        <v/>
      </c>
      <c r="BG1744" s="708" t="str">
        <f t="shared" si="291"/>
        <v/>
      </c>
      <c r="BH1744" s="708" t="str">
        <f t="shared" si="292"/>
        <v/>
      </c>
      <c r="BI1744" s="708" t="str">
        <f t="shared" si="293"/>
        <v/>
      </c>
      <c r="BJ1744" s="708" t="str">
        <f t="shared" si="294"/>
        <v/>
      </c>
      <c r="BK1744" s="708" t="str">
        <f t="shared" si="295"/>
        <v/>
      </c>
      <c r="BL1744" s="708" t="str">
        <f t="shared" si="296"/>
        <v/>
      </c>
      <c r="BM1744" s="708" t="str">
        <f t="shared" si="297"/>
        <v/>
      </c>
      <c r="BN1744" s="708" t="str">
        <f t="shared" si="298"/>
        <v/>
      </c>
      <c r="BO1744" s="708" t="str">
        <f t="shared" si="299"/>
        <v/>
      </c>
      <c r="BP1744" s="708" t="str">
        <f t="shared" si="300"/>
        <v/>
      </c>
      <c r="BQ1744" s="708" t="str">
        <f t="shared" si="301"/>
        <v/>
      </c>
      <c r="BR1744" s="708" t="str">
        <f t="shared" si="120"/>
        <v/>
      </c>
      <c r="BS1744" s="708" t="str">
        <f t="shared" si="121"/>
        <v/>
      </c>
      <c r="BT1744" s="708" t="str">
        <f t="shared" si="122"/>
        <v/>
      </c>
      <c r="BU1744" s="708" t="str">
        <f t="shared" si="123"/>
        <v/>
      </c>
      <c r="BV1744" s="708" t="str">
        <f t="shared" si="124"/>
        <v/>
      </c>
      <c r="BW1744" s="708" t="str">
        <f t="shared" si="125"/>
        <v/>
      </c>
      <c r="BX1744" s="708" t="str">
        <f t="shared" si="126"/>
        <v/>
      </c>
      <c r="BY1744" s="708" t="str">
        <f t="shared" si="127"/>
        <v/>
      </c>
      <c r="BZ1744" s="708" t="str">
        <f t="shared" si="128"/>
        <v/>
      </c>
      <c r="CA1744" s="708" t="str">
        <f t="shared" si="129"/>
        <v/>
      </c>
      <c r="CB1744" s="708" t="str">
        <f t="shared" si="130"/>
        <v/>
      </c>
      <c r="CC1744" s="708" t="str">
        <f t="shared" si="131"/>
        <v/>
      </c>
      <c r="CD1744" s="708" t="str">
        <f t="shared" si="132"/>
        <v/>
      </c>
      <c r="CE1744" s="708" t="str">
        <f t="shared" si="133"/>
        <v/>
      </c>
      <c r="CF1744" s="708" t="str">
        <f t="shared" si="134"/>
        <v/>
      </c>
      <c r="CG1744" s="708" t="str">
        <f t="shared" si="135"/>
        <v/>
      </c>
      <c r="CH1744" s="708" t="str">
        <f t="shared" si="136"/>
        <v/>
      </c>
      <c r="CI1744" s="708" t="str">
        <f t="shared" si="137"/>
        <v/>
      </c>
      <c r="CJ1744" s="708" t="str">
        <f t="shared" si="138"/>
        <v/>
      </c>
      <c r="CK1744" s="708" t="str">
        <f t="shared" si="139"/>
        <v/>
      </c>
      <c r="CL1744" s="708" t="str">
        <f t="shared" si="140"/>
        <v/>
      </c>
      <c r="CM1744" s="708" t="str">
        <f t="shared" si="141"/>
        <v/>
      </c>
      <c r="CN1744" s="708" t="str">
        <f t="shared" si="142"/>
        <v/>
      </c>
      <c r="CO1744" s="708" t="str">
        <f t="shared" si="143"/>
        <v/>
      </c>
      <c r="CP1744" s="708" t="str">
        <f t="shared" si="144"/>
        <v/>
      </c>
      <c r="CQ1744" s="708" t="str">
        <f t="shared" si="145"/>
        <v/>
      </c>
      <c r="CR1744" s="708" t="str">
        <f t="shared" si="146"/>
        <v/>
      </c>
      <c r="CS1744" s="708" t="str">
        <f t="shared" si="147"/>
        <v/>
      </c>
      <c r="CT1744" s="708" t="str">
        <f t="shared" si="148"/>
        <v/>
      </c>
      <c r="CU1744" s="708" t="str">
        <f t="shared" si="149"/>
        <v/>
      </c>
      <c r="CV1744" s="708" t="str">
        <f t="shared" si="150"/>
        <v/>
      </c>
      <c r="CW1744" s="708" t="str">
        <f t="shared" si="151"/>
        <v/>
      </c>
      <c r="CX1744" s="708" t="str">
        <f t="shared" si="152"/>
        <v/>
      </c>
      <c r="CY1744" s="708" t="str">
        <f t="shared" si="153"/>
        <v/>
      </c>
      <c r="CZ1744" s="708" t="str">
        <f t="shared" si="154"/>
        <v/>
      </c>
      <c r="DA1744" s="708" t="str">
        <f t="shared" si="155"/>
        <v/>
      </c>
      <c r="DB1744" s="708" t="str">
        <f t="shared" si="156"/>
        <v/>
      </c>
      <c r="DC1744" s="708" t="str">
        <f t="shared" si="157"/>
        <v/>
      </c>
      <c r="DD1744" s="708" t="str">
        <f t="shared" si="158"/>
        <v/>
      </c>
      <c r="DE1744" s="708" t="str">
        <f t="shared" si="159"/>
        <v/>
      </c>
      <c r="DF1744" s="708" t="str">
        <f t="shared" si="160"/>
        <v/>
      </c>
      <c r="DG1744" s="708" t="str">
        <f t="shared" si="161"/>
        <v/>
      </c>
      <c r="DH1744" s="708" t="str">
        <f t="shared" si="162"/>
        <v/>
      </c>
      <c r="DI1744" s="708" t="str">
        <f t="shared" si="163"/>
        <v/>
      </c>
      <c r="DJ1744" s="708" t="str">
        <f t="shared" si="164"/>
        <v/>
      </c>
      <c r="DK1744" s="708" t="str">
        <f t="shared" si="165"/>
        <v/>
      </c>
      <c r="DL1744" s="708" t="str">
        <f t="shared" si="166"/>
        <v/>
      </c>
      <c r="DM1744" s="708" t="str">
        <f t="shared" si="167"/>
        <v/>
      </c>
      <c r="DN1744" s="708" t="str">
        <f t="shared" si="168"/>
        <v/>
      </c>
      <c r="DO1744" s="708" t="str">
        <f t="shared" si="169"/>
        <v/>
      </c>
      <c r="DP1744" s="708" t="str">
        <f t="shared" si="170"/>
        <v/>
      </c>
      <c r="DQ1744" s="708" t="str">
        <f t="shared" si="171"/>
        <v/>
      </c>
      <c r="DR1744" s="708" t="str">
        <f t="shared" si="172"/>
        <v/>
      </c>
      <c r="DS1744" s="708" t="str">
        <f t="shared" si="173"/>
        <v/>
      </c>
      <c r="DT1744" s="708" t="str">
        <f t="shared" si="174"/>
        <v/>
      </c>
      <c r="DU1744" s="708" t="str">
        <f t="shared" si="175"/>
        <v/>
      </c>
      <c r="DV1744" s="708" t="str">
        <f t="shared" si="176"/>
        <v/>
      </c>
      <c r="DW1744" s="708" t="str">
        <f t="shared" si="177"/>
        <v/>
      </c>
      <c r="DX1744" s="708" t="str">
        <f t="shared" si="178"/>
        <v/>
      </c>
      <c r="DY1744" s="708" t="str">
        <f t="shared" si="179"/>
        <v/>
      </c>
      <c r="DZ1744" s="708" t="str">
        <f t="shared" si="180"/>
        <v/>
      </c>
      <c r="EA1744" s="708" t="str">
        <f t="shared" si="181"/>
        <v/>
      </c>
      <c r="EB1744" s="708" t="str">
        <f t="shared" si="182"/>
        <v/>
      </c>
      <c r="EC1744" s="708" t="str">
        <f t="shared" si="183"/>
        <v/>
      </c>
      <c r="ED1744" s="708" t="str">
        <f t="shared" si="184"/>
        <v/>
      </c>
      <c r="EE1744" s="708" t="str">
        <f t="shared" si="185"/>
        <v/>
      </c>
      <c r="EF1744" s="708" t="str">
        <f t="shared" si="186"/>
        <v/>
      </c>
      <c r="EG1744" s="708" t="str">
        <f t="shared" si="187"/>
        <v/>
      </c>
      <c r="EH1744" s="708" t="str">
        <f t="shared" si="188"/>
        <v/>
      </c>
      <c r="EI1744" s="708" t="str">
        <f t="shared" si="189"/>
        <v/>
      </c>
      <c r="EJ1744" s="708" t="str">
        <f t="shared" si="190"/>
        <v/>
      </c>
      <c r="EK1744" s="708" t="str">
        <f t="shared" si="191"/>
        <v/>
      </c>
      <c r="EL1744" s="708" t="str">
        <f t="shared" si="192"/>
        <v/>
      </c>
      <c r="EM1744" s="708" t="str">
        <f t="shared" si="193"/>
        <v/>
      </c>
      <c r="EN1744" s="708" t="str">
        <f t="shared" si="194"/>
        <v/>
      </c>
      <c r="EO1744" s="708" t="str">
        <f t="shared" si="195"/>
        <v/>
      </c>
      <c r="EP1744" s="708" t="str">
        <f t="shared" si="196"/>
        <v/>
      </c>
      <c r="EQ1744" s="708" t="str">
        <f t="shared" si="197"/>
        <v/>
      </c>
      <c r="ER1744" s="708" t="str">
        <f t="shared" si="198"/>
        <v/>
      </c>
      <c r="ES1744" s="708" t="str">
        <f t="shared" si="199"/>
        <v/>
      </c>
      <c r="ET1744" s="708" t="str">
        <f t="shared" si="200"/>
        <v/>
      </c>
      <c r="EU1744" s="708" t="str">
        <f t="shared" si="201"/>
        <v/>
      </c>
      <c r="EV1744" s="708" t="str">
        <f t="shared" si="202"/>
        <v/>
      </c>
      <c r="EW1744" s="708" t="str">
        <f t="shared" si="203"/>
        <v/>
      </c>
      <c r="EX1744" s="708" t="str">
        <f t="shared" si="204"/>
        <v/>
      </c>
      <c r="EY1744" s="708" t="str">
        <f t="shared" si="205"/>
        <v/>
      </c>
      <c r="EZ1744" s="708" t="str">
        <f t="shared" si="206"/>
        <v/>
      </c>
      <c r="FA1744" s="708" t="str">
        <f t="shared" si="207"/>
        <v/>
      </c>
      <c r="FB1744" s="708" t="str">
        <f t="shared" si="208"/>
        <v/>
      </c>
      <c r="FC1744" s="708" t="str">
        <f t="shared" si="209"/>
        <v/>
      </c>
      <c r="FD1744" s="708" t="str">
        <f t="shared" si="210"/>
        <v/>
      </c>
      <c r="FE1744" s="708" t="str">
        <f t="shared" si="211"/>
        <v/>
      </c>
      <c r="FF1744" s="708" t="str">
        <f t="shared" si="212"/>
        <v/>
      </c>
      <c r="FG1744" s="708" t="str">
        <f t="shared" si="213"/>
        <v/>
      </c>
      <c r="FH1744" s="708" t="str">
        <f t="shared" si="214"/>
        <v/>
      </c>
      <c r="FI1744" s="708" t="str">
        <f t="shared" si="215"/>
        <v/>
      </c>
      <c r="FJ1744" s="708" t="str">
        <f t="shared" si="216"/>
        <v/>
      </c>
      <c r="FK1744" s="708" t="str">
        <f t="shared" si="217"/>
        <v/>
      </c>
      <c r="FL1744" s="708" t="str">
        <f t="shared" si="218"/>
        <v/>
      </c>
      <c r="FM1744" s="708" t="str">
        <f t="shared" si="219"/>
        <v/>
      </c>
      <c r="FN1744" s="708" t="str">
        <f t="shared" si="220"/>
        <v/>
      </c>
      <c r="FO1744" s="708" t="str">
        <f t="shared" si="221"/>
        <v/>
      </c>
      <c r="FP1744" s="708" t="str">
        <f t="shared" si="222"/>
        <v/>
      </c>
      <c r="FQ1744" s="708" t="str">
        <f t="shared" si="223"/>
        <v/>
      </c>
      <c r="FR1744" s="708" t="str">
        <f t="shared" si="224"/>
        <v/>
      </c>
      <c r="FS1744" s="708" t="str">
        <f t="shared" si="225"/>
        <v/>
      </c>
      <c r="FT1744" s="708" t="str">
        <f t="shared" si="226"/>
        <v/>
      </c>
      <c r="FU1744" s="708" t="str">
        <f t="shared" si="227"/>
        <v/>
      </c>
      <c r="FV1744" s="708" t="str">
        <f t="shared" si="228"/>
        <v/>
      </c>
      <c r="FW1744" s="708" t="str">
        <f t="shared" si="229"/>
        <v/>
      </c>
      <c r="FX1744" s="708" t="str">
        <f t="shared" si="230"/>
        <v/>
      </c>
      <c r="FY1744" s="708" t="str">
        <f t="shared" si="231"/>
        <v/>
      </c>
      <c r="FZ1744" s="708" t="str">
        <f t="shared" si="232"/>
        <v/>
      </c>
      <c r="GA1744" s="708" t="str">
        <f t="shared" si="233"/>
        <v/>
      </c>
      <c r="GB1744" s="708" t="str">
        <f t="shared" si="234"/>
        <v/>
      </c>
      <c r="GC1744" s="708" t="str">
        <f t="shared" si="235"/>
        <v/>
      </c>
      <c r="GD1744" s="708" t="str">
        <f t="shared" si="236"/>
        <v/>
      </c>
      <c r="GE1744" s="708" t="str">
        <f t="shared" si="237"/>
        <v/>
      </c>
      <c r="GF1744" s="708" t="str">
        <f t="shared" si="238"/>
        <v/>
      </c>
      <c r="GG1744" s="708" t="str">
        <f t="shared" si="239"/>
        <v/>
      </c>
      <c r="GH1744" s="708" t="str">
        <f t="shared" si="240"/>
        <v/>
      </c>
      <c r="GI1744" s="708" t="str">
        <f t="shared" si="241"/>
        <v/>
      </c>
      <c r="GJ1744" s="708" t="str">
        <f t="shared" si="242"/>
        <v/>
      </c>
      <c r="GK1744" s="708" t="str">
        <f t="shared" si="243"/>
        <v/>
      </c>
      <c r="GL1744" s="708" t="str">
        <f t="shared" si="244"/>
        <v/>
      </c>
      <c r="GM1744" s="708" t="str">
        <f t="shared" si="245"/>
        <v/>
      </c>
      <c r="GN1744" s="708" t="str">
        <f t="shared" si="246"/>
        <v/>
      </c>
      <c r="GO1744" s="708" t="str">
        <f t="shared" si="247"/>
        <v/>
      </c>
      <c r="GP1744" s="708" t="str">
        <f t="shared" si="248"/>
        <v/>
      </c>
      <c r="GQ1744" s="708" t="str">
        <f t="shared" si="249"/>
        <v/>
      </c>
      <c r="GR1744" s="708" t="str">
        <f t="shared" si="250"/>
        <v/>
      </c>
      <c r="GS1744" s="708" t="str">
        <f t="shared" si="251"/>
        <v/>
      </c>
      <c r="GT1744" s="708" t="str">
        <f t="shared" si="252"/>
        <v/>
      </c>
      <c r="GU1744" s="708" t="str">
        <f t="shared" si="253"/>
        <v/>
      </c>
      <c r="GV1744" s="708" t="str">
        <f t="shared" si="254"/>
        <v/>
      </c>
      <c r="GW1744" s="708" t="str">
        <f t="shared" si="255"/>
        <v/>
      </c>
      <c r="GX1744" s="708" t="str">
        <f t="shared" si="256"/>
        <v/>
      </c>
      <c r="GY1744" s="708" t="str">
        <f t="shared" si="257"/>
        <v/>
      </c>
      <c r="GZ1744" s="708" t="str">
        <f t="shared" si="258"/>
        <v/>
      </c>
      <c r="HA1744" s="708" t="str">
        <f t="shared" si="259"/>
        <v/>
      </c>
      <c r="HB1744" s="708" t="str">
        <f t="shared" si="260"/>
        <v/>
      </c>
      <c r="HC1744" s="708" t="str">
        <f t="shared" si="261"/>
        <v/>
      </c>
      <c r="HD1744" s="708" t="str">
        <f t="shared" si="262"/>
        <v/>
      </c>
      <c r="HE1744" s="708" t="str">
        <f t="shared" si="263"/>
        <v/>
      </c>
      <c r="HF1744" s="708" t="str">
        <f t="shared" si="264"/>
        <v/>
      </c>
      <c r="HG1744" s="708" t="str">
        <f t="shared" si="265"/>
        <v/>
      </c>
      <c r="HH1744" s="708" t="str">
        <f t="shared" si="266"/>
        <v/>
      </c>
      <c r="HI1744" s="708" t="str">
        <f t="shared" si="267"/>
        <v/>
      </c>
      <c r="HJ1744" s="708" t="str">
        <f t="shared" si="268"/>
        <v/>
      </c>
      <c r="HK1744" s="708" t="str">
        <f t="shared" si="269"/>
        <v/>
      </c>
    </row>
    <row r="1745" spans="1:219" ht="13.15" customHeight="1">
      <c r="A1745" s="708" t="str">
        <f t="shared" si="270"/>
        <v/>
      </c>
      <c r="B1745" s="708">
        <f>'Part VI-Revenues &amp; Expenses'!B30</f>
        <v>0</v>
      </c>
      <c r="C1745" s="708">
        <f>'Part VI-Revenues &amp; Expenses'!C30</f>
        <v>0</v>
      </c>
      <c r="D1745" s="708">
        <f>'Part VI-Revenues &amp; Expenses'!D30</f>
        <v>0</v>
      </c>
      <c r="E1745" s="708">
        <f>'Part VI-Revenues &amp; Expenses'!E30</f>
        <v>0</v>
      </c>
      <c r="F1745" s="708">
        <f>'Part VI-Revenues &amp; Expenses'!F30</f>
        <v>0</v>
      </c>
      <c r="G1745" s="708">
        <f>'Part VI-Revenues &amp; Expenses'!G30</f>
        <v>0</v>
      </c>
      <c r="H1745" s="708">
        <f>'Part VI-Revenues &amp; Expenses'!H30</f>
        <v>0</v>
      </c>
      <c r="I1745" s="708">
        <f>'Part VI-Revenues &amp; Expenses'!I30</f>
        <v>0</v>
      </c>
      <c r="J1745" s="708">
        <f>'Part VI-Revenues &amp; Expenses'!J30</f>
        <v>0</v>
      </c>
      <c r="K1745" s="708">
        <f t="shared" si="302"/>
        <v>0</v>
      </c>
      <c r="L1745" s="708">
        <f t="shared" si="99"/>
        <v>0</v>
      </c>
      <c r="M1745" s="708">
        <f>'Part VI-Revenues &amp; Expenses'!M30</f>
        <v>0</v>
      </c>
      <c r="N1745" s="708">
        <f>'Part VI-Revenues &amp; Expenses'!N30</f>
        <v>0</v>
      </c>
      <c r="O1745" s="708">
        <f>'Part VI-Revenues &amp; Expenses'!O30</f>
        <v>0</v>
      </c>
      <c r="P1745" s="708" t="str">
        <f>'Part VI-Revenues &amp; Expenses'!P30</f>
        <v/>
      </c>
      <c r="Q1745" s="708" t="str">
        <f>'Part VI-Revenues &amp; Expenses'!Q30</f>
        <v/>
      </c>
      <c r="R1745" s="708">
        <f>'Part VI-Revenues &amp; Expenses'!R30</f>
        <v>0</v>
      </c>
      <c r="T1745" s="708" t="str">
        <f t="shared" si="100"/>
        <v/>
      </c>
      <c r="U1745" s="708" t="str">
        <f t="shared" si="101"/>
        <v/>
      </c>
      <c r="V1745" s="708" t="str">
        <f t="shared" si="102"/>
        <v/>
      </c>
      <c r="W1745" s="708" t="str">
        <f t="shared" si="103"/>
        <v/>
      </c>
      <c r="X1745" s="708" t="str">
        <f t="shared" si="104"/>
        <v/>
      </c>
      <c r="Y1745" s="708" t="str">
        <f t="shared" si="105"/>
        <v/>
      </c>
      <c r="Z1745" s="708" t="str">
        <f t="shared" si="106"/>
        <v/>
      </c>
      <c r="AA1745" s="708" t="str">
        <f t="shared" si="107"/>
        <v/>
      </c>
      <c r="AB1745" s="708" t="str">
        <f t="shared" si="108"/>
        <v/>
      </c>
      <c r="AC1745" s="708" t="str">
        <f t="shared" si="109"/>
        <v/>
      </c>
      <c r="AD1745" s="708" t="str">
        <f t="shared" si="110"/>
        <v/>
      </c>
      <c r="AE1745" s="708" t="str">
        <f t="shared" si="111"/>
        <v/>
      </c>
      <c r="AF1745" s="708" t="str">
        <f t="shared" si="112"/>
        <v/>
      </c>
      <c r="AG1745" s="708" t="str">
        <f t="shared" si="113"/>
        <v/>
      </c>
      <c r="AH1745" s="708" t="str">
        <f t="shared" si="114"/>
        <v/>
      </c>
      <c r="AI1745" s="708" t="str">
        <f t="shared" si="115"/>
        <v/>
      </c>
      <c r="AJ1745" s="708" t="str">
        <f t="shared" si="116"/>
        <v/>
      </c>
      <c r="AK1745" s="708" t="str">
        <f t="shared" si="117"/>
        <v/>
      </c>
      <c r="AL1745" s="708" t="str">
        <f t="shared" si="118"/>
        <v/>
      </c>
      <c r="AM1745" s="708" t="str">
        <f t="shared" si="119"/>
        <v/>
      </c>
      <c r="AN1745" s="708" t="str">
        <f t="shared" si="272"/>
        <v/>
      </c>
      <c r="AO1745" s="708" t="str">
        <f t="shared" si="273"/>
        <v/>
      </c>
      <c r="AP1745" s="708" t="str">
        <f t="shared" si="274"/>
        <v/>
      </c>
      <c r="AQ1745" s="708" t="str">
        <f t="shared" si="275"/>
        <v/>
      </c>
      <c r="AR1745" s="708" t="str">
        <f t="shared" si="276"/>
        <v/>
      </c>
      <c r="AS1745" s="708" t="str">
        <f t="shared" si="277"/>
        <v/>
      </c>
      <c r="AT1745" s="708" t="str">
        <f t="shared" si="278"/>
        <v/>
      </c>
      <c r="AU1745" s="708" t="str">
        <f t="shared" si="279"/>
        <v/>
      </c>
      <c r="AV1745" s="708" t="str">
        <f t="shared" si="280"/>
        <v/>
      </c>
      <c r="AW1745" s="708" t="str">
        <f t="shared" si="281"/>
        <v/>
      </c>
      <c r="AX1745" s="708" t="str">
        <f t="shared" si="282"/>
        <v/>
      </c>
      <c r="AY1745" s="708" t="str">
        <f t="shared" si="283"/>
        <v/>
      </c>
      <c r="AZ1745" s="708" t="str">
        <f t="shared" si="284"/>
        <v/>
      </c>
      <c r="BA1745" s="708" t="str">
        <f t="shared" si="285"/>
        <v/>
      </c>
      <c r="BB1745" s="708" t="str">
        <f t="shared" si="286"/>
        <v/>
      </c>
      <c r="BC1745" s="708" t="str">
        <f t="shared" si="287"/>
        <v/>
      </c>
      <c r="BD1745" s="708" t="str">
        <f t="shared" si="288"/>
        <v/>
      </c>
      <c r="BE1745" s="708" t="str">
        <f t="shared" si="289"/>
        <v/>
      </c>
      <c r="BF1745" s="708" t="str">
        <f t="shared" si="290"/>
        <v/>
      </c>
      <c r="BG1745" s="708" t="str">
        <f t="shared" si="291"/>
        <v/>
      </c>
      <c r="BH1745" s="708" t="str">
        <f t="shared" si="292"/>
        <v/>
      </c>
      <c r="BI1745" s="708" t="str">
        <f t="shared" si="293"/>
        <v/>
      </c>
      <c r="BJ1745" s="708" t="str">
        <f t="shared" si="294"/>
        <v/>
      </c>
      <c r="BK1745" s="708" t="str">
        <f t="shared" si="295"/>
        <v/>
      </c>
      <c r="BL1745" s="708" t="str">
        <f t="shared" si="296"/>
        <v/>
      </c>
      <c r="BM1745" s="708" t="str">
        <f t="shared" si="297"/>
        <v/>
      </c>
      <c r="BN1745" s="708" t="str">
        <f t="shared" si="298"/>
        <v/>
      </c>
      <c r="BO1745" s="708" t="str">
        <f t="shared" si="299"/>
        <v/>
      </c>
      <c r="BP1745" s="708" t="str">
        <f t="shared" si="300"/>
        <v/>
      </c>
      <c r="BQ1745" s="708" t="str">
        <f t="shared" si="301"/>
        <v/>
      </c>
      <c r="BR1745" s="708" t="str">
        <f t="shared" si="120"/>
        <v/>
      </c>
      <c r="BS1745" s="708" t="str">
        <f t="shared" si="121"/>
        <v/>
      </c>
      <c r="BT1745" s="708" t="str">
        <f t="shared" si="122"/>
        <v/>
      </c>
      <c r="BU1745" s="708" t="str">
        <f t="shared" si="123"/>
        <v/>
      </c>
      <c r="BV1745" s="708" t="str">
        <f t="shared" si="124"/>
        <v/>
      </c>
      <c r="BW1745" s="708" t="str">
        <f t="shared" si="125"/>
        <v/>
      </c>
      <c r="BX1745" s="708" t="str">
        <f t="shared" si="126"/>
        <v/>
      </c>
      <c r="BY1745" s="708" t="str">
        <f t="shared" si="127"/>
        <v/>
      </c>
      <c r="BZ1745" s="708" t="str">
        <f t="shared" si="128"/>
        <v/>
      </c>
      <c r="CA1745" s="708" t="str">
        <f t="shared" si="129"/>
        <v/>
      </c>
      <c r="CB1745" s="708" t="str">
        <f t="shared" si="130"/>
        <v/>
      </c>
      <c r="CC1745" s="708" t="str">
        <f t="shared" si="131"/>
        <v/>
      </c>
      <c r="CD1745" s="708" t="str">
        <f t="shared" si="132"/>
        <v/>
      </c>
      <c r="CE1745" s="708" t="str">
        <f t="shared" si="133"/>
        <v/>
      </c>
      <c r="CF1745" s="708" t="str">
        <f t="shared" si="134"/>
        <v/>
      </c>
      <c r="CG1745" s="708" t="str">
        <f t="shared" si="135"/>
        <v/>
      </c>
      <c r="CH1745" s="708" t="str">
        <f t="shared" si="136"/>
        <v/>
      </c>
      <c r="CI1745" s="708" t="str">
        <f t="shared" si="137"/>
        <v/>
      </c>
      <c r="CJ1745" s="708" t="str">
        <f t="shared" si="138"/>
        <v/>
      </c>
      <c r="CK1745" s="708" t="str">
        <f t="shared" si="139"/>
        <v/>
      </c>
      <c r="CL1745" s="708" t="str">
        <f t="shared" si="140"/>
        <v/>
      </c>
      <c r="CM1745" s="708" t="str">
        <f t="shared" si="141"/>
        <v/>
      </c>
      <c r="CN1745" s="708" t="str">
        <f t="shared" si="142"/>
        <v/>
      </c>
      <c r="CO1745" s="708" t="str">
        <f t="shared" si="143"/>
        <v/>
      </c>
      <c r="CP1745" s="708" t="str">
        <f t="shared" si="144"/>
        <v/>
      </c>
      <c r="CQ1745" s="708" t="str">
        <f t="shared" si="145"/>
        <v/>
      </c>
      <c r="CR1745" s="708" t="str">
        <f t="shared" si="146"/>
        <v/>
      </c>
      <c r="CS1745" s="708" t="str">
        <f t="shared" si="147"/>
        <v/>
      </c>
      <c r="CT1745" s="708" t="str">
        <f t="shared" si="148"/>
        <v/>
      </c>
      <c r="CU1745" s="708" t="str">
        <f t="shared" si="149"/>
        <v/>
      </c>
      <c r="CV1745" s="708" t="str">
        <f t="shared" si="150"/>
        <v/>
      </c>
      <c r="CW1745" s="708" t="str">
        <f t="shared" si="151"/>
        <v/>
      </c>
      <c r="CX1745" s="708" t="str">
        <f t="shared" si="152"/>
        <v/>
      </c>
      <c r="CY1745" s="708" t="str">
        <f t="shared" si="153"/>
        <v/>
      </c>
      <c r="CZ1745" s="708" t="str">
        <f t="shared" si="154"/>
        <v/>
      </c>
      <c r="DA1745" s="708" t="str">
        <f t="shared" si="155"/>
        <v/>
      </c>
      <c r="DB1745" s="708" t="str">
        <f t="shared" si="156"/>
        <v/>
      </c>
      <c r="DC1745" s="708" t="str">
        <f t="shared" si="157"/>
        <v/>
      </c>
      <c r="DD1745" s="708" t="str">
        <f t="shared" si="158"/>
        <v/>
      </c>
      <c r="DE1745" s="708" t="str">
        <f t="shared" si="159"/>
        <v/>
      </c>
      <c r="DF1745" s="708" t="str">
        <f t="shared" si="160"/>
        <v/>
      </c>
      <c r="DG1745" s="708" t="str">
        <f t="shared" si="161"/>
        <v/>
      </c>
      <c r="DH1745" s="708" t="str">
        <f t="shared" si="162"/>
        <v/>
      </c>
      <c r="DI1745" s="708" t="str">
        <f t="shared" si="163"/>
        <v/>
      </c>
      <c r="DJ1745" s="708" t="str">
        <f t="shared" si="164"/>
        <v/>
      </c>
      <c r="DK1745" s="708" t="str">
        <f t="shared" si="165"/>
        <v/>
      </c>
      <c r="DL1745" s="708" t="str">
        <f t="shared" si="166"/>
        <v/>
      </c>
      <c r="DM1745" s="708" t="str">
        <f t="shared" si="167"/>
        <v/>
      </c>
      <c r="DN1745" s="708" t="str">
        <f t="shared" si="168"/>
        <v/>
      </c>
      <c r="DO1745" s="708" t="str">
        <f t="shared" si="169"/>
        <v/>
      </c>
      <c r="DP1745" s="708" t="str">
        <f t="shared" si="170"/>
        <v/>
      </c>
      <c r="DQ1745" s="708" t="str">
        <f t="shared" si="171"/>
        <v/>
      </c>
      <c r="DR1745" s="708" t="str">
        <f t="shared" si="172"/>
        <v/>
      </c>
      <c r="DS1745" s="708" t="str">
        <f t="shared" si="173"/>
        <v/>
      </c>
      <c r="DT1745" s="708" t="str">
        <f t="shared" si="174"/>
        <v/>
      </c>
      <c r="DU1745" s="708" t="str">
        <f t="shared" si="175"/>
        <v/>
      </c>
      <c r="DV1745" s="708" t="str">
        <f t="shared" si="176"/>
        <v/>
      </c>
      <c r="DW1745" s="708" t="str">
        <f t="shared" si="177"/>
        <v/>
      </c>
      <c r="DX1745" s="708" t="str">
        <f t="shared" si="178"/>
        <v/>
      </c>
      <c r="DY1745" s="708" t="str">
        <f t="shared" si="179"/>
        <v/>
      </c>
      <c r="DZ1745" s="708" t="str">
        <f t="shared" si="180"/>
        <v/>
      </c>
      <c r="EA1745" s="708" t="str">
        <f t="shared" si="181"/>
        <v/>
      </c>
      <c r="EB1745" s="708" t="str">
        <f t="shared" si="182"/>
        <v/>
      </c>
      <c r="EC1745" s="708" t="str">
        <f t="shared" si="183"/>
        <v/>
      </c>
      <c r="ED1745" s="708" t="str">
        <f t="shared" si="184"/>
        <v/>
      </c>
      <c r="EE1745" s="708" t="str">
        <f t="shared" si="185"/>
        <v/>
      </c>
      <c r="EF1745" s="708" t="str">
        <f t="shared" si="186"/>
        <v/>
      </c>
      <c r="EG1745" s="708" t="str">
        <f t="shared" si="187"/>
        <v/>
      </c>
      <c r="EH1745" s="708" t="str">
        <f t="shared" si="188"/>
        <v/>
      </c>
      <c r="EI1745" s="708" t="str">
        <f t="shared" si="189"/>
        <v/>
      </c>
      <c r="EJ1745" s="708" t="str">
        <f t="shared" si="190"/>
        <v/>
      </c>
      <c r="EK1745" s="708" t="str">
        <f t="shared" si="191"/>
        <v/>
      </c>
      <c r="EL1745" s="708" t="str">
        <f t="shared" si="192"/>
        <v/>
      </c>
      <c r="EM1745" s="708" t="str">
        <f t="shared" si="193"/>
        <v/>
      </c>
      <c r="EN1745" s="708" t="str">
        <f t="shared" si="194"/>
        <v/>
      </c>
      <c r="EO1745" s="708" t="str">
        <f t="shared" si="195"/>
        <v/>
      </c>
      <c r="EP1745" s="708" t="str">
        <f t="shared" si="196"/>
        <v/>
      </c>
      <c r="EQ1745" s="708" t="str">
        <f t="shared" si="197"/>
        <v/>
      </c>
      <c r="ER1745" s="708" t="str">
        <f t="shared" si="198"/>
        <v/>
      </c>
      <c r="ES1745" s="708" t="str">
        <f t="shared" si="199"/>
        <v/>
      </c>
      <c r="ET1745" s="708" t="str">
        <f t="shared" si="200"/>
        <v/>
      </c>
      <c r="EU1745" s="708" t="str">
        <f t="shared" si="201"/>
        <v/>
      </c>
      <c r="EV1745" s="708" t="str">
        <f t="shared" si="202"/>
        <v/>
      </c>
      <c r="EW1745" s="708" t="str">
        <f t="shared" si="203"/>
        <v/>
      </c>
      <c r="EX1745" s="708" t="str">
        <f t="shared" si="204"/>
        <v/>
      </c>
      <c r="EY1745" s="708" t="str">
        <f t="shared" si="205"/>
        <v/>
      </c>
      <c r="EZ1745" s="708" t="str">
        <f t="shared" si="206"/>
        <v/>
      </c>
      <c r="FA1745" s="708" t="str">
        <f t="shared" si="207"/>
        <v/>
      </c>
      <c r="FB1745" s="708" t="str">
        <f t="shared" si="208"/>
        <v/>
      </c>
      <c r="FC1745" s="708" t="str">
        <f t="shared" si="209"/>
        <v/>
      </c>
      <c r="FD1745" s="708" t="str">
        <f t="shared" si="210"/>
        <v/>
      </c>
      <c r="FE1745" s="708" t="str">
        <f t="shared" si="211"/>
        <v/>
      </c>
      <c r="FF1745" s="708" t="str">
        <f t="shared" si="212"/>
        <v/>
      </c>
      <c r="FG1745" s="708" t="str">
        <f t="shared" si="213"/>
        <v/>
      </c>
      <c r="FH1745" s="708" t="str">
        <f t="shared" si="214"/>
        <v/>
      </c>
      <c r="FI1745" s="708" t="str">
        <f t="shared" si="215"/>
        <v/>
      </c>
      <c r="FJ1745" s="708" t="str">
        <f t="shared" si="216"/>
        <v/>
      </c>
      <c r="FK1745" s="708" t="str">
        <f t="shared" si="217"/>
        <v/>
      </c>
      <c r="FL1745" s="708" t="str">
        <f t="shared" si="218"/>
        <v/>
      </c>
      <c r="FM1745" s="708" t="str">
        <f t="shared" si="219"/>
        <v/>
      </c>
      <c r="FN1745" s="708" t="str">
        <f t="shared" si="220"/>
        <v/>
      </c>
      <c r="FO1745" s="708" t="str">
        <f t="shared" si="221"/>
        <v/>
      </c>
      <c r="FP1745" s="708" t="str">
        <f t="shared" si="222"/>
        <v/>
      </c>
      <c r="FQ1745" s="708" t="str">
        <f t="shared" si="223"/>
        <v/>
      </c>
      <c r="FR1745" s="708" t="str">
        <f t="shared" si="224"/>
        <v/>
      </c>
      <c r="FS1745" s="708" t="str">
        <f t="shared" si="225"/>
        <v/>
      </c>
      <c r="FT1745" s="708" t="str">
        <f t="shared" si="226"/>
        <v/>
      </c>
      <c r="FU1745" s="708" t="str">
        <f t="shared" si="227"/>
        <v/>
      </c>
      <c r="FV1745" s="708" t="str">
        <f t="shared" si="228"/>
        <v/>
      </c>
      <c r="FW1745" s="708" t="str">
        <f t="shared" si="229"/>
        <v/>
      </c>
      <c r="FX1745" s="708" t="str">
        <f t="shared" si="230"/>
        <v/>
      </c>
      <c r="FY1745" s="708" t="str">
        <f t="shared" si="231"/>
        <v/>
      </c>
      <c r="FZ1745" s="708" t="str">
        <f t="shared" si="232"/>
        <v/>
      </c>
      <c r="GA1745" s="708" t="str">
        <f t="shared" si="233"/>
        <v/>
      </c>
      <c r="GB1745" s="708" t="str">
        <f t="shared" si="234"/>
        <v/>
      </c>
      <c r="GC1745" s="708" t="str">
        <f t="shared" si="235"/>
        <v/>
      </c>
      <c r="GD1745" s="708" t="str">
        <f t="shared" si="236"/>
        <v/>
      </c>
      <c r="GE1745" s="708" t="str">
        <f t="shared" si="237"/>
        <v/>
      </c>
      <c r="GF1745" s="708" t="str">
        <f t="shared" si="238"/>
        <v/>
      </c>
      <c r="GG1745" s="708" t="str">
        <f t="shared" si="239"/>
        <v/>
      </c>
      <c r="GH1745" s="708" t="str">
        <f t="shared" si="240"/>
        <v/>
      </c>
      <c r="GI1745" s="708" t="str">
        <f t="shared" si="241"/>
        <v/>
      </c>
      <c r="GJ1745" s="708" t="str">
        <f t="shared" si="242"/>
        <v/>
      </c>
      <c r="GK1745" s="708" t="str">
        <f t="shared" si="243"/>
        <v/>
      </c>
      <c r="GL1745" s="708" t="str">
        <f t="shared" si="244"/>
        <v/>
      </c>
      <c r="GM1745" s="708" t="str">
        <f t="shared" si="245"/>
        <v/>
      </c>
      <c r="GN1745" s="708" t="str">
        <f t="shared" si="246"/>
        <v/>
      </c>
      <c r="GO1745" s="708" t="str">
        <f t="shared" si="247"/>
        <v/>
      </c>
      <c r="GP1745" s="708" t="str">
        <f t="shared" si="248"/>
        <v/>
      </c>
      <c r="GQ1745" s="708" t="str">
        <f t="shared" si="249"/>
        <v/>
      </c>
      <c r="GR1745" s="708" t="str">
        <f t="shared" si="250"/>
        <v/>
      </c>
      <c r="GS1745" s="708" t="str">
        <f t="shared" si="251"/>
        <v/>
      </c>
      <c r="GT1745" s="708" t="str">
        <f t="shared" si="252"/>
        <v/>
      </c>
      <c r="GU1745" s="708" t="str">
        <f t="shared" si="253"/>
        <v/>
      </c>
      <c r="GV1745" s="708" t="str">
        <f t="shared" si="254"/>
        <v/>
      </c>
      <c r="GW1745" s="708" t="str">
        <f t="shared" si="255"/>
        <v/>
      </c>
      <c r="GX1745" s="708" t="str">
        <f t="shared" si="256"/>
        <v/>
      </c>
      <c r="GY1745" s="708" t="str">
        <f t="shared" si="257"/>
        <v/>
      </c>
      <c r="GZ1745" s="708" t="str">
        <f t="shared" si="258"/>
        <v/>
      </c>
      <c r="HA1745" s="708" t="str">
        <f t="shared" si="259"/>
        <v/>
      </c>
      <c r="HB1745" s="708" t="str">
        <f t="shared" si="260"/>
        <v/>
      </c>
      <c r="HC1745" s="708" t="str">
        <f t="shared" si="261"/>
        <v/>
      </c>
      <c r="HD1745" s="708" t="str">
        <f t="shared" si="262"/>
        <v/>
      </c>
      <c r="HE1745" s="708" t="str">
        <f t="shared" si="263"/>
        <v/>
      </c>
      <c r="HF1745" s="708" t="str">
        <f t="shared" si="264"/>
        <v/>
      </c>
      <c r="HG1745" s="708" t="str">
        <f t="shared" si="265"/>
        <v/>
      </c>
      <c r="HH1745" s="708" t="str">
        <f t="shared" si="266"/>
        <v/>
      </c>
      <c r="HI1745" s="708" t="str">
        <f t="shared" si="267"/>
        <v/>
      </c>
      <c r="HJ1745" s="708" t="str">
        <f t="shared" si="268"/>
        <v/>
      </c>
      <c r="HK1745" s="708" t="str">
        <f t="shared" si="269"/>
        <v/>
      </c>
    </row>
    <row r="1746" spans="1:219" ht="13.15" customHeight="1">
      <c r="A1746" s="708" t="str">
        <f t="shared" si="270"/>
        <v/>
      </c>
      <c r="B1746" s="708">
        <f>'Part VI-Revenues &amp; Expenses'!B31</f>
        <v>0</v>
      </c>
      <c r="C1746" s="708">
        <f>'Part VI-Revenues &amp; Expenses'!C31</f>
        <v>0</v>
      </c>
      <c r="D1746" s="708">
        <f>'Part VI-Revenues &amp; Expenses'!D31</f>
        <v>0</v>
      </c>
      <c r="E1746" s="708">
        <f>'Part VI-Revenues &amp; Expenses'!E31</f>
        <v>0</v>
      </c>
      <c r="F1746" s="708">
        <f>'Part VI-Revenues &amp; Expenses'!F31</f>
        <v>0</v>
      </c>
      <c r="G1746" s="708">
        <f>'Part VI-Revenues &amp; Expenses'!G31</f>
        <v>0</v>
      </c>
      <c r="H1746" s="708">
        <f>'Part VI-Revenues &amp; Expenses'!H31</f>
        <v>0</v>
      </c>
      <c r="I1746" s="708">
        <f>'Part VI-Revenues &amp; Expenses'!I31</f>
        <v>0</v>
      </c>
      <c r="J1746" s="708">
        <f>'Part VI-Revenues &amp; Expenses'!J31</f>
        <v>0</v>
      </c>
      <c r="K1746" s="708">
        <f t="shared" si="302"/>
        <v>0</v>
      </c>
      <c r="L1746" s="708">
        <f t="shared" si="99"/>
        <v>0</v>
      </c>
      <c r="M1746" s="708">
        <f>'Part VI-Revenues &amp; Expenses'!M31</f>
        <v>0</v>
      </c>
      <c r="N1746" s="708">
        <f>'Part VI-Revenues &amp; Expenses'!N31</f>
        <v>0</v>
      </c>
      <c r="O1746" s="708">
        <f>'Part VI-Revenues &amp; Expenses'!O31</f>
        <v>0</v>
      </c>
      <c r="P1746" s="708" t="str">
        <f>'Part VI-Revenues &amp; Expenses'!P31</f>
        <v/>
      </c>
      <c r="Q1746" s="708" t="str">
        <f>'Part VI-Revenues &amp; Expenses'!Q31</f>
        <v/>
      </c>
      <c r="R1746" s="708">
        <f>'Part VI-Revenues &amp; Expenses'!R31</f>
        <v>0</v>
      </c>
      <c r="T1746" s="708" t="str">
        <f t="shared" si="100"/>
        <v/>
      </c>
      <c r="U1746" s="708" t="str">
        <f t="shared" si="101"/>
        <v/>
      </c>
      <c r="V1746" s="708" t="str">
        <f t="shared" si="102"/>
        <v/>
      </c>
      <c r="W1746" s="708" t="str">
        <f t="shared" si="103"/>
        <v/>
      </c>
      <c r="X1746" s="708" t="str">
        <f t="shared" si="104"/>
        <v/>
      </c>
      <c r="Y1746" s="708" t="str">
        <f t="shared" si="105"/>
        <v/>
      </c>
      <c r="Z1746" s="708" t="str">
        <f t="shared" si="106"/>
        <v/>
      </c>
      <c r="AA1746" s="708" t="str">
        <f t="shared" si="107"/>
        <v/>
      </c>
      <c r="AB1746" s="708" t="str">
        <f t="shared" si="108"/>
        <v/>
      </c>
      <c r="AC1746" s="708" t="str">
        <f t="shared" si="109"/>
        <v/>
      </c>
      <c r="AD1746" s="708" t="str">
        <f t="shared" si="110"/>
        <v/>
      </c>
      <c r="AE1746" s="708" t="str">
        <f t="shared" si="111"/>
        <v/>
      </c>
      <c r="AF1746" s="708" t="str">
        <f t="shared" si="112"/>
        <v/>
      </c>
      <c r="AG1746" s="708" t="str">
        <f t="shared" si="113"/>
        <v/>
      </c>
      <c r="AH1746" s="708" t="str">
        <f t="shared" si="114"/>
        <v/>
      </c>
      <c r="AI1746" s="708" t="str">
        <f t="shared" si="115"/>
        <v/>
      </c>
      <c r="AJ1746" s="708" t="str">
        <f t="shared" si="116"/>
        <v/>
      </c>
      <c r="AK1746" s="708" t="str">
        <f t="shared" si="117"/>
        <v/>
      </c>
      <c r="AL1746" s="708" t="str">
        <f t="shared" si="118"/>
        <v/>
      </c>
      <c r="AM1746" s="708" t="str">
        <f t="shared" si="119"/>
        <v/>
      </c>
      <c r="AN1746" s="708" t="str">
        <f t="shared" si="272"/>
        <v/>
      </c>
      <c r="AO1746" s="708" t="str">
        <f t="shared" si="273"/>
        <v/>
      </c>
      <c r="AP1746" s="708" t="str">
        <f t="shared" si="274"/>
        <v/>
      </c>
      <c r="AQ1746" s="708" t="str">
        <f t="shared" si="275"/>
        <v/>
      </c>
      <c r="AR1746" s="708" t="str">
        <f t="shared" si="276"/>
        <v/>
      </c>
      <c r="AS1746" s="708" t="str">
        <f t="shared" si="277"/>
        <v/>
      </c>
      <c r="AT1746" s="708" t="str">
        <f t="shared" si="278"/>
        <v/>
      </c>
      <c r="AU1746" s="708" t="str">
        <f t="shared" si="279"/>
        <v/>
      </c>
      <c r="AV1746" s="708" t="str">
        <f t="shared" si="280"/>
        <v/>
      </c>
      <c r="AW1746" s="708" t="str">
        <f t="shared" si="281"/>
        <v/>
      </c>
      <c r="AX1746" s="708" t="str">
        <f t="shared" si="282"/>
        <v/>
      </c>
      <c r="AY1746" s="708" t="str">
        <f t="shared" si="283"/>
        <v/>
      </c>
      <c r="AZ1746" s="708" t="str">
        <f t="shared" si="284"/>
        <v/>
      </c>
      <c r="BA1746" s="708" t="str">
        <f t="shared" si="285"/>
        <v/>
      </c>
      <c r="BB1746" s="708" t="str">
        <f t="shared" si="286"/>
        <v/>
      </c>
      <c r="BC1746" s="708" t="str">
        <f t="shared" si="287"/>
        <v/>
      </c>
      <c r="BD1746" s="708" t="str">
        <f t="shared" si="288"/>
        <v/>
      </c>
      <c r="BE1746" s="708" t="str">
        <f t="shared" si="289"/>
        <v/>
      </c>
      <c r="BF1746" s="708" t="str">
        <f t="shared" si="290"/>
        <v/>
      </c>
      <c r="BG1746" s="708" t="str">
        <f t="shared" si="291"/>
        <v/>
      </c>
      <c r="BH1746" s="708" t="str">
        <f t="shared" si="292"/>
        <v/>
      </c>
      <c r="BI1746" s="708" t="str">
        <f t="shared" si="293"/>
        <v/>
      </c>
      <c r="BJ1746" s="708" t="str">
        <f t="shared" si="294"/>
        <v/>
      </c>
      <c r="BK1746" s="708" t="str">
        <f t="shared" si="295"/>
        <v/>
      </c>
      <c r="BL1746" s="708" t="str">
        <f t="shared" si="296"/>
        <v/>
      </c>
      <c r="BM1746" s="708" t="str">
        <f t="shared" si="297"/>
        <v/>
      </c>
      <c r="BN1746" s="708" t="str">
        <f t="shared" si="298"/>
        <v/>
      </c>
      <c r="BO1746" s="708" t="str">
        <f t="shared" si="299"/>
        <v/>
      </c>
      <c r="BP1746" s="708" t="str">
        <f t="shared" si="300"/>
        <v/>
      </c>
      <c r="BQ1746" s="708" t="str">
        <f t="shared" si="301"/>
        <v/>
      </c>
      <c r="BR1746" s="708" t="str">
        <f t="shared" si="120"/>
        <v/>
      </c>
      <c r="BS1746" s="708" t="str">
        <f t="shared" si="121"/>
        <v/>
      </c>
      <c r="BT1746" s="708" t="str">
        <f t="shared" si="122"/>
        <v/>
      </c>
      <c r="BU1746" s="708" t="str">
        <f t="shared" si="123"/>
        <v/>
      </c>
      <c r="BV1746" s="708" t="str">
        <f t="shared" si="124"/>
        <v/>
      </c>
      <c r="BW1746" s="708" t="str">
        <f t="shared" si="125"/>
        <v/>
      </c>
      <c r="BX1746" s="708" t="str">
        <f t="shared" si="126"/>
        <v/>
      </c>
      <c r="BY1746" s="708" t="str">
        <f t="shared" si="127"/>
        <v/>
      </c>
      <c r="BZ1746" s="708" t="str">
        <f t="shared" si="128"/>
        <v/>
      </c>
      <c r="CA1746" s="708" t="str">
        <f t="shared" si="129"/>
        <v/>
      </c>
      <c r="CB1746" s="708" t="str">
        <f t="shared" si="130"/>
        <v/>
      </c>
      <c r="CC1746" s="708" t="str">
        <f t="shared" si="131"/>
        <v/>
      </c>
      <c r="CD1746" s="708" t="str">
        <f t="shared" si="132"/>
        <v/>
      </c>
      <c r="CE1746" s="708" t="str">
        <f t="shared" si="133"/>
        <v/>
      </c>
      <c r="CF1746" s="708" t="str">
        <f t="shared" si="134"/>
        <v/>
      </c>
      <c r="CG1746" s="708" t="str">
        <f t="shared" si="135"/>
        <v/>
      </c>
      <c r="CH1746" s="708" t="str">
        <f t="shared" si="136"/>
        <v/>
      </c>
      <c r="CI1746" s="708" t="str">
        <f t="shared" si="137"/>
        <v/>
      </c>
      <c r="CJ1746" s="708" t="str">
        <f t="shared" si="138"/>
        <v/>
      </c>
      <c r="CK1746" s="708" t="str">
        <f t="shared" si="139"/>
        <v/>
      </c>
      <c r="CL1746" s="708" t="str">
        <f t="shared" si="140"/>
        <v/>
      </c>
      <c r="CM1746" s="708" t="str">
        <f t="shared" si="141"/>
        <v/>
      </c>
      <c r="CN1746" s="708" t="str">
        <f t="shared" si="142"/>
        <v/>
      </c>
      <c r="CO1746" s="708" t="str">
        <f t="shared" si="143"/>
        <v/>
      </c>
      <c r="CP1746" s="708" t="str">
        <f t="shared" si="144"/>
        <v/>
      </c>
      <c r="CQ1746" s="708" t="str">
        <f t="shared" si="145"/>
        <v/>
      </c>
      <c r="CR1746" s="708" t="str">
        <f t="shared" si="146"/>
        <v/>
      </c>
      <c r="CS1746" s="708" t="str">
        <f t="shared" si="147"/>
        <v/>
      </c>
      <c r="CT1746" s="708" t="str">
        <f t="shared" si="148"/>
        <v/>
      </c>
      <c r="CU1746" s="708" t="str">
        <f t="shared" si="149"/>
        <v/>
      </c>
      <c r="CV1746" s="708" t="str">
        <f t="shared" si="150"/>
        <v/>
      </c>
      <c r="CW1746" s="708" t="str">
        <f t="shared" si="151"/>
        <v/>
      </c>
      <c r="CX1746" s="708" t="str">
        <f t="shared" si="152"/>
        <v/>
      </c>
      <c r="CY1746" s="708" t="str">
        <f t="shared" si="153"/>
        <v/>
      </c>
      <c r="CZ1746" s="708" t="str">
        <f t="shared" si="154"/>
        <v/>
      </c>
      <c r="DA1746" s="708" t="str">
        <f t="shared" si="155"/>
        <v/>
      </c>
      <c r="DB1746" s="708" t="str">
        <f t="shared" si="156"/>
        <v/>
      </c>
      <c r="DC1746" s="708" t="str">
        <f t="shared" si="157"/>
        <v/>
      </c>
      <c r="DD1746" s="708" t="str">
        <f t="shared" si="158"/>
        <v/>
      </c>
      <c r="DE1746" s="708" t="str">
        <f t="shared" si="159"/>
        <v/>
      </c>
      <c r="DF1746" s="708" t="str">
        <f t="shared" si="160"/>
        <v/>
      </c>
      <c r="DG1746" s="708" t="str">
        <f t="shared" si="161"/>
        <v/>
      </c>
      <c r="DH1746" s="708" t="str">
        <f t="shared" si="162"/>
        <v/>
      </c>
      <c r="DI1746" s="708" t="str">
        <f t="shared" si="163"/>
        <v/>
      </c>
      <c r="DJ1746" s="708" t="str">
        <f t="shared" si="164"/>
        <v/>
      </c>
      <c r="DK1746" s="708" t="str">
        <f t="shared" si="165"/>
        <v/>
      </c>
      <c r="DL1746" s="708" t="str">
        <f t="shared" si="166"/>
        <v/>
      </c>
      <c r="DM1746" s="708" t="str">
        <f t="shared" si="167"/>
        <v/>
      </c>
      <c r="DN1746" s="708" t="str">
        <f t="shared" si="168"/>
        <v/>
      </c>
      <c r="DO1746" s="708" t="str">
        <f t="shared" si="169"/>
        <v/>
      </c>
      <c r="DP1746" s="708" t="str">
        <f t="shared" si="170"/>
        <v/>
      </c>
      <c r="DQ1746" s="708" t="str">
        <f t="shared" si="171"/>
        <v/>
      </c>
      <c r="DR1746" s="708" t="str">
        <f t="shared" si="172"/>
        <v/>
      </c>
      <c r="DS1746" s="708" t="str">
        <f t="shared" si="173"/>
        <v/>
      </c>
      <c r="DT1746" s="708" t="str">
        <f t="shared" si="174"/>
        <v/>
      </c>
      <c r="DU1746" s="708" t="str">
        <f t="shared" si="175"/>
        <v/>
      </c>
      <c r="DV1746" s="708" t="str">
        <f t="shared" si="176"/>
        <v/>
      </c>
      <c r="DW1746" s="708" t="str">
        <f t="shared" si="177"/>
        <v/>
      </c>
      <c r="DX1746" s="708" t="str">
        <f t="shared" si="178"/>
        <v/>
      </c>
      <c r="DY1746" s="708" t="str">
        <f t="shared" si="179"/>
        <v/>
      </c>
      <c r="DZ1746" s="708" t="str">
        <f t="shared" si="180"/>
        <v/>
      </c>
      <c r="EA1746" s="708" t="str">
        <f t="shared" si="181"/>
        <v/>
      </c>
      <c r="EB1746" s="708" t="str">
        <f t="shared" si="182"/>
        <v/>
      </c>
      <c r="EC1746" s="708" t="str">
        <f t="shared" si="183"/>
        <v/>
      </c>
      <c r="ED1746" s="708" t="str">
        <f t="shared" si="184"/>
        <v/>
      </c>
      <c r="EE1746" s="708" t="str">
        <f t="shared" si="185"/>
        <v/>
      </c>
      <c r="EF1746" s="708" t="str">
        <f t="shared" si="186"/>
        <v/>
      </c>
      <c r="EG1746" s="708" t="str">
        <f t="shared" si="187"/>
        <v/>
      </c>
      <c r="EH1746" s="708" t="str">
        <f t="shared" si="188"/>
        <v/>
      </c>
      <c r="EI1746" s="708" t="str">
        <f t="shared" si="189"/>
        <v/>
      </c>
      <c r="EJ1746" s="708" t="str">
        <f t="shared" si="190"/>
        <v/>
      </c>
      <c r="EK1746" s="708" t="str">
        <f t="shared" si="191"/>
        <v/>
      </c>
      <c r="EL1746" s="708" t="str">
        <f t="shared" si="192"/>
        <v/>
      </c>
      <c r="EM1746" s="708" t="str">
        <f t="shared" si="193"/>
        <v/>
      </c>
      <c r="EN1746" s="708" t="str">
        <f t="shared" si="194"/>
        <v/>
      </c>
      <c r="EO1746" s="708" t="str">
        <f t="shared" si="195"/>
        <v/>
      </c>
      <c r="EP1746" s="708" t="str">
        <f t="shared" si="196"/>
        <v/>
      </c>
      <c r="EQ1746" s="708" t="str">
        <f t="shared" si="197"/>
        <v/>
      </c>
      <c r="ER1746" s="708" t="str">
        <f t="shared" si="198"/>
        <v/>
      </c>
      <c r="ES1746" s="708" t="str">
        <f t="shared" si="199"/>
        <v/>
      </c>
      <c r="ET1746" s="708" t="str">
        <f t="shared" si="200"/>
        <v/>
      </c>
      <c r="EU1746" s="708" t="str">
        <f t="shared" si="201"/>
        <v/>
      </c>
      <c r="EV1746" s="708" t="str">
        <f t="shared" si="202"/>
        <v/>
      </c>
      <c r="EW1746" s="708" t="str">
        <f t="shared" si="203"/>
        <v/>
      </c>
      <c r="EX1746" s="708" t="str">
        <f t="shared" si="204"/>
        <v/>
      </c>
      <c r="EY1746" s="708" t="str">
        <f t="shared" si="205"/>
        <v/>
      </c>
      <c r="EZ1746" s="708" t="str">
        <f t="shared" si="206"/>
        <v/>
      </c>
      <c r="FA1746" s="708" t="str">
        <f t="shared" si="207"/>
        <v/>
      </c>
      <c r="FB1746" s="708" t="str">
        <f t="shared" si="208"/>
        <v/>
      </c>
      <c r="FC1746" s="708" t="str">
        <f t="shared" si="209"/>
        <v/>
      </c>
      <c r="FD1746" s="708" t="str">
        <f t="shared" si="210"/>
        <v/>
      </c>
      <c r="FE1746" s="708" t="str">
        <f t="shared" si="211"/>
        <v/>
      </c>
      <c r="FF1746" s="708" t="str">
        <f t="shared" si="212"/>
        <v/>
      </c>
      <c r="FG1746" s="708" t="str">
        <f t="shared" si="213"/>
        <v/>
      </c>
      <c r="FH1746" s="708" t="str">
        <f t="shared" si="214"/>
        <v/>
      </c>
      <c r="FI1746" s="708" t="str">
        <f t="shared" si="215"/>
        <v/>
      </c>
      <c r="FJ1746" s="708" t="str">
        <f t="shared" si="216"/>
        <v/>
      </c>
      <c r="FK1746" s="708" t="str">
        <f t="shared" si="217"/>
        <v/>
      </c>
      <c r="FL1746" s="708" t="str">
        <f t="shared" si="218"/>
        <v/>
      </c>
      <c r="FM1746" s="708" t="str">
        <f t="shared" si="219"/>
        <v/>
      </c>
      <c r="FN1746" s="708" t="str">
        <f t="shared" si="220"/>
        <v/>
      </c>
      <c r="FO1746" s="708" t="str">
        <f t="shared" si="221"/>
        <v/>
      </c>
      <c r="FP1746" s="708" t="str">
        <f t="shared" si="222"/>
        <v/>
      </c>
      <c r="FQ1746" s="708" t="str">
        <f t="shared" si="223"/>
        <v/>
      </c>
      <c r="FR1746" s="708" t="str">
        <f t="shared" si="224"/>
        <v/>
      </c>
      <c r="FS1746" s="708" t="str">
        <f t="shared" si="225"/>
        <v/>
      </c>
      <c r="FT1746" s="708" t="str">
        <f t="shared" si="226"/>
        <v/>
      </c>
      <c r="FU1746" s="708" t="str">
        <f t="shared" si="227"/>
        <v/>
      </c>
      <c r="FV1746" s="708" t="str">
        <f t="shared" si="228"/>
        <v/>
      </c>
      <c r="FW1746" s="708" t="str">
        <f t="shared" si="229"/>
        <v/>
      </c>
      <c r="FX1746" s="708" t="str">
        <f t="shared" si="230"/>
        <v/>
      </c>
      <c r="FY1746" s="708" t="str">
        <f t="shared" si="231"/>
        <v/>
      </c>
      <c r="FZ1746" s="708" t="str">
        <f t="shared" si="232"/>
        <v/>
      </c>
      <c r="GA1746" s="708" t="str">
        <f t="shared" si="233"/>
        <v/>
      </c>
      <c r="GB1746" s="708" t="str">
        <f t="shared" si="234"/>
        <v/>
      </c>
      <c r="GC1746" s="708" t="str">
        <f t="shared" si="235"/>
        <v/>
      </c>
      <c r="GD1746" s="708" t="str">
        <f t="shared" si="236"/>
        <v/>
      </c>
      <c r="GE1746" s="708" t="str">
        <f t="shared" si="237"/>
        <v/>
      </c>
      <c r="GF1746" s="708" t="str">
        <f t="shared" si="238"/>
        <v/>
      </c>
      <c r="GG1746" s="708" t="str">
        <f t="shared" si="239"/>
        <v/>
      </c>
      <c r="GH1746" s="708" t="str">
        <f t="shared" si="240"/>
        <v/>
      </c>
      <c r="GI1746" s="708" t="str">
        <f t="shared" si="241"/>
        <v/>
      </c>
      <c r="GJ1746" s="708" t="str">
        <f t="shared" si="242"/>
        <v/>
      </c>
      <c r="GK1746" s="708" t="str">
        <f t="shared" si="243"/>
        <v/>
      </c>
      <c r="GL1746" s="708" t="str">
        <f t="shared" si="244"/>
        <v/>
      </c>
      <c r="GM1746" s="708" t="str">
        <f t="shared" si="245"/>
        <v/>
      </c>
      <c r="GN1746" s="708" t="str">
        <f t="shared" si="246"/>
        <v/>
      </c>
      <c r="GO1746" s="708" t="str">
        <f t="shared" si="247"/>
        <v/>
      </c>
      <c r="GP1746" s="708" t="str">
        <f t="shared" si="248"/>
        <v/>
      </c>
      <c r="GQ1746" s="708" t="str">
        <f t="shared" si="249"/>
        <v/>
      </c>
      <c r="GR1746" s="708" t="str">
        <f t="shared" si="250"/>
        <v/>
      </c>
      <c r="GS1746" s="708" t="str">
        <f t="shared" si="251"/>
        <v/>
      </c>
      <c r="GT1746" s="708" t="str">
        <f t="shared" si="252"/>
        <v/>
      </c>
      <c r="GU1746" s="708" t="str">
        <f t="shared" si="253"/>
        <v/>
      </c>
      <c r="GV1746" s="708" t="str">
        <f t="shared" si="254"/>
        <v/>
      </c>
      <c r="GW1746" s="708" t="str">
        <f t="shared" si="255"/>
        <v/>
      </c>
      <c r="GX1746" s="708" t="str">
        <f t="shared" si="256"/>
        <v/>
      </c>
      <c r="GY1746" s="708" t="str">
        <f t="shared" si="257"/>
        <v/>
      </c>
      <c r="GZ1746" s="708" t="str">
        <f t="shared" si="258"/>
        <v/>
      </c>
      <c r="HA1746" s="708" t="str">
        <f t="shared" si="259"/>
        <v/>
      </c>
      <c r="HB1746" s="708" t="str">
        <f t="shared" si="260"/>
        <v/>
      </c>
      <c r="HC1746" s="708" t="str">
        <f t="shared" si="261"/>
        <v/>
      </c>
      <c r="HD1746" s="708" t="str">
        <f t="shared" si="262"/>
        <v/>
      </c>
      <c r="HE1746" s="708" t="str">
        <f t="shared" si="263"/>
        <v/>
      </c>
      <c r="HF1746" s="708" t="str">
        <f t="shared" si="264"/>
        <v/>
      </c>
      <c r="HG1746" s="708" t="str">
        <f t="shared" si="265"/>
        <v/>
      </c>
      <c r="HH1746" s="708" t="str">
        <f t="shared" si="266"/>
        <v/>
      </c>
      <c r="HI1746" s="708" t="str">
        <f t="shared" si="267"/>
        <v/>
      </c>
      <c r="HJ1746" s="708" t="str">
        <f t="shared" si="268"/>
        <v/>
      </c>
      <c r="HK1746" s="708" t="str">
        <f t="shared" si="269"/>
        <v/>
      </c>
    </row>
    <row r="1747" spans="1:219" ht="13.15" customHeight="1">
      <c r="A1747" s="708" t="str">
        <f t="shared" si="270"/>
        <v/>
      </c>
      <c r="B1747" s="708">
        <f>'Part VI-Revenues &amp; Expenses'!B32</f>
        <v>0</v>
      </c>
      <c r="C1747" s="708">
        <f>'Part VI-Revenues &amp; Expenses'!C32</f>
        <v>0</v>
      </c>
      <c r="D1747" s="708">
        <f>'Part VI-Revenues &amp; Expenses'!D32</f>
        <v>0</v>
      </c>
      <c r="E1747" s="708">
        <f>'Part VI-Revenues &amp; Expenses'!E32</f>
        <v>0</v>
      </c>
      <c r="F1747" s="708">
        <f>'Part VI-Revenues &amp; Expenses'!F32</f>
        <v>0</v>
      </c>
      <c r="G1747" s="708">
        <f>'Part VI-Revenues &amp; Expenses'!G32</f>
        <v>0</v>
      </c>
      <c r="H1747" s="708">
        <f>'Part VI-Revenues &amp; Expenses'!H32</f>
        <v>0</v>
      </c>
      <c r="I1747" s="708">
        <f>'Part VI-Revenues &amp; Expenses'!I32</f>
        <v>0</v>
      </c>
      <c r="J1747" s="708">
        <f>'Part VI-Revenues &amp; Expenses'!J32</f>
        <v>0</v>
      </c>
      <c r="K1747" s="708">
        <f t="shared" si="302"/>
        <v>0</v>
      </c>
      <c r="L1747" s="708">
        <f t="shared" si="99"/>
        <v>0</v>
      </c>
      <c r="M1747" s="708">
        <f>'Part VI-Revenues &amp; Expenses'!M32</f>
        <v>0</v>
      </c>
      <c r="N1747" s="708">
        <f>'Part VI-Revenues &amp; Expenses'!N32</f>
        <v>0</v>
      </c>
      <c r="O1747" s="708">
        <f>'Part VI-Revenues &amp; Expenses'!O32</f>
        <v>0</v>
      </c>
      <c r="P1747" s="708" t="str">
        <f>'Part VI-Revenues &amp; Expenses'!P32</f>
        <v/>
      </c>
      <c r="Q1747" s="708" t="str">
        <f>'Part VI-Revenues &amp; Expenses'!Q32</f>
        <v/>
      </c>
      <c r="R1747" s="708">
        <f>'Part VI-Revenues &amp; Expenses'!R32</f>
        <v>0</v>
      </c>
      <c r="T1747" s="708" t="str">
        <f t="shared" si="100"/>
        <v/>
      </c>
      <c r="U1747" s="708" t="str">
        <f t="shared" si="101"/>
        <v/>
      </c>
      <c r="V1747" s="708" t="str">
        <f t="shared" si="102"/>
        <v/>
      </c>
      <c r="W1747" s="708" t="str">
        <f t="shared" si="103"/>
        <v/>
      </c>
      <c r="X1747" s="708" t="str">
        <f t="shared" si="104"/>
        <v/>
      </c>
      <c r="Y1747" s="708" t="str">
        <f t="shared" si="105"/>
        <v/>
      </c>
      <c r="Z1747" s="708" t="str">
        <f t="shared" si="106"/>
        <v/>
      </c>
      <c r="AA1747" s="708" t="str">
        <f t="shared" si="107"/>
        <v/>
      </c>
      <c r="AB1747" s="708" t="str">
        <f t="shared" si="108"/>
        <v/>
      </c>
      <c r="AC1747" s="708" t="str">
        <f t="shared" si="109"/>
        <v/>
      </c>
      <c r="AD1747" s="708" t="str">
        <f t="shared" si="110"/>
        <v/>
      </c>
      <c r="AE1747" s="708" t="str">
        <f t="shared" si="111"/>
        <v/>
      </c>
      <c r="AF1747" s="708" t="str">
        <f t="shared" si="112"/>
        <v/>
      </c>
      <c r="AG1747" s="708" t="str">
        <f t="shared" si="113"/>
        <v/>
      </c>
      <c r="AH1747" s="708" t="str">
        <f t="shared" si="114"/>
        <v/>
      </c>
      <c r="AI1747" s="708" t="str">
        <f t="shared" si="115"/>
        <v/>
      </c>
      <c r="AJ1747" s="708" t="str">
        <f t="shared" si="116"/>
        <v/>
      </c>
      <c r="AK1747" s="708" t="str">
        <f t="shared" si="117"/>
        <v/>
      </c>
      <c r="AL1747" s="708" t="str">
        <f t="shared" si="118"/>
        <v/>
      </c>
      <c r="AM1747" s="708" t="str">
        <f t="shared" si="119"/>
        <v/>
      </c>
      <c r="AN1747" s="708" t="str">
        <f t="shared" si="272"/>
        <v/>
      </c>
      <c r="AO1747" s="708" t="str">
        <f t="shared" si="273"/>
        <v/>
      </c>
      <c r="AP1747" s="708" t="str">
        <f t="shared" si="274"/>
        <v/>
      </c>
      <c r="AQ1747" s="708" t="str">
        <f t="shared" si="275"/>
        <v/>
      </c>
      <c r="AR1747" s="708" t="str">
        <f t="shared" si="276"/>
        <v/>
      </c>
      <c r="AS1747" s="708" t="str">
        <f t="shared" si="277"/>
        <v/>
      </c>
      <c r="AT1747" s="708" t="str">
        <f t="shared" si="278"/>
        <v/>
      </c>
      <c r="AU1747" s="708" t="str">
        <f t="shared" si="279"/>
        <v/>
      </c>
      <c r="AV1747" s="708" t="str">
        <f t="shared" si="280"/>
        <v/>
      </c>
      <c r="AW1747" s="708" t="str">
        <f t="shared" si="281"/>
        <v/>
      </c>
      <c r="AX1747" s="708" t="str">
        <f t="shared" si="282"/>
        <v/>
      </c>
      <c r="AY1747" s="708" t="str">
        <f t="shared" si="283"/>
        <v/>
      </c>
      <c r="AZ1747" s="708" t="str">
        <f t="shared" si="284"/>
        <v/>
      </c>
      <c r="BA1747" s="708" t="str">
        <f t="shared" si="285"/>
        <v/>
      </c>
      <c r="BB1747" s="708" t="str">
        <f t="shared" si="286"/>
        <v/>
      </c>
      <c r="BC1747" s="708" t="str">
        <f t="shared" si="287"/>
        <v/>
      </c>
      <c r="BD1747" s="708" t="str">
        <f t="shared" si="288"/>
        <v/>
      </c>
      <c r="BE1747" s="708" t="str">
        <f t="shared" si="289"/>
        <v/>
      </c>
      <c r="BF1747" s="708" t="str">
        <f t="shared" si="290"/>
        <v/>
      </c>
      <c r="BG1747" s="708" t="str">
        <f t="shared" si="291"/>
        <v/>
      </c>
      <c r="BH1747" s="708" t="str">
        <f t="shared" si="292"/>
        <v/>
      </c>
      <c r="BI1747" s="708" t="str">
        <f t="shared" si="293"/>
        <v/>
      </c>
      <c r="BJ1747" s="708" t="str">
        <f t="shared" si="294"/>
        <v/>
      </c>
      <c r="BK1747" s="708" t="str">
        <f t="shared" si="295"/>
        <v/>
      </c>
      <c r="BL1747" s="708" t="str">
        <f t="shared" si="296"/>
        <v/>
      </c>
      <c r="BM1747" s="708" t="str">
        <f t="shared" si="297"/>
        <v/>
      </c>
      <c r="BN1747" s="708" t="str">
        <f t="shared" si="298"/>
        <v/>
      </c>
      <c r="BO1747" s="708" t="str">
        <f t="shared" si="299"/>
        <v/>
      </c>
      <c r="BP1747" s="708" t="str">
        <f t="shared" si="300"/>
        <v/>
      </c>
      <c r="BQ1747" s="708" t="str">
        <f t="shared" si="301"/>
        <v/>
      </c>
      <c r="BR1747" s="708" t="str">
        <f t="shared" si="120"/>
        <v/>
      </c>
      <c r="BS1747" s="708" t="str">
        <f t="shared" si="121"/>
        <v/>
      </c>
      <c r="BT1747" s="708" t="str">
        <f t="shared" si="122"/>
        <v/>
      </c>
      <c r="BU1747" s="708" t="str">
        <f t="shared" si="123"/>
        <v/>
      </c>
      <c r="BV1747" s="708" t="str">
        <f t="shared" si="124"/>
        <v/>
      </c>
      <c r="BW1747" s="708" t="str">
        <f t="shared" si="125"/>
        <v/>
      </c>
      <c r="BX1747" s="708" t="str">
        <f t="shared" si="126"/>
        <v/>
      </c>
      <c r="BY1747" s="708" t="str">
        <f t="shared" si="127"/>
        <v/>
      </c>
      <c r="BZ1747" s="708" t="str">
        <f t="shared" si="128"/>
        <v/>
      </c>
      <c r="CA1747" s="708" t="str">
        <f t="shared" si="129"/>
        <v/>
      </c>
      <c r="CB1747" s="708" t="str">
        <f t="shared" si="130"/>
        <v/>
      </c>
      <c r="CC1747" s="708" t="str">
        <f t="shared" si="131"/>
        <v/>
      </c>
      <c r="CD1747" s="708" t="str">
        <f t="shared" si="132"/>
        <v/>
      </c>
      <c r="CE1747" s="708" t="str">
        <f t="shared" si="133"/>
        <v/>
      </c>
      <c r="CF1747" s="708" t="str">
        <f t="shared" si="134"/>
        <v/>
      </c>
      <c r="CG1747" s="708" t="str">
        <f t="shared" si="135"/>
        <v/>
      </c>
      <c r="CH1747" s="708" t="str">
        <f t="shared" si="136"/>
        <v/>
      </c>
      <c r="CI1747" s="708" t="str">
        <f t="shared" si="137"/>
        <v/>
      </c>
      <c r="CJ1747" s="708" t="str">
        <f t="shared" si="138"/>
        <v/>
      </c>
      <c r="CK1747" s="708" t="str">
        <f t="shared" si="139"/>
        <v/>
      </c>
      <c r="CL1747" s="708" t="str">
        <f t="shared" si="140"/>
        <v/>
      </c>
      <c r="CM1747" s="708" t="str">
        <f t="shared" si="141"/>
        <v/>
      </c>
      <c r="CN1747" s="708" t="str">
        <f t="shared" si="142"/>
        <v/>
      </c>
      <c r="CO1747" s="708" t="str">
        <f t="shared" si="143"/>
        <v/>
      </c>
      <c r="CP1747" s="708" t="str">
        <f t="shared" si="144"/>
        <v/>
      </c>
      <c r="CQ1747" s="708" t="str">
        <f t="shared" si="145"/>
        <v/>
      </c>
      <c r="CR1747" s="708" t="str">
        <f t="shared" si="146"/>
        <v/>
      </c>
      <c r="CS1747" s="708" t="str">
        <f t="shared" si="147"/>
        <v/>
      </c>
      <c r="CT1747" s="708" t="str">
        <f t="shared" si="148"/>
        <v/>
      </c>
      <c r="CU1747" s="708" t="str">
        <f t="shared" si="149"/>
        <v/>
      </c>
      <c r="CV1747" s="708" t="str">
        <f t="shared" si="150"/>
        <v/>
      </c>
      <c r="CW1747" s="708" t="str">
        <f t="shared" si="151"/>
        <v/>
      </c>
      <c r="CX1747" s="708" t="str">
        <f t="shared" si="152"/>
        <v/>
      </c>
      <c r="CY1747" s="708" t="str">
        <f t="shared" si="153"/>
        <v/>
      </c>
      <c r="CZ1747" s="708" t="str">
        <f t="shared" si="154"/>
        <v/>
      </c>
      <c r="DA1747" s="708" t="str">
        <f t="shared" si="155"/>
        <v/>
      </c>
      <c r="DB1747" s="708" t="str">
        <f t="shared" si="156"/>
        <v/>
      </c>
      <c r="DC1747" s="708" t="str">
        <f t="shared" si="157"/>
        <v/>
      </c>
      <c r="DD1747" s="708" t="str">
        <f t="shared" si="158"/>
        <v/>
      </c>
      <c r="DE1747" s="708" t="str">
        <f t="shared" si="159"/>
        <v/>
      </c>
      <c r="DF1747" s="708" t="str">
        <f t="shared" si="160"/>
        <v/>
      </c>
      <c r="DG1747" s="708" t="str">
        <f t="shared" si="161"/>
        <v/>
      </c>
      <c r="DH1747" s="708" t="str">
        <f t="shared" si="162"/>
        <v/>
      </c>
      <c r="DI1747" s="708" t="str">
        <f t="shared" si="163"/>
        <v/>
      </c>
      <c r="DJ1747" s="708" t="str">
        <f t="shared" si="164"/>
        <v/>
      </c>
      <c r="DK1747" s="708" t="str">
        <f t="shared" si="165"/>
        <v/>
      </c>
      <c r="DL1747" s="708" t="str">
        <f t="shared" si="166"/>
        <v/>
      </c>
      <c r="DM1747" s="708" t="str">
        <f t="shared" si="167"/>
        <v/>
      </c>
      <c r="DN1747" s="708" t="str">
        <f t="shared" si="168"/>
        <v/>
      </c>
      <c r="DO1747" s="708" t="str">
        <f t="shared" si="169"/>
        <v/>
      </c>
      <c r="DP1747" s="708" t="str">
        <f t="shared" si="170"/>
        <v/>
      </c>
      <c r="DQ1747" s="708" t="str">
        <f t="shared" si="171"/>
        <v/>
      </c>
      <c r="DR1747" s="708" t="str">
        <f t="shared" si="172"/>
        <v/>
      </c>
      <c r="DS1747" s="708" t="str">
        <f t="shared" si="173"/>
        <v/>
      </c>
      <c r="DT1747" s="708" t="str">
        <f t="shared" si="174"/>
        <v/>
      </c>
      <c r="DU1747" s="708" t="str">
        <f t="shared" si="175"/>
        <v/>
      </c>
      <c r="DV1747" s="708" t="str">
        <f t="shared" si="176"/>
        <v/>
      </c>
      <c r="DW1747" s="708" t="str">
        <f t="shared" si="177"/>
        <v/>
      </c>
      <c r="DX1747" s="708" t="str">
        <f t="shared" si="178"/>
        <v/>
      </c>
      <c r="DY1747" s="708" t="str">
        <f t="shared" si="179"/>
        <v/>
      </c>
      <c r="DZ1747" s="708" t="str">
        <f t="shared" si="180"/>
        <v/>
      </c>
      <c r="EA1747" s="708" t="str">
        <f t="shared" si="181"/>
        <v/>
      </c>
      <c r="EB1747" s="708" t="str">
        <f t="shared" si="182"/>
        <v/>
      </c>
      <c r="EC1747" s="708" t="str">
        <f t="shared" si="183"/>
        <v/>
      </c>
      <c r="ED1747" s="708" t="str">
        <f t="shared" si="184"/>
        <v/>
      </c>
      <c r="EE1747" s="708" t="str">
        <f t="shared" si="185"/>
        <v/>
      </c>
      <c r="EF1747" s="708" t="str">
        <f t="shared" si="186"/>
        <v/>
      </c>
      <c r="EG1747" s="708" t="str">
        <f t="shared" si="187"/>
        <v/>
      </c>
      <c r="EH1747" s="708" t="str">
        <f t="shared" si="188"/>
        <v/>
      </c>
      <c r="EI1747" s="708" t="str">
        <f t="shared" si="189"/>
        <v/>
      </c>
      <c r="EJ1747" s="708" t="str">
        <f t="shared" si="190"/>
        <v/>
      </c>
      <c r="EK1747" s="708" t="str">
        <f t="shared" si="191"/>
        <v/>
      </c>
      <c r="EL1747" s="708" t="str">
        <f t="shared" si="192"/>
        <v/>
      </c>
      <c r="EM1747" s="708" t="str">
        <f t="shared" si="193"/>
        <v/>
      </c>
      <c r="EN1747" s="708" t="str">
        <f t="shared" si="194"/>
        <v/>
      </c>
      <c r="EO1747" s="708" t="str">
        <f t="shared" si="195"/>
        <v/>
      </c>
      <c r="EP1747" s="708" t="str">
        <f t="shared" si="196"/>
        <v/>
      </c>
      <c r="EQ1747" s="708" t="str">
        <f t="shared" si="197"/>
        <v/>
      </c>
      <c r="ER1747" s="708" t="str">
        <f t="shared" si="198"/>
        <v/>
      </c>
      <c r="ES1747" s="708" t="str">
        <f t="shared" si="199"/>
        <v/>
      </c>
      <c r="ET1747" s="708" t="str">
        <f t="shared" si="200"/>
        <v/>
      </c>
      <c r="EU1747" s="708" t="str">
        <f t="shared" si="201"/>
        <v/>
      </c>
      <c r="EV1747" s="708" t="str">
        <f t="shared" si="202"/>
        <v/>
      </c>
      <c r="EW1747" s="708" t="str">
        <f t="shared" si="203"/>
        <v/>
      </c>
      <c r="EX1747" s="708" t="str">
        <f t="shared" si="204"/>
        <v/>
      </c>
      <c r="EY1747" s="708" t="str">
        <f t="shared" si="205"/>
        <v/>
      </c>
      <c r="EZ1747" s="708" t="str">
        <f t="shared" si="206"/>
        <v/>
      </c>
      <c r="FA1747" s="708" t="str">
        <f t="shared" si="207"/>
        <v/>
      </c>
      <c r="FB1747" s="708" t="str">
        <f t="shared" si="208"/>
        <v/>
      </c>
      <c r="FC1747" s="708" t="str">
        <f t="shared" si="209"/>
        <v/>
      </c>
      <c r="FD1747" s="708" t="str">
        <f t="shared" si="210"/>
        <v/>
      </c>
      <c r="FE1747" s="708" t="str">
        <f t="shared" si="211"/>
        <v/>
      </c>
      <c r="FF1747" s="708" t="str">
        <f t="shared" si="212"/>
        <v/>
      </c>
      <c r="FG1747" s="708" t="str">
        <f t="shared" si="213"/>
        <v/>
      </c>
      <c r="FH1747" s="708" t="str">
        <f t="shared" si="214"/>
        <v/>
      </c>
      <c r="FI1747" s="708" t="str">
        <f t="shared" si="215"/>
        <v/>
      </c>
      <c r="FJ1747" s="708" t="str">
        <f t="shared" si="216"/>
        <v/>
      </c>
      <c r="FK1747" s="708" t="str">
        <f t="shared" si="217"/>
        <v/>
      </c>
      <c r="FL1747" s="708" t="str">
        <f t="shared" si="218"/>
        <v/>
      </c>
      <c r="FM1747" s="708" t="str">
        <f t="shared" si="219"/>
        <v/>
      </c>
      <c r="FN1747" s="708" t="str">
        <f t="shared" si="220"/>
        <v/>
      </c>
      <c r="FO1747" s="708" t="str">
        <f t="shared" si="221"/>
        <v/>
      </c>
      <c r="FP1747" s="708" t="str">
        <f t="shared" si="222"/>
        <v/>
      </c>
      <c r="FQ1747" s="708" t="str">
        <f t="shared" si="223"/>
        <v/>
      </c>
      <c r="FR1747" s="708" t="str">
        <f t="shared" si="224"/>
        <v/>
      </c>
      <c r="FS1747" s="708" t="str">
        <f t="shared" si="225"/>
        <v/>
      </c>
      <c r="FT1747" s="708" t="str">
        <f t="shared" si="226"/>
        <v/>
      </c>
      <c r="FU1747" s="708" t="str">
        <f t="shared" si="227"/>
        <v/>
      </c>
      <c r="FV1747" s="708" t="str">
        <f t="shared" si="228"/>
        <v/>
      </c>
      <c r="FW1747" s="708" t="str">
        <f t="shared" si="229"/>
        <v/>
      </c>
      <c r="FX1747" s="708" t="str">
        <f t="shared" si="230"/>
        <v/>
      </c>
      <c r="FY1747" s="708" t="str">
        <f t="shared" si="231"/>
        <v/>
      </c>
      <c r="FZ1747" s="708" t="str">
        <f t="shared" si="232"/>
        <v/>
      </c>
      <c r="GA1747" s="708" t="str">
        <f t="shared" si="233"/>
        <v/>
      </c>
      <c r="GB1747" s="708" t="str">
        <f t="shared" si="234"/>
        <v/>
      </c>
      <c r="GC1747" s="708" t="str">
        <f t="shared" si="235"/>
        <v/>
      </c>
      <c r="GD1747" s="708" t="str">
        <f t="shared" si="236"/>
        <v/>
      </c>
      <c r="GE1747" s="708" t="str">
        <f t="shared" si="237"/>
        <v/>
      </c>
      <c r="GF1747" s="708" t="str">
        <f t="shared" si="238"/>
        <v/>
      </c>
      <c r="GG1747" s="708" t="str">
        <f t="shared" si="239"/>
        <v/>
      </c>
      <c r="GH1747" s="708" t="str">
        <f t="shared" si="240"/>
        <v/>
      </c>
      <c r="GI1747" s="708" t="str">
        <f t="shared" si="241"/>
        <v/>
      </c>
      <c r="GJ1747" s="708" t="str">
        <f t="shared" si="242"/>
        <v/>
      </c>
      <c r="GK1747" s="708" t="str">
        <f t="shared" si="243"/>
        <v/>
      </c>
      <c r="GL1747" s="708" t="str">
        <f t="shared" si="244"/>
        <v/>
      </c>
      <c r="GM1747" s="708" t="str">
        <f t="shared" si="245"/>
        <v/>
      </c>
      <c r="GN1747" s="708" t="str">
        <f t="shared" si="246"/>
        <v/>
      </c>
      <c r="GO1747" s="708" t="str">
        <f t="shared" si="247"/>
        <v/>
      </c>
      <c r="GP1747" s="708" t="str">
        <f t="shared" si="248"/>
        <v/>
      </c>
      <c r="GQ1747" s="708" t="str">
        <f t="shared" si="249"/>
        <v/>
      </c>
      <c r="GR1747" s="708" t="str">
        <f t="shared" si="250"/>
        <v/>
      </c>
      <c r="GS1747" s="708" t="str">
        <f t="shared" si="251"/>
        <v/>
      </c>
      <c r="GT1747" s="708" t="str">
        <f t="shared" si="252"/>
        <v/>
      </c>
      <c r="GU1747" s="708" t="str">
        <f t="shared" si="253"/>
        <v/>
      </c>
      <c r="GV1747" s="708" t="str">
        <f t="shared" si="254"/>
        <v/>
      </c>
      <c r="GW1747" s="708" t="str">
        <f t="shared" si="255"/>
        <v/>
      </c>
      <c r="GX1747" s="708" t="str">
        <f t="shared" si="256"/>
        <v/>
      </c>
      <c r="GY1747" s="708" t="str">
        <f t="shared" si="257"/>
        <v/>
      </c>
      <c r="GZ1747" s="708" t="str">
        <f t="shared" si="258"/>
        <v/>
      </c>
      <c r="HA1747" s="708" t="str">
        <f t="shared" si="259"/>
        <v/>
      </c>
      <c r="HB1747" s="708" t="str">
        <f t="shared" si="260"/>
        <v/>
      </c>
      <c r="HC1747" s="708" t="str">
        <f t="shared" si="261"/>
        <v/>
      </c>
      <c r="HD1747" s="708" t="str">
        <f t="shared" si="262"/>
        <v/>
      </c>
      <c r="HE1747" s="708" t="str">
        <f t="shared" si="263"/>
        <v/>
      </c>
      <c r="HF1747" s="708" t="str">
        <f t="shared" si="264"/>
        <v/>
      </c>
      <c r="HG1747" s="708" t="str">
        <f t="shared" si="265"/>
        <v/>
      </c>
      <c r="HH1747" s="708" t="str">
        <f t="shared" si="266"/>
        <v/>
      </c>
      <c r="HI1747" s="708" t="str">
        <f t="shared" si="267"/>
        <v/>
      </c>
      <c r="HJ1747" s="708" t="str">
        <f t="shared" si="268"/>
        <v/>
      </c>
      <c r="HK1747" s="708" t="str">
        <f t="shared" si="269"/>
        <v/>
      </c>
    </row>
    <row r="1748" spans="1:219" ht="13.15" customHeight="1">
      <c r="A1748" s="708" t="str">
        <f t="shared" si="270"/>
        <v/>
      </c>
      <c r="B1748" s="708">
        <f>'Part VI-Revenues &amp; Expenses'!B33</f>
        <v>0</v>
      </c>
      <c r="C1748" s="708">
        <f>'Part VI-Revenues &amp; Expenses'!C33</f>
        <v>0</v>
      </c>
      <c r="D1748" s="708">
        <f>'Part VI-Revenues &amp; Expenses'!D33</f>
        <v>0</v>
      </c>
      <c r="E1748" s="708">
        <f>'Part VI-Revenues &amp; Expenses'!E33</f>
        <v>0</v>
      </c>
      <c r="F1748" s="708">
        <f>'Part VI-Revenues &amp; Expenses'!F33</f>
        <v>0</v>
      </c>
      <c r="G1748" s="708">
        <f>'Part VI-Revenues &amp; Expenses'!G33</f>
        <v>0</v>
      </c>
      <c r="H1748" s="708">
        <f>'Part VI-Revenues &amp; Expenses'!H33</f>
        <v>0</v>
      </c>
      <c r="I1748" s="708">
        <f>'Part VI-Revenues &amp; Expenses'!I33</f>
        <v>0</v>
      </c>
      <c r="J1748" s="708">
        <f>'Part VI-Revenues &amp; Expenses'!J33</f>
        <v>0</v>
      </c>
      <c r="K1748" s="708">
        <f t="shared" si="302"/>
        <v>0</v>
      </c>
      <c r="L1748" s="708">
        <f t="shared" si="99"/>
        <v>0</v>
      </c>
      <c r="M1748" s="708">
        <f>'Part VI-Revenues &amp; Expenses'!M33</f>
        <v>0</v>
      </c>
      <c r="N1748" s="708">
        <f>'Part VI-Revenues &amp; Expenses'!N33</f>
        <v>0</v>
      </c>
      <c r="O1748" s="708">
        <f>'Part VI-Revenues &amp; Expenses'!O33</f>
        <v>0</v>
      </c>
      <c r="P1748" s="708" t="str">
        <f>'Part VI-Revenues &amp; Expenses'!P33</f>
        <v/>
      </c>
      <c r="Q1748" s="708" t="str">
        <f>'Part VI-Revenues &amp; Expenses'!Q33</f>
        <v/>
      </c>
      <c r="R1748" s="708">
        <f>'Part VI-Revenues &amp; Expenses'!R33</f>
        <v>0</v>
      </c>
      <c r="T1748" s="708" t="str">
        <f t="shared" si="100"/>
        <v/>
      </c>
      <c r="U1748" s="708" t="str">
        <f t="shared" si="101"/>
        <v/>
      </c>
      <c r="V1748" s="708" t="str">
        <f t="shared" si="102"/>
        <v/>
      </c>
      <c r="W1748" s="708" t="str">
        <f t="shared" si="103"/>
        <v/>
      </c>
      <c r="X1748" s="708" t="str">
        <f t="shared" si="104"/>
        <v/>
      </c>
      <c r="Y1748" s="708" t="str">
        <f t="shared" si="105"/>
        <v/>
      </c>
      <c r="Z1748" s="708" t="str">
        <f t="shared" si="106"/>
        <v/>
      </c>
      <c r="AA1748" s="708" t="str">
        <f t="shared" si="107"/>
        <v/>
      </c>
      <c r="AB1748" s="708" t="str">
        <f t="shared" si="108"/>
        <v/>
      </c>
      <c r="AC1748" s="708" t="str">
        <f t="shared" si="109"/>
        <v/>
      </c>
      <c r="AD1748" s="708" t="str">
        <f t="shared" si="110"/>
        <v/>
      </c>
      <c r="AE1748" s="708" t="str">
        <f t="shared" si="111"/>
        <v/>
      </c>
      <c r="AF1748" s="708" t="str">
        <f t="shared" si="112"/>
        <v/>
      </c>
      <c r="AG1748" s="708" t="str">
        <f t="shared" si="113"/>
        <v/>
      </c>
      <c r="AH1748" s="708" t="str">
        <f t="shared" si="114"/>
        <v/>
      </c>
      <c r="AI1748" s="708" t="str">
        <f t="shared" si="115"/>
        <v/>
      </c>
      <c r="AJ1748" s="708" t="str">
        <f t="shared" si="116"/>
        <v/>
      </c>
      <c r="AK1748" s="708" t="str">
        <f t="shared" si="117"/>
        <v/>
      </c>
      <c r="AL1748" s="708" t="str">
        <f t="shared" si="118"/>
        <v/>
      </c>
      <c r="AM1748" s="708" t="str">
        <f t="shared" si="119"/>
        <v/>
      </c>
      <c r="AN1748" s="708" t="str">
        <f t="shared" si="272"/>
        <v/>
      </c>
      <c r="AO1748" s="708" t="str">
        <f t="shared" si="273"/>
        <v/>
      </c>
      <c r="AP1748" s="708" t="str">
        <f t="shared" si="274"/>
        <v/>
      </c>
      <c r="AQ1748" s="708" t="str">
        <f t="shared" si="275"/>
        <v/>
      </c>
      <c r="AR1748" s="708" t="str">
        <f t="shared" si="276"/>
        <v/>
      </c>
      <c r="AS1748" s="708" t="str">
        <f t="shared" si="277"/>
        <v/>
      </c>
      <c r="AT1748" s="708" t="str">
        <f t="shared" si="278"/>
        <v/>
      </c>
      <c r="AU1748" s="708" t="str">
        <f t="shared" si="279"/>
        <v/>
      </c>
      <c r="AV1748" s="708" t="str">
        <f t="shared" si="280"/>
        <v/>
      </c>
      <c r="AW1748" s="708" t="str">
        <f t="shared" si="281"/>
        <v/>
      </c>
      <c r="AX1748" s="708" t="str">
        <f t="shared" si="282"/>
        <v/>
      </c>
      <c r="AY1748" s="708" t="str">
        <f t="shared" si="283"/>
        <v/>
      </c>
      <c r="AZ1748" s="708" t="str">
        <f t="shared" si="284"/>
        <v/>
      </c>
      <c r="BA1748" s="708" t="str">
        <f t="shared" si="285"/>
        <v/>
      </c>
      <c r="BB1748" s="708" t="str">
        <f t="shared" si="286"/>
        <v/>
      </c>
      <c r="BC1748" s="708" t="str">
        <f t="shared" si="287"/>
        <v/>
      </c>
      <c r="BD1748" s="708" t="str">
        <f t="shared" si="288"/>
        <v/>
      </c>
      <c r="BE1748" s="708" t="str">
        <f t="shared" si="289"/>
        <v/>
      </c>
      <c r="BF1748" s="708" t="str">
        <f t="shared" si="290"/>
        <v/>
      </c>
      <c r="BG1748" s="708" t="str">
        <f t="shared" si="291"/>
        <v/>
      </c>
      <c r="BH1748" s="708" t="str">
        <f t="shared" si="292"/>
        <v/>
      </c>
      <c r="BI1748" s="708" t="str">
        <f t="shared" si="293"/>
        <v/>
      </c>
      <c r="BJ1748" s="708" t="str">
        <f t="shared" si="294"/>
        <v/>
      </c>
      <c r="BK1748" s="708" t="str">
        <f t="shared" si="295"/>
        <v/>
      </c>
      <c r="BL1748" s="708" t="str">
        <f t="shared" si="296"/>
        <v/>
      </c>
      <c r="BM1748" s="708" t="str">
        <f t="shared" si="297"/>
        <v/>
      </c>
      <c r="BN1748" s="708" t="str">
        <f t="shared" si="298"/>
        <v/>
      </c>
      <c r="BO1748" s="708" t="str">
        <f t="shared" si="299"/>
        <v/>
      </c>
      <c r="BP1748" s="708" t="str">
        <f t="shared" si="300"/>
        <v/>
      </c>
      <c r="BQ1748" s="708" t="str">
        <f t="shared" si="301"/>
        <v/>
      </c>
      <c r="BR1748" s="708" t="str">
        <f t="shared" si="120"/>
        <v/>
      </c>
      <c r="BS1748" s="708" t="str">
        <f t="shared" si="121"/>
        <v/>
      </c>
      <c r="BT1748" s="708" t="str">
        <f t="shared" si="122"/>
        <v/>
      </c>
      <c r="BU1748" s="708" t="str">
        <f t="shared" si="123"/>
        <v/>
      </c>
      <c r="BV1748" s="708" t="str">
        <f t="shared" si="124"/>
        <v/>
      </c>
      <c r="BW1748" s="708" t="str">
        <f t="shared" si="125"/>
        <v/>
      </c>
      <c r="BX1748" s="708" t="str">
        <f t="shared" si="126"/>
        <v/>
      </c>
      <c r="BY1748" s="708" t="str">
        <f t="shared" si="127"/>
        <v/>
      </c>
      <c r="BZ1748" s="708" t="str">
        <f t="shared" si="128"/>
        <v/>
      </c>
      <c r="CA1748" s="708" t="str">
        <f t="shared" si="129"/>
        <v/>
      </c>
      <c r="CB1748" s="708" t="str">
        <f t="shared" si="130"/>
        <v/>
      </c>
      <c r="CC1748" s="708" t="str">
        <f t="shared" si="131"/>
        <v/>
      </c>
      <c r="CD1748" s="708" t="str">
        <f t="shared" si="132"/>
        <v/>
      </c>
      <c r="CE1748" s="708" t="str">
        <f t="shared" si="133"/>
        <v/>
      </c>
      <c r="CF1748" s="708" t="str">
        <f t="shared" si="134"/>
        <v/>
      </c>
      <c r="CG1748" s="708" t="str">
        <f t="shared" si="135"/>
        <v/>
      </c>
      <c r="CH1748" s="708" t="str">
        <f t="shared" si="136"/>
        <v/>
      </c>
      <c r="CI1748" s="708" t="str">
        <f t="shared" si="137"/>
        <v/>
      </c>
      <c r="CJ1748" s="708" t="str">
        <f t="shared" si="138"/>
        <v/>
      </c>
      <c r="CK1748" s="708" t="str">
        <f t="shared" si="139"/>
        <v/>
      </c>
      <c r="CL1748" s="708" t="str">
        <f t="shared" si="140"/>
        <v/>
      </c>
      <c r="CM1748" s="708" t="str">
        <f t="shared" si="141"/>
        <v/>
      </c>
      <c r="CN1748" s="708" t="str">
        <f t="shared" si="142"/>
        <v/>
      </c>
      <c r="CO1748" s="708" t="str">
        <f t="shared" si="143"/>
        <v/>
      </c>
      <c r="CP1748" s="708" t="str">
        <f t="shared" si="144"/>
        <v/>
      </c>
      <c r="CQ1748" s="708" t="str">
        <f t="shared" si="145"/>
        <v/>
      </c>
      <c r="CR1748" s="708" t="str">
        <f t="shared" si="146"/>
        <v/>
      </c>
      <c r="CS1748" s="708" t="str">
        <f t="shared" si="147"/>
        <v/>
      </c>
      <c r="CT1748" s="708" t="str">
        <f t="shared" si="148"/>
        <v/>
      </c>
      <c r="CU1748" s="708" t="str">
        <f t="shared" si="149"/>
        <v/>
      </c>
      <c r="CV1748" s="708" t="str">
        <f t="shared" si="150"/>
        <v/>
      </c>
      <c r="CW1748" s="708" t="str">
        <f t="shared" si="151"/>
        <v/>
      </c>
      <c r="CX1748" s="708" t="str">
        <f t="shared" si="152"/>
        <v/>
      </c>
      <c r="CY1748" s="708" t="str">
        <f t="shared" si="153"/>
        <v/>
      </c>
      <c r="CZ1748" s="708" t="str">
        <f t="shared" si="154"/>
        <v/>
      </c>
      <c r="DA1748" s="708" t="str">
        <f t="shared" si="155"/>
        <v/>
      </c>
      <c r="DB1748" s="708" t="str">
        <f t="shared" si="156"/>
        <v/>
      </c>
      <c r="DC1748" s="708" t="str">
        <f t="shared" si="157"/>
        <v/>
      </c>
      <c r="DD1748" s="708" t="str">
        <f t="shared" si="158"/>
        <v/>
      </c>
      <c r="DE1748" s="708" t="str">
        <f t="shared" si="159"/>
        <v/>
      </c>
      <c r="DF1748" s="708" t="str">
        <f t="shared" si="160"/>
        <v/>
      </c>
      <c r="DG1748" s="708" t="str">
        <f t="shared" si="161"/>
        <v/>
      </c>
      <c r="DH1748" s="708" t="str">
        <f t="shared" si="162"/>
        <v/>
      </c>
      <c r="DI1748" s="708" t="str">
        <f t="shared" si="163"/>
        <v/>
      </c>
      <c r="DJ1748" s="708" t="str">
        <f t="shared" si="164"/>
        <v/>
      </c>
      <c r="DK1748" s="708" t="str">
        <f t="shared" si="165"/>
        <v/>
      </c>
      <c r="DL1748" s="708" t="str">
        <f t="shared" si="166"/>
        <v/>
      </c>
      <c r="DM1748" s="708" t="str">
        <f t="shared" si="167"/>
        <v/>
      </c>
      <c r="DN1748" s="708" t="str">
        <f t="shared" si="168"/>
        <v/>
      </c>
      <c r="DO1748" s="708" t="str">
        <f t="shared" si="169"/>
        <v/>
      </c>
      <c r="DP1748" s="708" t="str">
        <f t="shared" si="170"/>
        <v/>
      </c>
      <c r="DQ1748" s="708" t="str">
        <f t="shared" si="171"/>
        <v/>
      </c>
      <c r="DR1748" s="708" t="str">
        <f t="shared" si="172"/>
        <v/>
      </c>
      <c r="DS1748" s="708" t="str">
        <f t="shared" si="173"/>
        <v/>
      </c>
      <c r="DT1748" s="708" t="str">
        <f t="shared" si="174"/>
        <v/>
      </c>
      <c r="DU1748" s="708" t="str">
        <f t="shared" si="175"/>
        <v/>
      </c>
      <c r="DV1748" s="708" t="str">
        <f t="shared" si="176"/>
        <v/>
      </c>
      <c r="DW1748" s="708" t="str">
        <f t="shared" si="177"/>
        <v/>
      </c>
      <c r="DX1748" s="708" t="str">
        <f t="shared" si="178"/>
        <v/>
      </c>
      <c r="DY1748" s="708" t="str">
        <f t="shared" si="179"/>
        <v/>
      </c>
      <c r="DZ1748" s="708" t="str">
        <f t="shared" si="180"/>
        <v/>
      </c>
      <c r="EA1748" s="708" t="str">
        <f t="shared" si="181"/>
        <v/>
      </c>
      <c r="EB1748" s="708" t="str">
        <f t="shared" si="182"/>
        <v/>
      </c>
      <c r="EC1748" s="708" t="str">
        <f t="shared" si="183"/>
        <v/>
      </c>
      <c r="ED1748" s="708" t="str">
        <f t="shared" si="184"/>
        <v/>
      </c>
      <c r="EE1748" s="708" t="str">
        <f t="shared" si="185"/>
        <v/>
      </c>
      <c r="EF1748" s="708" t="str">
        <f t="shared" si="186"/>
        <v/>
      </c>
      <c r="EG1748" s="708" t="str">
        <f t="shared" si="187"/>
        <v/>
      </c>
      <c r="EH1748" s="708" t="str">
        <f t="shared" si="188"/>
        <v/>
      </c>
      <c r="EI1748" s="708" t="str">
        <f t="shared" si="189"/>
        <v/>
      </c>
      <c r="EJ1748" s="708" t="str">
        <f t="shared" si="190"/>
        <v/>
      </c>
      <c r="EK1748" s="708" t="str">
        <f t="shared" si="191"/>
        <v/>
      </c>
      <c r="EL1748" s="708" t="str">
        <f t="shared" si="192"/>
        <v/>
      </c>
      <c r="EM1748" s="708" t="str">
        <f t="shared" si="193"/>
        <v/>
      </c>
      <c r="EN1748" s="708" t="str">
        <f t="shared" si="194"/>
        <v/>
      </c>
      <c r="EO1748" s="708" t="str">
        <f t="shared" si="195"/>
        <v/>
      </c>
      <c r="EP1748" s="708" t="str">
        <f t="shared" si="196"/>
        <v/>
      </c>
      <c r="EQ1748" s="708" t="str">
        <f t="shared" si="197"/>
        <v/>
      </c>
      <c r="ER1748" s="708" t="str">
        <f t="shared" si="198"/>
        <v/>
      </c>
      <c r="ES1748" s="708" t="str">
        <f t="shared" si="199"/>
        <v/>
      </c>
      <c r="ET1748" s="708" t="str">
        <f t="shared" si="200"/>
        <v/>
      </c>
      <c r="EU1748" s="708" t="str">
        <f t="shared" si="201"/>
        <v/>
      </c>
      <c r="EV1748" s="708" t="str">
        <f t="shared" si="202"/>
        <v/>
      </c>
      <c r="EW1748" s="708" t="str">
        <f t="shared" si="203"/>
        <v/>
      </c>
      <c r="EX1748" s="708" t="str">
        <f t="shared" si="204"/>
        <v/>
      </c>
      <c r="EY1748" s="708" t="str">
        <f t="shared" si="205"/>
        <v/>
      </c>
      <c r="EZ1748" s="708" t="str">
        <f t="shared" si="206"/>
        <v/>
      </c>
      <c r="FA1748" s="708" t="str">
        <f t="shared" si="207"/>
        <v/>
      </c>
      <c r="FB1748" s="708" t="str">
        <f t="shared" si="208"/>
        <v/>
      </c>
      <c r="FC1748" s="708" t="str">
        <f t="shared" si="209"/>
        <v/>
      </c>
      <c r="FD1748" s="708" t="str">
        <f t="shared" si="210"/>
        <v/>
      </c>
      <c r="FE1748" s="708" t="str">
        <f t="shared" si="211"/>
        <v/>
      </c>
      <c r="FF1748" s="708" t="str">
        <f t="shared" si="212"/>
        <v/>
      </c>
      <c r="FG1748" s="708" t="str">
        <f t="shared" si="213"/>
        <v/>
      </c>
      <c r="FH1748" s="708" t="str">
        <f t="shared" si="214"/>
        <v/>
      </c>
      <c r="FI1748" s="708" t="str">
        <f t="shared" si="215"/>
        <v/>
      </c>
      <c r="FJ1748" s="708" t="str">
        <f t="shared" si="216"/>
        <v/>
      </c>
      <c r="FK1748" s="708" t="str">
        <f t="shared" si="217"/>
        <v/>
      </c>
      <c r="FL1748" s="708" t="str">
        <f t="shared" si="218"/>
        <v/>
      </c>
      <c r="FM1748" s="708" t="str">
        <f t="shared" si="219"/>
        <v/>
      </c>
      <c r="FN1748" s="708" t="str">
        <f t="shared" si="220"/>
        <v/>
      </c>
      <c r="FO1748" s="708" t="str">
        <f t="shared" si="221"/>
        <v/>
      </c>
      <c r="FP1748" s="708" t="str">
        <f t="shared" si="222"/>
        <v/>
      </c>
      <c r="FQ1748" s="708" t="str">
        <f t="shared" si="223"/>
        <v/>
      </c>
      <c r="FR1748" s="708" t="str">
        <f t="shared" si="224"/>
        <v/>
      </c>
      <c r="FS1748" s="708" t="str">
        <f t="shared" si="225"/>
        <v/>
      </c>
      <c r="FT1748" s="708" t="str">
        <f t="shared" si="226"/>
        <v/>
      </c>
      <c r="FU1748" s="708" t="str">
        <f t="shared" si="227"/>
        <v/>
      </c>
      <c r="FV1748" s="708" t="str">
        <f t="shared" si="228"/>
        <v/>
      </c>
      <c r="FW1748" s="708" t="str">
        <f t="shared" si="229"/>
        <v/>
      </c>
      <c r="FX1748" s="708" t="str">
        <f t="shared" si="230"/>
        <v/>
      </c>
      <c r="FY1748" s="708" t="str">
        <f t="shared" si="231"/>
        <v/>
      </c>
      <c r="FZ1748" s="708" t="str">
        <f t="shared" si="232"/>
        <v/>
      </c>
      <c r="GA1748" s="708" t="str">
        <f t="shared" si="233"/>
        <v/>
      </c>
      <c r="GB1748" s="708" t="str">
        <f t="shared" si="234"/>
        <v/>
      </c>
      <c r="GC1748" s="708" t="str">
        <f t="shared" si="235"/>
        <v/>
      </c>
      <c r="GD1748" s="708" t="str">
        <f t="shared" si="236"/>
        <v/>
      </c>
      <c r="GE1748" s="708" t="str">
        <f t="shared" si="237"/>
        <v/>
      </c>
      <c r="GF1748" s="708" t="str">
        <f t="shared" si="238"/>
        <v/>
      </c>
      <c r="GG1748" s="708" t="str">
        <f t="shared" si="239"/>
        <v/>
      </c>
      <c r="GH1748" s="708" t="str">
        <f t="shared" si="240"/>
        <v/>
      </c>
      <c r="GI1748" s="708" t="str">
        <f t="shared" si="241"/>
        <v/>
      </c>
      <c r="GJ1748" s="708" t="str">
        <f t="shared" si="242"/>
        <v/>
      </c>
      <c r="GK1748" s="708" t="str">
        <f t="shared" si="243"/>
        <v/>
      </c>
      <c r="GL1748" s="708" t="str">
        <f t="shared" si="244"/>
        <v/>
      </c>
      <c r="GM1748" s="708" t="str">
        <f t="shared" si="245"/>
        <v/>
      </c>
      <c r="GN1748" s="708" t="str">
        <f t="shared" si="246"/>
        <v/>
      </c>
      <c r="GO1748" s="708" t="str">
        <f t="shared" si="247"/>
        <v/>
      </c>
      <c r="GP1748" s="708" t="str">
        <f t="shared" si="248"/>
        <v/>
      </c>
      <c r="GQ1748" s="708" t="str">
        <f t="shared" si="249"/>
        <v/>
      </c>
      <c r="GR1748" s="708" t="str">
        <f t="shared" si="250"/>
        <v/>
      </c>
      <c r="GS1748" s="708" t="str">
        <f t="shared" si="251"/>
        <v/>
      </c>
      <c r="GT1748" s="708" t="str">
        <f t="shared" si="252"/>
        <v/>
      </c>
      <c r="GU1748" s="708" t="str">
        <f t="shared" si="253"/>
        <v/>
      </c>
      <c r="GV1748" s="708" t="str">
        <f t="shared" si="254"/>
        <v/>
      </c>
      <c r="GW1748" s="708" t="str">
        <f t="shared" si="255"/>
        <v/>
      </c>
      <c r="GX1748" s="708" t="str">
        <f t="shared" si="256"/>
        <v/>
      </c>
      <c r="GY1748" s="708" t="str">
        <f t="shared" si="257"/>
        <v/>
      </c>
      <c r="GZ1748" s="708" t="str">
        <f t="shared" si="258"/>
        <v/>
      </c>
      <c r="HA1748" s="708" t="str">
        <f t="shared" si="259"/>
        <v/>
      </c>
      <c r="HB1748" s="708" t="str">
        <f t="shared" si="260"/>
        <v/>
      </c>
      <c r="HC1748" s="708" t="str">
        <f t="shared" si="261"/>
        <v/>
      </c>
      <c r="HD1748" s="708" t="str">
        <f t="shared" si="262"/>
        <v/>
      </c>
      <c r="HE1748" s="708" t="str">
        <f t="shared" si="263"/>
        <v/>
      </c>
      <c r="HF1748" s="708" t="str">
        <f t="shared" si="264"/>
        <v/>
      </c>
      <c r="HG1748" s="708" t="str">
        <f t="shared" si="265"/>
        <v/>
      </c>
      <c r="HH1748" s="708" t="str">
        <f t="shared" si="266"/>
        <v/>
      </c>
      <c r="HI1748" s="708" t="str">
        <f t="shared" si="267"/>
        <v/>
      </c>
      <c r="HJ1748" s="708" t="str">
        <f t="shared" si="268"/>
        <v/>
      </c>
      <c r="HK1748" s="708" t="str">
        <f t="shared" si="269"/>
        <v/>
      </c>
    </row>
    <row r="1749" spans="1:219" ht="13.15" customHeight="1">
      <c r="A1749" s="708" t="str">
        <f t="shared" si="270"/>
        <v/>
      </c>
      <c r="B1749" s="708">
        <f>'Part VI-Revenues &amp; Expenses'!B34</f>
        <v>0</v>
      </c>
      <c r="C1749" s="708">
        <f>'Part VI-Revenues &amp; Expenses'!C34</f>
        <v>0</v>
      </c>
      <c r="D1749" s="708">
        <f>'Part VI-Revenues &amp; Expenses'!D34</f>
        <v>0</v>
      </c>
      <c r="E1749" s="708">
        <f>'Part VI-Revenues &amp; Expenses'!E34</f>
        <v>0</v>
      </c>
      <c r="F1749" s="708">
        <f>'Part VI-Revenues &amp; Expenses'!F34</f>
        <v>0</v>
      </c>
      <c r="G1749" s="708">
        <f>'Part VI-Revenues &amp; Expenses'!G34</f>
        <v>0</v>
      </c>
      <c r="H1749" s="708">
        <f>'Part VI-Revenues &amp; Expenses'!H34</f>
        <v>0</v>
      </c>
      <c r="I1749" s="708">
        <f>'Part VI-Revenues &amp; Expenses'!I34</f>
        <v>0</v>
      </c>
      <c r="J1749" s="708">
        <f>'Part VI-Revenues &amp; Expenses'!J34</f>
        <v>0</v>
      </c>
      <c r="K1749" s="708">
        <f t="shared" si="302"/>
        <v>0</v>
      </c>
      <c r="L1749" s="708">
        <f t="shared" si="99"/>
        <v>0</v>
      </c>
      <c r="M1749" s="708">
        <f>'Part VI-Revenues &amp; Expenses'!M34</f>
        <v>0</v>
      </c>
      <c r="N1749" s="708">
        <f>'Part VI-Revenues &amp; Expenses'!N34</f>
        <v>0</v>
      </c>
      <c r="O1749" s="708">
        <f>'Part VI-Revenues &amp; Expenses'!O34</f>
        <v>0</v>
      </c>
      <c r="P1749" s="708" t="str">
        <f>'Part VI-Revenues &amp; Expenses'!P34</f>
        <v/>
      </c>
      <c r="Q1749" s="708" t="str">
        <f>'Part VI-Revenues &amp; Expenses'!Q34</f>
        <v/>
      </c>
      <c r="R1749" s="708">
        <f>'Part VI-Revenues &amp; Expenses'!R34</f>
        <v>0</v>
      </c>
      <c r="T1749" s="708" t="str">
        <f t="shared" si="100"/>
        <v/>
      </c>
      <c r="U1749" s="708" t="str">
        <f t="shared" si="101"/>
        <v/>
      </c>
      <c r="V1749" s="708" t="str">
        <f t="shared" si="102"/>
        <v/>
      </c>
      <c r="W1749" s="708" t="str">
        <f t="shared" si="103"/>
        <v/>
      </c>
      <c r="X1749" s="708" t="str">
        <f t="shared" si="104"/>
        <v/>
      </c>
      <c r="Y1749" s="708" t="str">
        <f t="shared" si="105"/>
        <v/>
      </c>
      <c r="Z1749" s="708" t="str">
        <f t="shared" si="106"/>
        <v/>
      </c>
      <c r="AA1749" s="708" t="str">
        <f t="shared" si="107"/>
        <v/>
      </c>
      <c r="AB1749" s="708" t="str">
        <f t="shared" si="108"/>
        <v/>
      </c>
      <c r="AC1749" s="708" t="str">
        <f t="shared" si="109"/>
        <v/>
      </c>
      <c r="AD1749" s="708" t="str">
        <f t="shared" si="110"/>
        <v/>
      </c>
      <c r="AE1749" s="708" t="str">
        <f t="shared" si="111"/>
        <v/>
      </c>
      <c r="AF1749" s="708" t="str">
        <f t="shared" si="112"/>
        <v/>
      </c>
      <c r="AG1749" s="708" t="str">
        <f t="shared" si="113"/>
        <v/>
      </c>
      <c r="AH1749" s="708" t="str">
        <f t="shared" si="114"/>
        <v/>
      </c>
      <c r="AI1749" s="708" t="str">
        <f t="shared" si="115"/>
        <v/>
      </c>
      <c r="AJ1749" s="708" t="str">
        <f t="shared" si="116"/>
        <v/>
      </c>
      <c r="AK1749" s="708" t="str">
        <f t="shared" si="117"/>
        <v/>
      </c>
      <c r="AL1749" s="708" t="str">
        <f t="shared" si="118"/>
        <v/>
      </c>
      <c r="AM1749" s="708" t="str">
        <f t="shared" si="119"/>
        <v/>
      </c>
      <c r="AN1749" s="708" t="str">
        <f t="shared" si="272"/>
        <v/>
      </c>
      <c r="AO1749" s="708" t="str">
        <f t="shared" si="273"/>
        <v/>
      </c>
      <c r="AP1749" s="708" t="str">
        <f t="shared" si="274"/>
        <v/>
      </c>
      <c r="AQ1749" s="708" t="str">
        <f t="shared" si="275"/>
        <v/>
      </c>
      <c r="AR1749" s="708" t="str">
        <f t="shared" si="276"/>
        <v/>
      </c>
      <c r="AS1749" s="708" t="str">
        <f t="shared" si="277"/>
        <v/>
      </c>
      <c r="AT1749" s="708" t="str">
        <f t="shared" si="278"/>
        <v/>
      </c>
      <c r="AU1749" s="708" t="str">
        <f t="shared" si="279"/>
        <v/>
      </c>
      <c r="AV1749" s="708" t="str">
        <f t="shared" si="280"/>
        <v/>
      </c>
      <c r="AW1749" s="708" t="str">
        <f t="shared" si="281"/>
        <v/>
      </c>
      <c r="AX1749" s="708" t="str">
        <f t="shared" si="282"/>
        <v/>
      </c>
      <c r="AY1749" s="708" t="str">
        <f t="shared" si="283"/>
        <v/>
      </c>
      <c r="AZ1749" s="708" t="str">
        <f t="shared" si="284"/>
        <v/>
      </c>
      <c r="BA1749" s="708" t="str">
        <f t="shared" si="285"/>
        <v/>
      </c>
      <c r="BB1749" s="708" t="str">
        <f t="shared" si="286"/>
        <v/>
      </c>
      <c r="BC1749" s="708" t="str">
        <f t="shared" si="287"/>
        <v/>
      </c>
      <c r="BD1749" s="708" t="str">
        <f t="shared" si="288"/>
        <v/>
      </c>
      <c r="BE1749" s="708" t="str">
        <f t="shared" si="289"/>
        <v/>
      </c>
      <c r="BF1749" s="708" t="str">
        <f t="shared" si="290"/>
        <v/>
      </c>
      <c r="BG1749" s="708" t="str">
        <f t="shared" si="291"/>
        <v/>
      </c>
      <c r="BH1749" s="708" t="str">
        <f t="shared" si="292"/>
        <v/>
      </c>
      <c r="BI1749" s="708" t="str">
        <f t="shared" si="293"/>
        <v/>
      </c>
      <c r="BJ1749" s="708" t="str">
        <f t="shared" si="294"/>
        <v/>
      </c>
      <c r="BK1749" s="708" t="str">
        <f t="shared" si="295"/>
        <v/>
      </c>
      <c r="BL1749" s="708" t="str">
        <f t="shared" si="296"/>
        <v/>
      </c>
      <c r="BM1749" s="708" t="str">
        <f t="shared" si="297"/>
        <v/>
      </c>
      <c r="BN1749" s="708" t="str">
        <f t="shared" si="298"/>
        <v/>
      </c>
      <c r="BO1749" s="708" t="str">
        <f t="shared" si="299"/>
        <v/>
      </c>
      <c r="BP1749" s="708" t="str">
        <f t="shared" si="300"/>
        <v/>
      </c>
      <c r="BQ1749" s="708" t="str">
        <f t="shared" si="301"/>
        <v/>
      </c>
      <c r="BR1749" s="708" t="str">
        <f t="shared" si="120"/>
        <v/>
      </c>
      <c r="BS1749" s="708" t="str">
        <f t="shared" si="121"/>
        <v/>
      </c>
      <c r="BT1749" s="708" t="str">
        <f t="shared" si="122"/>
        <v/>
      </c>
      <c r="BU1749" s="708" t="str">
        <f t="shared" si="123"/>
        <v/>
      </c>
      <c r="BV1749" s="708" t="str">
        <f t="shared" si="124"/>
        <v/>
      </c>
      <c r="BW1749" s="708" t="str">
        <f t="shared" si="125"/>
        <v/>
      </c>
      <c r="BX1749" s="708" t="str">
        <f t="shared" si="126"/>
        <v/>
      </c>
      <c r="BY1749" s="708" t="str">
        <f t="shared" si="127"/>
        <v/>
      </c>
      <c r="BZ1749" s="708" t="str">
        <f t="shared" si="128"/>
        <v/>
      </c>
      <c r="CA1749" s="708" t="str">
        <f t="shared" si="129"/>
        <v/>
      </c>
      <c r="CB1749" s="708" t="str">
        <f t="shared" si="130"/>
        <v/>
      </c>
      <c r="CC1749" s="708" t="str">
        <f t="shared" si="131"/>
        <v/>
      </c>
      <c r="CD1749" s="708" t="str">
        <f t="shared" si="132"/>
        <v/>
      </c>
      <c r="CE1749" s="708" t="str">
        <f t="shared" si="133"/>
        <v/>
      </c>
      <c r="CF1749" s="708" t="str">
        <f t="shared" si="134"/>
        <v/>
      </c>
      <c r="CG1749" s="708" t="str">
        <f t="shared" si="135"/>
        <v/>
      </c>
      <c r="CH1749" s="708" t="str">
        <f t="shared" si="136"/>
        <v/>
      </c>
      <c r="CI1749" s="708" t="str">
        <f t="shared" si="137"/>
        <v/>
      </c>
      <c r="CJ1749" s="708" t="str">
        <f t="shared" si="138"/>
        <v/>
      </c>
      <c r="CK1749" s="708" t="str">
        <f t="shared" si="139"/>
        <v/>
      </c>
      <c r="CL1749" s="708" t="str">
        <f t="shared" si="140"/>
        <v/>
      </c>
      <c r="CM1749" s="708" t="str">
        <f t="shared" si="141"/>
        <v/>
      </c>
      <c r="CN1749" s="708" t="str">
        <f t="shared" si="142"/>
        <v/>
      </c>
      <c r="CO1749" s="708" t="str">
        <f t="shared" si="143"/>
        <v/>
      </c>
      <c r="CP1749" s="708" t="str">
        <f t="shared" si="144"/>
        <v/>
      </c>
      <c r="CQ1749" s="708" t="str">
        <f t="shared" si="145"/>
        <v/>
      </c>
      <c r="CR1749" s="708" t="str">
        <f t="shared" si="146"/>
        <v/>
      </c>
      <c r="CS1749" s="708" t="str">
        <f t="shared" si="147"/>
        <v/>
      </c>
      <c r="CT1749" s="708" t="str">
        <f t="shared" si="148"/>
        <v/>
      </c>
      <c r="CU1749" s="708" t="str">
        <f t="shared" si="149"/>
        <v/>
      </c>
      <c r="CV1749" s="708" t="str">
        <f t="shared" si="150"/>
        <v/>
      </c>
      <c r="CW1749" s="708" t="str">
        <f t="shared" si="151"/>
        <v/>
      </c>
      <c r="CX1749" s="708" t="str">
        <f t="shared" si="152"/>
        <v/>
      </c>
      <c r="CY1749" s="708" t="str">
        <f t="shared" si="153"/>
        <v/>
      </c>
      <c r="CZ1749" s="708" t="str">
        <f t="shared" si="154"/>
        <v/>
      </c>
      <c r="DA1749" s="708" t="str">
        <f t="shared" si="155"/>
        <v/>
      </c>
      <c r="DB1749" s="708" t="str">
        <f t="shared" si="156"/>
        <v/>
      </c>
      <c r="DC1749" s="708" t="str">
        <f t="shared" si="157"/>
        <v/>
      </c>
      <c r="DD1749" s="708" t="str">
        <f t="shared" si="158"/>
        <v/>
      </c>
      <c r="DE1749" s="708" t="str">
        <f t="shared" si="159"/>
        <v/>
      </c>
      <c r="DF1749" s="708" t="str">
        <f t="shared" si="160"/>
        <v/>
      </c>
      <c r="DG1749" s="708" t="str">
        <f t="shared" si="161"/>
        <v/>
      </c>
      <c r="DH1749" s="708" t="str">
        <f t="shared" si="162"/>
        <v/>
      </c>
      <c r="DI1749" s="708" t="str">
        <f t="shared" si="163"/>
        <v/>
      </c>
      <c r="DJ1749" s="708" t="str">
        <f t="shared" si="164"/>
        <v/>
      </c>
      <c r="DK1749" s="708" t="str">
        <f t="shared" si="165"/>
        <v/>
      </c>
      <c r="DL1749" s="708" t="str">
        <f t="shared" si="166"/>
        <v/>
      </c>
      <c r="DM1749" s="708" t="str">
        <f t="shared" si="167"/>
        <v/>
      </c>
      <c r="DN1749" s="708" t="str">
        <f t="shared" si="168"/>
        <v/>
      </c>
      <c r="DO1749" s="708" t="str">
        <f t="shared" si="169"/>
        <v/>
      </c>
      <c r="DP1749" s="708" t="str">
        <f t="shared" si="170"/>
        <v/>
      </c>
      <c r="DQ1749" s="708" t="str">
        <f t="shared" si="171"/>
        <v/>
      </c>
      <c r="DR1749" s="708" t="str">
        <f t="shared" si="172"/>
        <v/>
      </c>
      <c r="DS1749" s="708" t="str">
        <f t="shared" si="173"/>
        <v/>
      </c>
      <c r="DT1749" s="708" t="str">
        <f t="shared" si="174"/>
        <v/>
      </c>
      <c r="DU1749" s="708" t="str">
        <f t="shared" si="175"/>
        <v/>
      </c>
      <c r="DV1749" s="708" t="str">
        <f t="shared" si="176"/>
        <v/>
      </c>
      <c r="DW1749" s="708" t="str">
        <f t="shared" si="177"/>
        <v/>
      </c>
      <c r="DX1749" s="708" t="str">
        <f t="shared" si="178"/>
        <v/>
      </c>
      <c r="DY1749" s="708" t="str">
        <f t="shared" si="179"/>
        <v/>
      </c>
      <c r="DZ1749" s="708" t="str">
        <f t="shared" si="180"/>
        <v/>
      </c>
      <c r="EA1749" s="708" t="str">
        <f t="shared" si="181"/>
        <v/>
      </c>
      <c r="EB1749" s="708" t="str">
        <f t="shared" si="182"/>
        <v/>
      </c>
      <c r="EC1749" s="708" t="str">
        <f t="shared" si="183"/>
        <v/>
      </c>
      <c r="ED1749" s="708" t="str">
        <f t="shared" si="184"/>
        <v/>
      </c>
      <c r="EE1749" s="708" t="str">
        <f t="shared" si="185"/>
        <v/>
      </c>
      <c r="EF1749" s="708" t="str">
        <f t="shared" si="186"/>
        <v/>
      </c>
      <c r="EG1749" s="708" t="str">
        <f t="shared" si="187"/>
        <v/>
      </c>
      <c r="EH1749" s="708" t="str">
        <f t="shared" si="188"/>
        <v/>
      </c>
      <c r="EI1749" s="708" t="str">
        <f t="shared" si="189"/>
        <v/>
      </c>
      <c r="EJ1749" s="708" t="str">
        <f t="shared" si="190"/>
        <v/>
      </c>
      <c r="EK1749" s="708" t="str">
        <f t="shared" si="191"/>
        <v/>
      </c>
      <c r="EL1749" s="708" t="str">
        <f t="shared" si="192"/>
        <v/>
      </c>
      <c r="EM1749" s="708" t="str">
        <f t="shared" si="193"/>
        <v/>
      </c>
      <c r="EN1749" s="708" t="str">
        <f t="shared" si="194"/>
        <v/>
      </c>
      <c r="EO1749" s="708" t="str">
        <f t="shared" si="195"/>
        <v/>
      </c>
      <c r="EP1749" s="708" t="str">
        <f t="shared" si="196"/>
        <v/>
      </c>
      <c r="EQ1749" s="708" t="str">
        <f t="shared" si="197"/>
        <v/>
      </c>
      <c r="ER1749" s="708" t="str">
        <f t="shared" si="198"/>
        <v/>
      </c>
      <c r="ES1749" s="708" t="str">
        <f t="shared" si="199"/>
        <v/>
      </c>
      <c r="ET1749" s="708" t="str">
        <f t="shared" si="200"/>
        <v/>
      </c>
      <c r="EU1749" s="708" t="str">
        <f t="shared" si="201"/>
        <v/>
      </c>
      <c r="EV1749" s="708" t="str">
        <f t="shared" si="202"/>
        <v/>
      </c>
      <c r="EW1749" s="708" t="str">
        <f t="shared" si="203"/>
        <v/>
      </c>
      <c r="EX1749" s="708" t="str">
        <f t="shared" si="204"/>
        <v/>
      </c>
      <c r="EY1749" s="708" t="str">
        <f t="shared" si="205"/>
        <v/>
      </c>
      <c r="EZ1749" s="708" t="str">
        <f t="shared" si="206"/>
        <v/>
      </c>
      <c r="FA1749" s="708" t="str">
        <f t="shared" si="207"/>
        <v/>
      </c>
      <c r="FB1749" s="708" t="str">
        <f t="shared" si="208"/>
        <v/>
      </c>
      <c r="FC1749" s="708" t="str">
        <f t="shared" si="209"/>
        <v/>
      </c>
      <c r="FD1749" s="708" t="str">
        <f t="shared" si="210"/>
        <v/>
      </c>
      <c r="FE1749" s="708" t="str">
        <f t="shared" si="211"/>
        <v/>
      </c>
      <c r="FF1749" s="708" t="str">
        <f t="shared" si="212"/>
        <v/>
      </c>
      <c r="FG1749" s="708" t="str">
        <f t="shared" si="213"/>
        <v/>
      </c>
      <c r="FH1749" s="708" t="str">
        <f t="shared" si="214"/>
        <v/>
      </c>
      <c r="FI1749" s="708" t="str">
        <f t="shared" si="215"/>
        <v/>
      </c>
      <c r="FJ1749" s="708" t="str">
        <f t="shared" si="216"/>
        <v/>
      </c>
      <c r="FK1749" s="708" t="str">
        <f t="shared" si="217"/>
        <v/>
      </c>
      <c r="FL1749" s="708" t="str">
        <f t="shared" si="218"/>
        <v/>
      </c>
      <c r="FM1749" s="708" t="str">
        <f t="shared" si="219"/>
        <v/>
      </c>
      <c r="FN1749" s="708" t="str">
        <f t="shared" si="220"/>
        <v/>
      </c>
      <c r="FO1749" s="708" t="str">
        <f t="shared" si="221"/>
        <v/>
      </c>
      <c r="FP1749" s="708" t="str">
        <f t="shared" si="222"/>
        <v/>
      </c>
      <c r="FQ1749" s="708" t="str">
        <f t="shared" si="223"/>
        <v/>
      </c>
      <c r="FR1749" s="708" t="str">
        <f t="shared" si="224"/>
        <v/>
      </c>
      <c r="FS1749" s="708" t="str">
        <f t="shared" si="225"/>
        <v/>
      </c>
      <c r="FT1749" s="708" t="str">
        <f t="shared" si="226"/>
        <v/>
      </c>
      <c r="FU1749" s="708" t="str">
        <f t="shared" si="227"/>
        <v/>
      </c>
      <c r="FV1749" s="708" t="str">
        <f t="shared" si="228"/>
        <v/>
      </c>
      <c r="FW1749" s="708" t="str">
        <f t="shared" si="229"/>
        <v/>
      </c>
      <c r="FX1749" s="708" t="str">
        <f t="shared" si="230"/>
        <v/>
      </c>
      <c r="FY1749" s="708" t="str">
        <f t="shared" si="231"/>
        <v/>
      </c>
      <c r="FZ1749" s="708" t="str">
        <f t="shared" si="232"/>
        <v/>
      </c>
      <c r="GA1749" s="708" t="str">
        <f t="shared" si="233"/>
        <v/>
      </c>
      <c r="GB1749" s="708" t="str">
        <f t="shared" si="234"/>
        <v/>
      </c>
      <c r="GC1749" s="708" t="str">
        <f t="shared" si="235"/>
        <v/>
      </c>
      <c r="GD1749" s="708" t="str">
        <f t="shared" si="236"/>
        <v/>
      </c>
      <c r="GE1749" s="708" t="str">
        <f t="shared" si="237"/>
        <v/>
      </c>
      <c r="GF1749" s="708" t="str">
        <f t="shared" si="238"/>
        <v/>
      </c>
      <c r="GG1749" s="708" t="str">
        <f t="shared" si="239"/>
        <v/>
      </c>
      <c r="GH1749" s="708" t="str">
        <f t="shared" si="240"/>
        <v/>
      </c>
      <c r="GI1749" s="708" t="str">
        <f t="shared" si="241"/>
        <v/>
      </c>
      <c r="GJ1749" s="708" t="str">
        <f t="shared" si="242"/>
        <v/>
      </c>
      <c r="GK1749" s="708" t="str">
        <f t="shared" si="243"/>
        <v/>
      </c>
      <c r="GL1749" s="708" t="str">
        <f t="shared" si="244"/>
        <v/>
      </c>
      <c r="GM1749" s="708" t="str">
        <f t="shared" si="245"/>
        <v/>
      </c>
      <c r="GN1749" s="708" t="str">
        <f t="shared" si="246"/>
        <v/>
      </c>
      <c r="GO1749" s="708" t="str">
        <f t="shared" si="247"/>
        <v/>
      </c>
      <c r="GP1749" s="708" t="str">
        <f t="shared" si="248"/>
        <v/>
      </c>
      <c r="GQ1749" s="708" t="str">
        <f t="shared" si="249"/>
        <v/>
      </c>
      <c r="GR1749" s="708" t="str">
        <f t="shared" si="250"/>
        <v/>
      </c>
      <c r="GS1749" s="708" t="str">
        <f t="shared" si="251"/>
        <v/>
      </c>
      <c r="GT1749" s="708" t="str">
        <f t="shared" si="252"/>
        <v/>
      </c>
      <c r="GU1749" s="708" t="str">
        <f t="shared" si="253"/>
        <v/>
      </c>
      <c r="GV1749" s="708" t="str">
        <f t="shared" si="254"/>
        <v/>
      </c>
      <c r="GW1749" s="708" t="str">
        <f t="shared" si="255"/>
        <v/>
      </c>
      <c r="GX1749" s="708" t="str">
        <f t="shared" si="256"/>
        <v/>
      </c>
      <c r="GY1749" s="708" t="str">
        <f t="shared" si="257"/>
        <v/>
      </c>
      <c r="GZ1749" s="708" t="str">
        <f t="shared" si="258"/>
        <v/>
      </c>
      <c r="HA1749" s="708" t="str">
        <f t="shared" si="259"/>
        <v/>
      </c>
      <c r="HB1749" s="708" t="str">
        <f t="shared" si="260"/>
        <v/>
      </c>
      <c r="HC1749" s="708" t="str">
        <f t="shared" si="261"/>
        <v/>
      </c>
      <c r="HD1749" s="708" t="str">
        <f t="shared" si="262"/>
        <v/>
      </c>
      <c r="HE1749" s="708" t="str">
        <f t="shared" si="263"/>
        <v/>
      </c>
      <c r="HF1749" s="708" t="str">
        <f t="shared" si="264"/>
        <v/>
      </c>
      <c r="HG1749" s="708" t="str">
        <f t="shared" si="265"/>
        <v/>
      </c>
      <c r="HH1749" s="708" t="str">
        <f t="shared" si="266"/>
        <v/>
      </c>
      <c r="HI1749" s="708" t="str">
        <f t="shared" si="267"/>
        <v/>
      </c>
      <c r="HJ1749" s="708" t="str">
        <f t="shared" si="268"/>
        <v/>
      </c>
      <c r="HK1749" s="708" t="str">
        <f t="shared" si="269"/>
        <v/>
      </c>
    </row>
    <row r="1750" spans="1:219" ht="13.15" customHeight="1">
      <c r="A1750" s="708" t="str">
        <f t="shared" si="270"/>
        <v/>
      </c>
      <c r="B1750" s="708">
        <f>'Part VI-Revenues &amp; Expenses'!B35</f>
        <v>0</v>
      </c>
      <c r="C1750" s="708">
        <f>'Part VI-Revenues &amp; Expenses'!C35</f>
        <v>0</v>
      </c>
      <c r="D1750" s="708">
        <f>'Part VI-Revenues &amp; Expenses'!D35</f>
        <v>0</v>
      </c>
      <c r="E1750" s="708">
        <f>'Part VI-Revenues &amp; Expenses'!E35</f>
        <v>0</v>
      </c>
      <c r="F1750" s="708">
        <f>'Part VI-Revenues &amp; Expenses'!F35</f>
        <v>0</v>
      </c>
      <c r="G1750" s="708">
        <f>'Part VI-Revenues &amp; Expenses'!G35</f>
        <v>0</v>
      </c>
      <c r="H1750" s="708">
        <f>'Part VI-Revenues &amp; Expenses'!H35</f>
        <v>0</v>
      </c>
      <c r="I1750" s="708">
        <f>'Part VI-Revenues &amp; Expenses'!I35</f>
        <v>0</v>
      </c>
      <c r="J1750" s="708">
        <f>'Part VI-Revenues &amp; Expenses'!J35</f>
        <v>0</v>
      </c>
      <c r="K1750" s="708">
        <f t="shared" si="302"/>
        <v>0</v>
      </c>
      <c r="L1750" s="708">
        <f t="shared" si="99"/>
        <v>0</v>
      </c>
      <c r="M1750" s="708">
        <f>'Part VI-Revenues &amp; Expenses'!M35</f>
        <v>0</v>
      </c>
      <c r="N1750" s="708">
        <f>'Part VI-Revenues &amp; Expenses'!N35</f>
        <v>0</v>
      </c>
      <c r="O1750" s="708">
        <f>'Part VI-Revenues &amp; Expenses'!O35</f>
        <v>0</v>
      </c>
      <c r="P1750" s="708" t="str">
        <f>'Part VI-Revenues &amp; Expenses'!P35</f>
        <v/>
      </c>
      <c r="Q1750" s="708" t="str">
        <f>'Part VI-Revenues &amp; Expenses'!Q35</f>
        <v/>
      </c>
      <c r="R1750" s="708">
        <f>'Part VI-Revenues &amp; Expenses'!R35</f>
        <v>0</v>
      </c>
      <c r="T1750" s="708" t="str">
        <f t="shared" si="100"/>
        <v/>
      </c>
      <c r="U1750" s="708" t="str">
        <f t="shared" si="101"/>
        <v/>
      </c>
      <c r="V1750" s="708" t="str">
        <f t="shared" si="102"/>
        <v/>
      </c>
      <c r="W1750" s="708" t="str">
        <f t="shared" si="103"/>
        <v/>
      </c>
      <c r="X1750" s="708" t="str">
        <f t="shared" si="104"/>
        <v/>
      </c>
      <c r="Y1750" s="708" t="str">
        <f t="shared" si="105"/>
        <v/>
      </c>
      <c r="Z1750" s="708" t="str">
        <f t="shared" si="106"/>
        <v/>
      </c>
      <c r="AA1750" s="708" t="str">
        <f t="shared" si="107"/>
        <v/>
      </c>
      <c r="AB1750" s="708" t="str">
        <f t="shared" si="108"/>
        <v/>
      </c>
      <c r="AC1750" s="708" t="str">
        <f t="shared" si="109"/>
        <v/>
      </c>
      <c r="AD1750" s="708" t="str">
        <f t="shared" si="110"/>
        <v/>
      </c>
      <c r="AE1750" s="708" t="str">
        <f t="shared" si="111"/>
        <v/>
      </c>
      <c r="AF1750" s="708" t="str">
        <f t="shared" si="112"/>
        <v/>
      </c>
      <c r="AG1750" s="708" t="str">
        <f t="shared" si="113"/>
        <v/>
      </c>
      <c r="AH1750" s="708" t="str">
        <f t="shared" si="114"/>
        <v/>
      </c>
      <c r="AI1750" s="708" t="str">
        <f t="shared" si="115"/>
        <v/>
      </c>
      <c r="AJ1750" s="708" t="str">
        <f t="shared" si="116"/>
        <v/>
      </c>
      <c r="AK1750" s="708" t="str">
        <f t="shared" si="117"/>
        <v/>
      </c>
      <c r="AL1750" s="708" t="str">
        <f t="shared" si="118"/>
        <v/>
      </c>
      <c r="AM1750" s="708" t="str">
        <f t="shared" si="119"/>
        <v/>
      </c>
      <c r="AN1750" s="708" t="str">
        <f t="shared" si="272"/>
        <v/>
      </c>
      <c r="AO1750" s="708" t="str">
        <f t="shared" si="273"/>
        <v/>
      </c>
      <c r="AP1750" s="708" t="str">
        <f t="shared" si="274"/>
        <v/>
      </c>
      <c r="AQ1750" s="708" t="str">
        <f t="shared" si="275"/>
        <v/>
      </c>
      <c r="AR1750" s="708" t="str">
        <f t="shared" si="276"/>
        <v/>
      </c>
      <c r="AS1750" s="708" t="str">
        <f t="shared" si="277"/>
        <v/>
      </c>
      <c r="AT1750" s="708" t="str">
        <f t="shared" si="278"/>
        <v/>
      </c>
      <c r="AU1750" s="708" t="str">
        <f t="shared" si="279"/>
        <v/>
      </c>
      <c r="AV1750" s="708" t="str">
        <f t="shared" si="280"/>
        <v/>
      </c>
      <c r="AW1750" s="708" t="str">
        <f t="shared" si="281"/>
        <v/>
      </c>
      <c r="AX1750" s="708" t="str">
        <f t="shared" si="282"/>
        <v/>
      </c>
      <c r="AY1750" s="708" t="str">
        <f t="shared" si="283"/>
        <v/>
      </c>
      <c r="AZ1750" s="708" t="str">
        <f t="shared" si="284"/>
        <v/>
      </c>
      <c r="BA1750" s="708" t="str">
        <f t="shared" si="285"/>
        <v/>
      </c>
      <c r="BB1750" s="708" t="str">
        <f t="shared" si="286"/>
        <v/>
      </c>
      <c r="BC1750" s="708" t="str">
        <f t="shared" si="287"/>
        <v/>
      </c>
      <c r="BD1750" s="708" t="str">
        <f t="shared" si="288"/>
        <v/>
      </c>
      <c r="BE1750" s="708" t="str">
        <f t="shared" si="289"/>
        <v/>
      </c>
      <c r="BF1750" s="708" t="str">
        <f t="shared" si="290"/>
        <v/>
      </c>
      <c r="BG1750" s="708" t="str">
        <f t="shared" si="291"/>
        <v/>
      </c>
      <c r="BH1750" s="708" t="str">
        <f t="shared" si="292"/>
        <v/>
      </c>
      <c r="BI1750" s="708" t="str">
        <f t="shared" si="293"/>
        <v/>
      </c>
      <c r="BJ1750" s="708" t="str">
        <f t="shared" si="294"/>
        <v/>
      </c>
      <c r="BK1750" s="708" t="str">
        <f t="shared" si="295"/>
        <v/>
      </c>
      <c r="BL1750" s="708" t="str">
        <f t="shared" si="296"/>
        <v/>
      </c>
      <c r="BM1750" s="708" t="str">
        <f t="shared" si="297"/>
        <v/>
      </c>
      <c r="BN1750" s="708" t="str">
        <f t="shared" si="298"/>
        <v/>
      </c>
      <c r="BO1750" s="708" t="str">
        <f t="shared" si="299"/>
        <v/>
      </c>
      <c r="BP1750" s="708" t="str">
        <f t="shared" si="300"/>
        <v/>
      </c>
      <c r="BQ1750" s="708" t="str">
        <f t="shared" si="301"/>
        <v/>
      </c>
      <c r="BR1750" s="708" t="str">
        <f t="shared" si="120"/>
        <v/>
      </c>
      <c r="BS1750" s="708" t="str">
        <f t="shared" si="121"/>
        <v/>
      </c>
      <c r="BT1750" s="708" t="str">
        <f t="shared" si="122"/>
        <v/>
      </c>
      <c r="BU1750" s="708" t="str">
        <f t="shared" si="123"/>
        <v/>
      </c>
      <c r="BV1750" s="708" t="str">
        <f t="shared" si="124"/>
        <v/>
      </c>
      <c r="BW1750" s="708" t="str">
        <f t="shared" si="125"/>
        <v/>
      </c>
      <c r="BX1750" s="708" t="str">
        <f t="shared" si="126"/>
        <v/>
      </c>
      <c r="BY1750" s="708" t="str">
        <f t="shared" si="127"/>
        <v/>
      </c>
      <c r="BZ1750" s="708" t="str">
        <f t="shared" si="128"/>
        <v/>
      </c>
      <c r="CA1750" s="708" t="str">
        <f t="shared" si="129"/>
        <v/>
      </c>
      <c r="CB1750" s="708" t="str">
        <f t="shared" si="130"/>
        <v/>
      </c>
      <c r="CC1750" s="708" t="str">
        <f t="shared" si="131"/>
        <v/>
      </c>
      <c r="CD1750" s="708" t="str">
        <f t="shared" si="132"/>
        <v/>
      </c>
      <c r="CE1750" s="708" t="str">
        <f t="shared" si="133"/>
        <v/>
      </c>
      <c r="CF1750" s="708" t="str">
        <f t="shared" si="134"/>
        <v/>
      </c>
      <c r="CG1750" s="708" t="str">
        <f t="shared" si="135"/>
        <v/>
      </c>
      <c r="CH1750" s="708" t="str">
        <f t="shared" si="136"/>
        <v/>
      </c>
      <c r="CI1750" s="708" t="str">
        <f t="shared" si="137"/>
        <v/>
      </c>
      <c r="CJ1750" s="708" t="str">
        <f t="shared" si="138"/>
        <v/>
      </c>
      <c r="CK1750" s="708" t="str">
        <f t="shared" si="139"/>
        <v/>
      </c>
      <c r="CL1750" s="708" t="str">
        <f t="shared" si="140"/>
        <v/>
      </c>
      <c r="CM1750" s="708" t="str">
        <f t="shared" si="141"/>
        <v/>
      </c>
      <c r="CN1750" s="708" t="str">
        <f t="shared" si="142"/>
        <v/>
      </c>
      <c r="CO1750" s="708" t="str">
        <f t="shared" si="143"/>
        <v/>
      </c>
      <c r="CP1750" s="708" t="str">
        <f t="shared" si="144"/>
        <v/>
      </c>
      <c r="CQ1750" s="708" t="str">
        <f t="shared" si="145"/>
        <v/>
      </c>
      <c r="CR1750" s="708" t="str">
        <f t="shared" si="146"/>
        <v/>
      </c>
      <c r="CS1750" s="708" t="str">
        <f t="shared" si="147"/>
        <v/>
      </c>
      <c r="CT1750" s="708" t="str">
        <f t="shared" si="148"/>
        <v/>
      </c>
      <c r="CU1750" s="708" t="str">
        <f t="shared" si="149"/>
        <v/>
      </c>
      <c r="CV1750" s="708" t="str">
        <f t="shared" si="150"/>
        <v/>
      </c>
      <c r="CW1750" s="708" t="str">
        <f t="shared" si="151"/>
        <v/>
      </c>
      <c r="CX1750" s="708" t="str">
        <f t="shared" si="152"/>
        <v/>
      </c>
      <c r="CY1750" s="708" t="str">
        <f t="shared" si="153"/>
        <v/>
      </c>
      <c r="CZ1750" s="708" t="str">
        <f t="shared" si="154"/>
        <v/>
      </c>
      <c r="DA1750" s="708" t="str">
        <f t="shared" si="155"/>
        <v/>
      </c>
      <c r="DB1750" s="708" t="str">
        <f t="shared" si="156"/>
        <v/>
      </c>
      <c r="DC1750" s="708" t="str">
        <f t="shared" si="157"/>
        <v/>
      </c>
      <c r="DD1750" s="708" t="str">
        <f t="shared" si="158"/>
        <v/>
      </c>
      <c r="DE1750" s="708" t="str">
        <f t="shared" si="159"/>
        <v/>
      </c>
      <c r="DF1750" s="708" t="str">
        <f t="shared" si="160"/>
        <v/>
      </c>
      <c r="DG1750" s="708" t="str">
        <f t="shared" si="161"/>
        <v/>
      </c>
      <c r="DH1750" s="708" t="str">
        <f t="shared" si="162"/>
        <v/>
      </c>
      <c r="DI1750" s="708" t="str">
        <f t="shared" si="163"/>
        <v/>
      </c>
      <c r="DJ1750" s="708" t="str">
        <f t="shared" si="164"/>
        <v/>
      </c>
      <c r="DK1750" s="708" t="str">
        <f t="shared" si="165"/>
        <v/>
      </c>
      <c r="DL1750" s="708" t="str">
        <f t="shared" si="166"/>
        <v/>
      </c>
      <c r="DM1750" s="708" t="str">
        <f t="shared" si="167"/>
        <v/>
      </c>
      <c r="DN1750" s="708" t="str">
        <f t="shared" si="168"/>
        <v/>
      </c>
      <c r="DO1750" s="708" t="str">
        <f t="shared" si="169"/>
        <v/>
      </c>
      <c r="DP1750" s="708" t="str">
        <f t="shared" si="170"/>
        <v/>
      </c>
      <c r="DQ1750" s="708" t="str">
        <f t="shared" si="171"/>
        <v/>
      </c>
      <c r="DR1750" s="708" t="str">
        <f t="shared" si="172"/>
        <v/>
      </c>
      <c r="DS1750" s="708" t="str">
        <f t="shared" si="173"/>
        <v/>
      </c>
      <c r="DT1750" s="708" t="str">
        <f t="shared" si="174"/>
        <v/>
      </c>
      <c r="DU1750" s="708" t="str">
        <f t="shared" si="175"/>
        <v/>
      </c>
      <c r="DV1750" s="708" t="str">
        <f t="shared" si="176"/>
        <v/>
      </c>
      <c r="DW1750" s="708" t="str">
        <f t="shared" si="177"/>
        <v/>
      </c>
      <c r="DX1750" s="708" t="str">
        <f t="shared" si="178"/>
        <v/>
      </c>
      <c r="DY1750" s="708" t="str">
        <f t="shared" si="179"/>
        <v/>
      </c>
      <c r="DZ1750" s="708" t="str">
        <f t="shared" si="180"/>
        <v/>
      </c>
      <c r="EA1750" s="708" t="str">
        <f t="shared" si="181"/>
        <v/>
      </c>
      <c r="EB1750" s="708" t="str">
        <f t="shared" si="182"/>
        <v/>
      </c>
      <c r="EC1750" s="708" t="str">
        <f t="shared" si="183"/>
        <v/>
      </c>
      <c r="ED1750" s="708" t="str">
        <f t="shared" si="184"/>
        <v/>
      </c>
      <c r="EE1750" s="708" t="str">
        <f t="shared" si="185"/>
        <v/>
      </c>
      <c r="EF1750" s="708" t="str">
        <f t="shared" si="186"/>
        <v/>
      </c>
      <c r="EG1750" s="708" t="str">
        <f t="shared" si="187"/>
        <v/>
      </c>
      <c r="EH1750" s="708" t="str">
        <f t="shared" si="188"/>
        <v/>
      </c>
      <c r="EI1750" s="708" t="str">
        <f t="shared" si="189"/>
        <v/>
      </c>
      <c r="EJ1750" s="708" t="str">
        <f t="shared" si="190"/>
        <v/>
      </c>
      <c r="EK1750" s="708" t="str">
        <f t="shared" si="191"/>
        <v/>
      </c>
      <c r="EL1750" s="708" t="str">
        <f t="shared" si="192"/>
        <v/>
      </c>
      <c r="EM1750" s="708" t="str">
        <f t="shared" si="193"/>
        <v/>
      </c>
      <c r="EN1750" s="708" t="str">
        <f t="shared" si="194"/>
        <v/>
      </c>
      <c r="EO1750" s="708" t="str">
        <f t="shared" si="195"/>
        <v/>
      </c>
      <c r="EP1750" s="708" t="str">
        <f t="shared" si="196"/>
        <v/>
      </c>
      <c r="EQ1750" s="708" t="str">
        <f t="shared" si="197"/>
        <v/>
      </c>
      <c r="ER1750" s="708" t="str">
        <f t="shared" si="198"/>
        <v/>
      </c>
      <c r="ES1750" s="708" t="str">
        <f t="shared" si="199"/>
        <v/>
      </c>
      <c r="ET1750" s="708" t="str">
        <f t="shared" si="200"/>
        <v/>
      </c>
      <c r="EU1750" s="708" t="str">
        <f t="shared" si="201"/>
        <v/>
      </c>
      <c r="EV1750" s="708" t="str">
        <f t="shared" si="202"/>
        <v/>
      </c>
      <c r="EW1750" s="708" t="str">
        <f t="shared" si="203"/>
        <v/>
      </c>
      <c r="EX1750" s="708" t="str">
        <f t="shared" si="204"/>
        <v/>
      </c>
      <c r="EY1750" s="708" t="str">
        <f t="shared" si="205"/>
        <v/>
      </c>
      <c r="EZ1750" s="708" t="str">
        <f t="shared" si="206"/>
        <v/>
      </c>
      <c r="FA1750" s="708" t="str">
        <f t="shared" si="207"/>
        <v/>
      </c>
      <c r="FB1750" s="708" t="str">
        <f t="shared" si="208"/>
        <v/>
      </c>
      <c r="FC1750" s="708" t="str">
        <f t="shared" si="209"/>
        <v/>
      </c>
      <c r="FD1750" s="708" t="str">
        <f t="shared" si="210"/>
        <v/>
      </c>
      <c r="FE1750" s="708" t="str">
        <f t="shared" si="211"/>
        <v/>
      </c>
      <c r="FF1750" s="708" t="str">
        <f t="shared" si="212"/>
        <v/>
      </c>
      <c r="FG1750" s="708" t="str">
        <f t="shared" si="213"/>
        <v/>
      </c>
      <c r="FH1750" s="708" t="str">
        <f t="shared" si="214"/>
        <v/>
      </c>
      <c r="FI1750" s="708" t="str">
        <f t="shared" si="215"/>
        <v/>
      </c>
      <c r="FJ1750" s="708" t="str">
        <f t="shared" si="216"/>
        <v/>
      </c>
      <c r="FK1750" s="708" t="str">
        <f t="shared" si="217"/>
        <v/>
      </c>
      <c r="FL1750" s="708" t="str">
        <f t="shared" si="218"/>
        <v/>
      </c>
      <c r="FM1750" s="708" t="str">
        <f t="shared" si="219"/>
        <v/>
      </c>
      <c r="FN1750" s="708" t="str">
        <f t="shared" si="220"/>
        <v/>
      </c>
      <c r="FO1750" s="708" t="str">
        <f t="shared" si="221"/>
        <v/>
      </c>
      <c r="FP1750" s="708" t="str">
        <f t="shared" si="222"/>
        <v/>
      </c>
      <c r="FQ1750" s="708" t="str">
        <f t="shared" si="223"/>
        <v/>
      </c>
      <c r="FR1750" s="708" t="str">
        <f t="shared" si="224"/>
        <v/>
      </c>
      <c r="FS1750" s="708" t="str">
        <f t="shared" si="225"/>
        <v/>
      </c>
      <c r="FT1750" s="708" t="str">
        <f t="shared" si="226"/>
        <v/>
      </c>
      <c r="FU1750" s="708" t="str">
        <f t="shared" si="227"/>
        <v/>
      </c>
      <c r="FV1750" s="708" t="str">
        <f t="shared" si="228"/>
        <v/>
      </c>
      <c r="FW1750" s="708" t="str">
        <f t="shared" si="229"/>
        <v/>
      </c>
      <c r="FX1750" s="708" t="str">
        <f t="shared" si="230"/>
        <v/>
      </c>
      <c r="FY1750" s="708" t="str">
        <f t="shared" si="231"/>
        <v/>
      </c>
      <c r="FZ1750" s="708" t="str">
        <f t="shared" si="232"/>
        <v/>
      </c>
      <c r="GA1750" s="708" t="str">
        <f t="shared" si="233"/>
        <v/>
      </c>
      <c r="GB1750" s="708" t="str">
        <f t="shared" si="234"/>
        <v/>
      </c>
      <c r="GC1750" s="708" t="str">
        <f t="shared" si="235"/>
        <v/>
      </c>
      <c r="GD1750" s="708" t="str">
        <f t="shared" si="236"/>
        <v/>
      </c>
      <c r="GE1750" s="708" t="str">
        <f t="shared" si="237"/>
        <v/>
      </c>
      <c r="GF1750" s="708" t="str">
        <f t="shared" si="238"/>
        <v/>
      </c>
      <c r="GG1750" s="708" t="str">
        <f t="shared" si="239"/>
        <v/>
      </c>
      <c r="GH1750" s="708" t="str">
        <f t="shared" si="240"/>
        <v/>
      </c>
      <c r="GI1750" s="708" t="str">
        <f t="shared" si="241"/>
        <v/>
      </c>
      <c r="GJ1750" s="708" t="str">
        <f t="shared" si="242"/>
        <v/>
      </c>
      <c r="GK1750" s="708" t="str">
        <f t="shared" si="243"/>
        <v/>
      </c>
      <c r="GL1750" s="708" t="str">
        <f t="shared" si="244"/>
        <v/>
      </c>
      <c r="GM1750" s="708" t="str">
        <f t="shared" si="245"/>
        <v/>
      </c>
      <c r="GN1750" s="708" t="str">
        <f t="shared" si="246"/>
        <v/>
      </c>
      <c r="GO1750" s="708" t="str">
        <f t="shared" si="247"/>
        <v/>
      </c>
      <c r="GP1750" s="708" t="str">
        <f t="shared" si="248"/>
        <v/>
      </c>
      <c r="GQ1750" s="708" t="str">
        <f t="shared" si="249"/>
        <v/>
      </c>
      <c r="GR1750" s="708" t="str">
        <f t="shared" si="250"/>
        <v/>
      </c>
      <c r="GS1750" s="708" t="str">
        <f t="shared" si="251"/>
        <v/>
      </c>
      <c r="GT1750" s="708" t="str">
        <f t="shared" si="252"/>
        <v/>
      </c>
      <c r="GU1750" s="708" t="str">
        <f t="shared" si="253"/>
        <v/>
      </c>
      <c r="GV1750" s="708" t="str">
        <f t="shared" si="254"/>
        <v/>
      </c>
      <c r="GW1750" s="708" t="str">
        <f t="shared" si="255"/>
        <v/>
      </c>
      <c r="GX1750" s="708" t="str">
        <f t="shared" si="256"/>
        <v/>
      </c>
      <c r="GY1750" s="708" t="str">
        <f t="shared" si="257"/>
        <v/>
      </c>
      <c r="GZ1750" s="708" t="str">
        <f t="shared" si="258"/>
        <v/>
      </c>
      <c r="HA1750" s="708" t="str">
        <f t="shared" si="259"/>
        <v/>
      </c>
      <c r="HB1750" s="708" t="str">
        <f t="shared" si="260"/>
        <v/>
      </c>
      <c r="HC1750" s="708" t="str">
        <f t="shared" si="261"/>
        <v/>
      </c>
      <c r="HD1750" s="708" t="str">
        <f t="shared" si="262"/>
        <v/>
      </c>
      <c r="HE1750" s="708" t="str">
        <f t="shared" si="263"/>
        <v/>
      </c>
      <c r="HF1750" s="708" t="str">
        <f t="shared" si="264"/>
        <v/>
      </c>
      <c r="HG1750" s="708" t="str">
        <f t="shared" si="265"/>
        <v/>
      </c>
      <c r="HH1750" s="708" t="str">
        <f t="shared" si="266"/>
        <v/>
      </c>
      <c r="HI1750" s="708" t="str">
        <f t="shared" si="267"/>
        <v/>
      </c>
      <c r="HJ1750" s="708" t="str">
        <f t="shared" si="268"/>
        <v/>
      </c>
      <c r="HK1750" s="708" t="str">
        <f t="shared" si="269"/>
        <v/>
      </c>
    </row>
    <row r="1751" spans="1:219" ht="13.15" customHeight="1">
      <c r="A1751" s="708" t="str">
        <f t="shared" si="270"/>
        <v/>
      </c>
      <c r="B1751" s="708">
        <f>'Part VI-Revenues &amp; Expenses'!B36</f>
        <v>0</v>
      </c>
      <c r="C1751" s="708">
        <f>'Part VI-Revenues &amp; Expenses'!C36</f>
        <v>0</v>
      </c>
      <c r="D1751" s="708">
        <f>'Part VI-Revenues &amp; Expenses'!D36</f>
        <v>0</v>
      </c>
      <c r="E1751" s="708">
        <f>'Part VI-Revenues &amp; Expenses'!E36</f>
        <v>0</v>
      </c>
      <c r="F1751" s="708">
        <f>'Part VI-Revenues &amp; Expenses'!F36</f>
        <v>0</v>
      </c>
      <c r="G1751" s="708">
        <f>'Part VI-Revenues &amp; Expenses'!G36</f>
        <v>0</v>
      </c>
      <c r="H1751" s="708">
        <f>'Part VI-Revenues &amp; Expenses'!H36</f>
        <v>0</v>
      </c>
      <c r="I1751" s="708">
        <f>'Part VI-Revenues &amp; Expenses'!I36</f>
        <v>0</v>
      </c>
      <c r="J1751" s="708">
        <f>'Part VI-Revenues &amp; Expenses'!J36</f>
        <v>0</v>
      </c>
      <c r="K1751" s="708">
        <f t="shared" si="302"/>
        <v>0</v>
      </c>
      <c r="L1751" s="708">
        <f t="shared" si="99"/>
        <v>0</v>
      </c>
      <c r="M1751" s="708">
        <f>'Part VI-Revenues &amp; Expenses'!M36</f>
        <v>0</v>
      </c>
      <c r="N1751" s="708">
        <f>'Part VI-Revenues &amp; Expenses'!N36</f>
        <v>0</v>
      </c>
      <c r="O1751" s="708">
        <f>'Part VI-Revenues &amp; Expenses'!O36</f>
        <v>0</v>
      </c>
      <c r="P1751" s="708" t="str">
        <f>'Part VI-Revenues &amp; Expenses'!P36</f>
        <v/>
      </c>
      <c r="Q1751" s="708" t="str">
        <f>'Part VI-Revenues &amp; Expenses'!Q36</f>
        <v/>
      </c>
      <c r="R1751" s="708">
        <f>'Part VI-Revenues &amp; Expenses'!R36</f>
        <v>0</v>
      </c>
      <c r="T1751" s="708" t="str">
        <f t="shared" si="100"/>
        <v/>
      </c>
      <c r="U1751" s="708" t="str">
        <f t="shared" si="101"/>
        <v/>
      </c>
      <c r="V1751" s="708" t="str">
        <f t="shared" si="102"/>
        <v/>
      </c>
      <c r="W1751" s="708" t="str">
        <f t="shared" si="103"/>
        <v/>
      </c>
      <c r="X1751" s="708" t="str">
        <f t="shared" si="104"/>
        <v/>
      </c>
      <c r="Y1751" s="708" t="str">
        <f t="shared" si="105"/>
        <v/>
      </c>
      <c r="Z1751" s="708" t="str">
        <f t="shared" si="106"/>
        <v/>
      </c>
      <c r="AA1751" s="708" t="str">
        <f t="shared" si="107"/>
        <v/>
      </c>
      <c r="AB1751" s="708" t="str">
        <f t="shared" si="108"/>
        <v/>
      </c>
      <c r="AC1751" s="708" t="str">
        <f t="shared" si="109"/>
        <v/>
      </c>
      <c r="AD1751" s="708" t="str">
        <f t="shared" si="110"/>
        <v/>
      </c>
      <c r="AE1751" s="708" t="str">
        <f t="shared" si="111"/>
        <v/>
      </c>
      <c r="AF1751" s="708" t="str">
        <f t="shared" si="112"/>
        <v/>
      </c>
      <c r="AG1751" s="708" t="str">
        <f t="shared" si="113"/>
        <v/>
      </c>
      <c r="AH1751" s="708" t="str">
        <f t="shared" si="114"/>
        <v/>
      </c>
      <c r="AI1751" s="708" t="str">
        <f t="shared" si="115"/>
        <v/>
      </c>
      <c r="AJ1751" s="708" t="str">
        <f t="shared" si="116"/>
        <v/>
      </c>
      <c r="AK1751" s="708" t="str">
        <f t="shared" si="117"/>
        <v/>
      </c>
      <c r="AL1751" s="708" t="str">
        <f t="shared" si="118"/>
        <v/>
      </c>
      <c r="AM1751" s="708" t="str">
        <f t="shared" si="119"/>
        <v/>
      </c>
      <c r="AN1751" s="708" t="str">
        <f t="shared" si="272"/>
        <v/>
      </c>
      <c r="AO1751" s="708" t="str">
        <f t="shared" si="273"/>
        <v/>
      </c>
      <c r="AP1751" s="708" t="str">
        <f t="shared" si="274"/>
        <v/>
      </c>
      <c r="AQ1751" s="708" t="str">
        <f t="shared" si="275"/>
        <v/>
      </c>
      <c r="AR1751" s="708" t="str">
        <f t="shared" si="276"/>
        <v/>
      </c>
      <c r="AS1751" s="708" t="str">
        <f t="shared" si="277"/>
        <v/>
      </c>
      <c r="AT1751" s="708" t="str">
        <f t="shared" si="278"/>
        <v/>
      </c>
      <c r="AU1751" s="708" t="str">
        <f t="shared" si="279"/>
        <v/>
      </c>
      <c r="AV1751" s="708" t="str">
        <f t="shared" si="280"/>
        <v/>
      </c>
      <c r="AW1751" s="708" t="str">
        <f t="shared" si="281"/>
        <v/>
      </c>
      <c r="AX1751" s="708" t="str">
        <f t="shared" si="282"/>
        <v/>
      </c>
      <c r="AY1751" s="708" t="str">
        <f t="shared" si="283"/>
        <v/>
      </c>
      <c r="AZ1751" s="708" t="str">
        <f t="shared" si="284"/>
        <v/>
      </c>
      <c r="BA1751" s="708" t="str">
        <f t="shared" si="285"/>
        <v/>
      </c>
      <c r="BB1751" s="708" t="str">
        <f t="shared" si="286"/>
        <v/>
      </c>
      <c r="BC1751" s="708" t="str">
        <f t="shared" si="287"/>
        <v/>
      </c>
      <c r="BD1751" s="708" t="str">
        <f t="shared" si="288"/>
        <v/>
      </c>
      <c r="BE1751" s="708" t="str">
        <f t="shared" si="289"/>
        <v/>
      </c>
      <c r="BF1751" s="708" t="str">
        <f t="shared" si="290"/>
        <v/>
      </c>
      <c r="BG1751" s="708" t="str">
        <f t="shared" si="291"/>
        <v/>
      </c>
      <c r="BH1751" s="708" t="str">
        <f t="shared" si="292"/>
        <v/>
      </c>
      <c r="BI1751" s="708" t="str">
        <f t="shared" si="293"/>
        <v/>
      </c>
      <c r="BJ1751" s="708" t="str">
        <f t="shared" si="294"/>
        <v/>
      </c>
      <c r="BK1751" s="708" t="str">
        <f t="shared" si="295"/>
        <v/>
      </c>
      <c r="BL1751" s="708" t="str">
        <f t="shared" si="296"/>
        <v/>
      </c>
      <c r="BM1751" s="708" t="str">
        <f t="shared" si="297"/>
        <v/>
      </c>
      <c r="BN1751" s="708" t="str">
        <f t="shared" si="298"/>
        <v/>
      </c>
      <c r="BO1751" s="708" t="str">
        <f t="shared" si="299"/>
        <v/>
      </c>
      <c r="BP1751" s="708" t="str">
        <f t="shared" si="300"/>
        <v/>
      </c>
      <c r="BQ1751" s="708" t="str">
        <f t="shared" si="301"/>
        <v/>
      </c>
      <c r="BR1751" s="708" t="str">
        <f t="shared" si="120"/>
        <v/>
      </c>
      <c r="BS1751" s="708" t="str">
        <f t="shared" si="121"/>
        <v/>
      </c>
      <c r="BT1751" s="708" t="str">
        <f t="shared" si="122"/>
        <v/>
      </c>
      <c r="BU1751" s="708" t="str">
        <f t="shared" si="123"/>
        <v/>
      </c>
      <c r="BV1751" s="708" t="str">
        <f t="shared" si="124"/>
        <v/>
      </c>
      <c r="BW1751" s="708" t="str">
        <f t="shared" si="125"/>
        <v/>
      </c>
      <c r="BX1751" s="708" t="str">
        <f t="shared" si="126"/>
        <v/>
      </c>
      <c r="BY1751" s="708" t="str">
        <f t="shared" si="127"/>
        <v/>
      </c>
      <c r="BZ1751" s="708" t="str">
        <f t="shared" si="128"/>
        <v/>
      </c>
      <c r="CA1751" s="708" t="str">
        <f t="shared" si="129"/>
        <v/>
      </c>
      <c r="CB1751" s="708" t="str">
        <f t="shared" si="130"/>
        <v/>
      </c>
      <c r="CC1751" s="708" t="str">
        <f t="shared" si="131"/>
        <v/>
      </c>
      <c r="CD1751" s="708" t="str">
        <f t="shared" si="132"/>
        <v/>
      </c>
      <c r="CE1751" s="708" t="str">
        <f t="shared" si="133"/>
        <v/>
      </c>
      <c r="CF1751" s="708" t="str">
        <f t="shared" si="134"/>
        <v/>
      </c>
      <c r="CG1751" s="708" t="str">
        <f t="shared" si="135"/>
        <v/>
      </c>
      <c r="CH1751" s="708" t="str">
        <f t="shared" si="136"/>
        <v/>
      </c>
      <c r="CI1751" s="708" t="str">
        <f t="shared" si="137"/>
        <v/>
      </c>
      <c r="CJ1751" s="708" t="str">
        <f t="shared" si="138"/>
        <v/>
      </c>
      <c r="CK1751" s="708" t="str">
        <f t="shared" si="139"/>
        <v/>
      </c>
      <c r="CL1751" s="708" t="str">
        <f t="shared" si="140"/>
        <v/>
      </c>
      <c r="CM1751" s="708" t="str">
        <f t="shared" si="141"/>
        <v/>
      </c>
      <c r="CN1751" s="708" t="str">
        <f t="shared" si="142"/>
        <v/>
      </c>
      <c r="CO1751" s="708" t="str">
        <f t="shared" si="143"/>
        <v/>
      </c>
      <c r="CP1751" s="708" t="str">
        <f t="shared" si="144"/>
        <v/>
      </c>
      <c r="CQ1751" s="708" t="str">
        <f t="shared" si="145"/>
        <v/>
      </c>
      <c r="CR1751" s="708" t="str">
        <f t="shared" si="146"/>
        <v/>
      </c>
      <c r="CS1751" s="708" t="str">
        <f t="shared" si="147"/>
        <v/>
      </c>
      <c r="CT1751" s="708" t="str">
        <f t="shared" si="148"/>
        <v/>
      </c>
      <c r="CU1751" s="708" t="str">
        <f t="shared" si="149"/>
        <v/>
      </c>
      <c r="CV1751" s="708" t="str">
        <f t="shared" si="150"/>
        <v/>
      </c>
      <c r="CW1751" s="708" t="str">
        <f t="shared" si="151"/>
        <v/>
      </c>
      <c r="CX1751" s="708" t="str">
        <f t="shared" si="152"/>
        <v/>
      </c>
      <c r="CY1751" s="708" t="str">
        <f t="shared" si="153"/>
        <v/>
      </c>
      <c r="CZ1751" s="708" t="str">
        <f t="shared" si="154"/>
        <v/>
      </c>
      <c r="DA1751" s="708" t="str">
        <f t="shared" si="155"/>
        <v/>
      </c>
      <c r="DB1751" s="708" t="str">
        <f t="shared" si="156"/>
        <v/>
      </c>
      <c r="DC1751" s="708" t="str">
        <f t="shared" si="157"/>
        <v/>
      </c>
      <c r="DD1751" s="708" t="str">
        <f t="shared" si="158"/>
        <v/>
      </c>
      <c r="DE1751" s="708" t="str">
        <f t="shared" si="159"/>
        <v/>
      </c>
      <c r="DF1751" s="708" t="str">
        <f t="shared" si="160"/>
        <v/>
      </c>
      <c r="DG1751" s="708" t="str">
        <f t="shared" si="161"/>
        <v/>
      </c>
      <c r="DH1751" s="708" t="str">
        <f t="shared" si="162"/>
        <v/>
      </c>
      <c r="DI1751" s="708" t="str">
        <f t="shared" si="163"/>
        <v/>
      </c>
      <c r="DJ1751" s="708" t="str">
        <f t="shared" si="164"/>
        <v/>
      </c>
      <c r="DK1751" s="708" t="str">
        <f t="shared" si="165"/>
        <v/>
      </c>
      <c r="DL1751" s="708" t="str">
        <f t="shared" si="166"/>
        <v/>
      </c>
      <c r="DM1751" s="708" t="str">
        <f t="shared" si="167"/>
        <v/>
      </c>
      <c r="DN1751" s="708" t="str">
        <f t="shared" si="168"/>
        <v/>
      </c>
      <c r="DO1751" s="708" t="str">
        <f t="shared" si="169"/>
        <v/>
      </c>
      <c r="DP1751" s="708" t="str">
        <f t="shared" si="170"/>
        <v/>
      </c>
      <c r="DQ1751" s="708" t="str">
        <f t="shared" si="171"/>
        <v/>
      </c>
      <c r="DR1751" s="708" t="str">
        <f t="shared" si="172"/>
        <v/>
      </c>
      <c r="DS1751" s="708" t="str">
        <f t="shared" si="173"/>
        <v/>
      </c>
      <c r="DT1751" s="708" t="str">
        <f t="shared" si="174"/>
        <v/>
      </c>
      <c r="DU1751" s="708" t="str">
        <f t="shared" si="175"/>
        <v/>
      </c>
      <c r="DV1751" s="708" t="str">
        <f t="shared" si="176"/>
        <v/>
      </c>
      <c r="DW1751" s="708" t="str">
        <f t="shared" si="177"/>
        <v/>
      </c>
      <c r="DX1751" s="708" t="str">
        <f t="shared" si="178"/>
        <v/>
      </c>
      <c r="DY1751" s="708" t="str">
        <f t="shared" si="179"/>
        <v/>
      </c>
      <c r="DZ1751" s="708" t="str">
        <f t="shared" si="180"/>
        <v/>
      </c>
      <c r="EA1751" s="708" t="str">
        <f t="shared" si="181"/>
        <v/>
      </c>
      <c r="EB1751" s="708" t="str">
        <f t="shared" si="182"/>
        <v/>
      </c>
      <c r="EC1751" s="708" t="str">
        <f t="shared" si="183"/>
        <v/>
      </c>
      <c r="ED1751" s="708" t="str">
        <f t="shared" si="184"/>
        <v/>
      </c>
      <c r="EE1751" s="708" t="str">
        <f t="shared" si="185"/>
        <v/>
      </c>
      <c r="EF1751" s="708" t="str">
        <f t="shared" si="186"/>
        <v/>
      </c>
      <c r="EG1751" s="708" t="str">
        <f t="shared" si="187"/>
        <v/>
      </c>
      <c r="EH1751" s="708" t="str">
        <f t="shared" si="188"/>
        <v/>
      </c>
      <c r="EI1751" s="708" t="str">
        <f t="shared" si="189"/>
        <v/>
      </c>
      <c r="EJ1751" s="708" t="str">
        <f t="shared" si="190"/>
        <v/>
      </c>
      <c r="EK1751" s="708" t="str">
        <f t="shared" si="191"/>
        <v/>
      </c>
      <c r="EL1751" s="708" t="str">
        <f t="shared" si="192"/>
        <v/>
      </c>
      <c r="EM1751" s="708" t="str">
        <f t="shared" si="193"/>
        <v/>
      </c>
      <c r="EN1751" s="708" t="str">
        <f t="shared" si="194"/>
        <v/>
      </c>
      <c r="EO1751" s="708" t="str">
        <f t="shared" si="195"/>
        <v/>
      </c>
      <c r="EP1751" s="708" t="str">
        <f t="shared" si="196"/>
        <v/>
      </c>
      <c r="EQ1751" s="708" t="str">
        <f t="shared" si="197"/>
        <v/>
      </c>
      <c r="ER1751" s="708" t="str">
        <f t="shared" si="198"/>
        <v/>
      </c>
      <c r="ES1751" s="708" t="str">
        <f t="shared" si="199"/>
        <v/>
      </c>
      <c r="ET1751" s="708" t="str">
        <f t="shared" si="200"/>
        <v/>
      </c>
      <c r="EU1751" s="708" t="str">
        <f t="shared" si="201"/>
        <v/>
      </c>
      <c r="EV1751" s="708" t="str">
        <f t="shared" si="202"/>
        <v/>
      </c>
      <c r="EW1751" s="708" t="str">
        <f t="shared" si="203"/>
        <v/>
      </c>
      <c r="EX1751" s="708" t="str">
        <f t="shared" si="204"/>
        <v/>
      </c>
      <c r="EY1751" s="708" t="str">
        <f t="shared" si="205"/>
        <v/>
      </c>
      <c r="EZ1751" s="708" t="str">
        <f t="shared" si="206"/>
        <v/>
      </c>
      <c r="FA1751" s="708" t="str">
        <f t="shared" si="207"/>
        <v/>
      </c>
      <c r="FB1751" s="708" t="str">
        <f t="shared" si="208"/>
        <v/>
      </c>
      <c r="FC1751" s="708" t="str">
        <f t="shared" si="209"/>
        <v/>
      </c>
      <c r="FD1751" s="708" t="str">
        <f t="shared" si="210"/>
        <v/>
      </c>
      <c r="FE1751" s="708" t="str">
        <f t="shared" si="211"/>
        <v/>
      </c>
      <c r="FF1751" s="708" t="str">
        <f t="shared" si="212"/>
        <v/>
      </c>
      <c r="FG1751" s="708" t="str">
        <f t="shared" si="213"/>
        <v/>
      </c>
      <c r="FH1751" s="708" t="str">
        <f t="shared" si="214"/>
        <v/>
      </c>
      <c r="FI1751" s="708" t="str">
        <f t="shared" si="215"/>
        <v/>
      </c>
      <c r="FJ1751" s="708" t="str">
        <f t="shared" si="216"/>
        <v/>
      </c>
      <c r="FK1751" s="708" t="str">
        <f t="shared" si="217"/>
        <v/>
      </c>
      <c r="FL1751" s="708" t="str">
        <f t="shared" si="218"/>
        <v/>
      </c>
      <c r="FM1751" s="708" t="str">
        <f t="shared" si="219"/>
        <v/>
      </c>
      <c r="FN1751" s="708" t="str">
        <f t="shared" si="220"/>
        <v/>
      </c>
      <c r="FO1751" s="708" t="str">
        <f t="shared" si="221"/>
        <v/>
      </c>
      <c r="FP1751" s="708" t="str">
        <f t="shared" si="222"/>
        <v/>
      </c>
      <c r="FQ1751" s="708" t="str">
        <f t="shared" si="223"/>
        <v/>
      </c>
      <c r="FR1751" s="708" t="str">
        <f t="shared" si="224"/>
        <v/>
      </c>
      <c r="FS1751" s="708" t="str">
        <f t="shared" si="225"/>
        <v/>
      </c>
      <c r="FT1751" s="708" t="str">
        <f t="shared" si="226"/>
        <v/>
      </c>
      <c r="FU1751" s="708" t="str">
        <f t="shared" si="227"/>
        <v/>
      </c>
      <c r="FV1751" s="708" t="str">
        <f t="shared" si="228"/>
        <v/>
      </c>
      <c r="FW1751" s="708" t="str">
        <f t="shared" si="229"/>
        <v/>
      </c>
      <c r="FX1751" s="708" t="str">
        <f t="shared" si="230"/>
        <v/>
      </c>
      <c r="FY1751" s="708" t="str">
        <f t="shared" si="231"/>
        <v/>
      </c>
      <c r="FZ1751" s="708" t="str">
        <f t="shared" si="232"/>
        <v/>
      </c>
      <c r="GA1751" s="708" t="str">
        <f t="shared" si="233"/>
        <v/>
      </c>
      <c r="GB1751" s="708" t="str">
        <f t="shared" si="234"/>
        <v/>
      </c>
      <c r="GC1751" s="708" t="str">
        <f t="shared" si="235"/>
        <v/>
      </c>
      <c r="GD1751" s="708" t="str">
        <f t="shared" si="236"/>
        <v/>
      </c>
      <c r="GE1751" s="708" t="str">
        <f t="shared" si="237"/>
        <v/>
      </c>
      <c r="GF1751" s="708" t="str">
        <f t="shared" si="238"/>
        <v/>
      </c>
      <c r="GG1751" s="708" t="str">
        <f t="shared" si="239"/>
        <v/>
      </c>
      <c r="GH1751" s="708" t="str">
        <f t="shared" si="240"/>
        <v/>
      </c>
      <c r="GI1751" s="708" t="str">
        <f t="shared" si="241"/>
        <v/>
      </c>
      <c r="GJ1751" s="708" t="str">
        <f t="shared" si="242"/>
        <v/>
      </c>
      <c r="GK1751" s="708" t="str">
        <f t="shared" si="243"/>
        <v/>
      </c>
      <c r="GL1751" s="708" t="str">
        <f t="shared" si="244"/>
        <v/>
      </c>
      <c r="GM1751" s="708" t="str">
        <f t="shared" si="245"/>
        <v/>
      </c>
      <c r="GN1751" s="708" t="str">
        <f t="shared" si="246"/>
        <v/>
      </c>
      <c r="GO1751" s="708" t="str">
        <f t="shared" si="247"/>
        <v/>
      </c>
      <c r="GP1751" s="708" t="str">
        <f t="shared" si="248"/>
        <v/>
      </c>
      <c r="GQ1751" s="708" t="str">
        <f t="shared" si="249"/>
        <v/>
      </c>
      <c r="GR1751" s="708" t="str">
        <f t="shared" si="250"/>
        <v/>
      </c>
      <c r="GS1751" s="708" t="str">
        <f t="shared" si="251"/>
        <v/>
      </c>
      <c r="GT1751" s="708" t="str">
        <f t="shared" si="252"/>
        <v/>
      </c>
      <c r="GU1751" s="708" t="str">
        <f t="shared" si="253"/>
        <v/>
      </c>
      <c r="GV1751" s="708" t="str">
        <f t="shared" si="254"/>
        <v/>
      </c>
      <c r="GW1751" s="708" t="str">
        <f t="shared" si="255"/>
        <v/>
      </c>
      <c r="GX1751" s="708" t="str">
        <f t="shared" si="256"/>
        <v/>
      </c>
      <c r="GY1751" s="708" t="str">
        <f t="shared" si="257"/>
        <v/>
      </c>
      <c r="GZ1751" s="708" t="str">
        <f t="shared" si="258"/>
        <v/>
      </c>
      <c r="HA1751" s="708" t="str">
        <f t="shared" si="259"/>
        <v/>
      </c>
      <c r="HB1751" s="708" t="str">
        <f t="shared" si="260"/>
        <v/>
      </c>
      <c r="HC1751" s="708" t="str">
        <f t="shared" si="261"/>
        <v/>
      </c>
      <c r="HD1751" s="708" t="str">
        <f t="shared" si="262"/>
        <v/>
      </c>
      <c r="HE1751" s="708" t="str">
        <f t="shared" si="263"/>
        <v/>
      </c>
      <c r="HF1751" s="708" t="str">
        <f t="shared" si="264"/>
        <v/>
      </c>
      <c r="HG1751" s="708" t="str">
        <f t="shared" si="265"/>
        <v/>
      </c>
      <c r="HH1751" s="708" t="str">
        <f t="shared" si="266"/>
        <v/>
      </c>
      <c r="HI1751" s="708" t="str">
        <f t="shared" si="267"/>
        <v/>
      </c>
      <c r="HJ1751" s="708" t="str">
        <f t="shared" si="268"/>
        <v/>
      </c>
      <c r="HK1751" s="708" t="str">
        <f t="shared" si="269"/>
        <v/>
      </c>
    </row>
    <row r="1752" spans="1:219" ht="13.15" customHeight="1">
      <c r="A1752" s="708" t="str">
        <f t="shared" si="270"/>
        <v/>
      </c>
      <c r="B1752" s="708">
        <f>'Part VI-Revenues &amp; Expenses'!B37</f>
        <v>0</v>
      </c>
      <c r="C1752" s="708">
        <f>'Part VI-Revenues &amp; Expenses'!C37</f>
        <v>0</v>
      </c>
      <c r="D1752" s="708">
        <f>'Part VI-Revenues &amp; Expenses'!D37</f>
        <v>0</v>
      </c>
      <c r="E1752" s="708">
        <f>'Part VI-Revenues &amp; Expenses'!E37</f>
        <v>0</v>
      </c>
      <c r="F1752" s="708">
        <f>'Part VI-Revenues &amp; Expenses'!F37</f>
        <v>0</v>
      </c>
      <c r="G1752" s="708">
        <f>'Part VI-Revenues &amp; Expenses'!G37</f>
        <v>0</v>
      </c>
      <c r="H1752" s="708">
        <f>'Part VI-Revenues &amp; Expenses'!H37</f>
        <v>0</v>
      </c>
      <c r="I1752" s="708">
        <f>'Part VI-Revenues &amp; Expenses'!I37</f>
        <v>0</v>
      </c>
      <c r="J1752" s="708">
        <f>'Part VI-Revenues &amp; Expenses'!J37</f>
        <v>0</v>
      </c>
      <c r="K1752" s="708">
        <f t="shared" si="302"/>
        <v>0</v>
      </c>
      <c r="L1752" s="708">
        <f t="shared" si="99"/>
        <v>0</v>
      </c>
      <c r="M1752" s="708">
        <f>'Part VI-Revenues &amp; Expenses'!M37</f>
        <v>0</v>
      </c>
      <c r="N1752" s="708">
        <f>'Part VI-Revenues &amp; Expenses'!N37</f>
        <v>0</v>
      </c>
      <c r="O1752" s="708">
        <f>'Part VI-Revenues &amp; Expenses'!O37</f>
        <v>0</v>
      </c>
      <c r="P1752" s="708" t="str">
        <f>'Part VI-Revenues &amp; Expenses'!P37</f>
        <v/>
      </c>
      <c r="Q1752" s="708" t="str">
        <f>'Part VI-Revenues &amp; Expenses'!Q37</f>
        <v/>
      </c>
      <c r="R1752" s="708">
        <f>'Part VI-Revenues &amp; Expenses'!R37</f>
        <v>0</v>
      </c>
      <c r="T1752" s="708" t="str">
        <f t="shared" si="100"/>
        <v/>
      </c>
      <c r="U1752" s="708" t="str">
        <f t="shared" si="101"/>
        <v/>
      </c>
      <c r="V1752" s="708" t="str">
        <f t="shared" si="102"/>
        <v/>
      </c>
      <c r="W1752" s="708" t="str">
        <f t="shared" si="103"/>
        <v/>
      </c>
      <c r="X1752" s="708" t="str">
        <f t="shared" si="104"/>
        <v/>
      </c>
      <c r="Y1752" s="708" t="str">
        <f t="shared" si="105"/>
        <v/>
      </c>
      <c r="Z1752" s="708" t="str">
        <f t="shared" si="106"/>
        <v/>
      </c>
      <c r="AA1752" s="708" t="str">
        <f t="shared" si="107"/>
        <v/>
      </c>
      <c r="AB1752" s="708" t="str">
        <f t="shared" si="108"/>
        <v/>
      </c>
      <c r="AC1752" s="708" t="str">
        <f t="shared" si="109"/>
        <v/>
      </c>
      <c r="AD1752" s="708" t="str">
        <f t="shared" si="110"/>
        <v/>
      </c>
      <c r="AE1752" s="708" t="str">
        <f t="shared" si="111"/>
        <v/>
      </c>
      <c r="AF1752" s="708" t="str">
        <f t="shared" si="112"/>
        <v/>
      </c>
      <c r="AG1752" s="708" t="str">
        <f t="shared" si="113"/>
        <v/>
      </c>
      <c r="AH1752" s="708" t="str">
        <f t="shared" si="114"/>
        <v/>
      </c>
      <c r="AI1752" s="708" t="str">
        <f t="shared" si="115"/>
        <v/>
      </c>
      <c r="AJ1752" s="708" t="str">
        <f t="shared" si="116"/>
        <v/>
      </c>
      <c r="AK1752" s="708" t="str">
        <f t="shared" si="117"/>
        <v/>
      </c>
      <c r="AL1752" s="708" t="str">
        <f t="shared" si="118"/>
        <v/>
      </c>
      <c r="AM1752" s="708" t="str">
        <f t="shared" si="119"/>
        <v/>
      </c>
      <c r="AN1752" s="708" t="str">
        <f t="shared" si="272"/>
        <v/>
      </c>
      <c r="AO1752" s="708" t="str">
        <f t="shared" si="273"/>
        <v/>
      </c>
      <c r="AP1752" s="708" t="str">
        <f t="shared" si="274"/>
        <v/>
      </c>
      <c r="AQ1752" s="708" t="str">
        <f t="shared" si="275"/>
        <v/>
      </c>
      <c r="AR1752" s="708" t="str">
        <f t="shared" si="276"/>
        <v/>
      </c>
      <c r="AS1752" s="708" t="str">
        <f t="shared" si="277"/>
        <v/>
      </c>
      <c r="AT1752" s="708" t="str">
        <f t="shared" si="278"/>
        <v/>
      </c>
      <c r="AU1752" s="708" t="str">
        <f t="shared" si="279"/>
        <v/>
      </c>
      <c r="AV1752" s="708" t="str">
        <f t="shared" si="280"/>
        <v/>
      </c>
      <c r="AW1752" s="708" t="str">
        <f t="shared" si="281"/>
        <v/>
      </c>
      <c r="AX1752" s="708" t="str">
        <f t="shared" si="282"/>
        <v/>
      </c>
      <c r="AY1752" s="708" t="str">
        <f t="shared" si="283"/>
        <v/>
      </c>
      <c r="AZ1752" s="708" t="str">
        <f t="shared" si="284"/>
        <v/>
      </c>
      <c r="BA1752" s="708" t="str">
        <f t="shared" si="285"/>
        <v/>
      </c>
      <c r="BB1752" s="708" t="str">
        <f t="shared" si="286"/>
        <v/>
      </c>
      <c r="BC1752" s="708" t="str">
        <f t="shared" si="287"/>
        <v/>
      </c>
      <c r="BD1752" s="708" t="str">
        <f t="shared" si="288"/>
        <v/>
      </c>
      <c r="BE1752" s="708" t="str">
        <f t="shared" si="289"/>
        <v/>
      </c>
      <c r="BF1752" s="708" t="str">
        <f t="shared" si="290"/>
        <v/>
      </c>
      <c r="BG1752" s="708" t="str">
        <f t="shared" si="291"/>
        <v/>
      </c>
      <c r="BH1752" s="708" t="str">
        <f t="shared" si="292"/>
        <v/>
      </c>
      <c r="BI1752" s="708" t="str">
        <f t="shared" si="293"/>
        <v/>
      </c>
      <c r="BJ1752" s="708" t="str">
        <f t="shared" si="294"/>
        <v/>
      </c>
      <c r="BK1752" s="708" t="str">
        <f t="shared" si="295"/>
        <v/>
      </c>
      <c r="BL1752" s="708" t="str">
        <f t="shared" si="296"/>
        <v/>
      </c>
      <c r="BM1752" s="708" t="str">
        <f t="shared" si="297"/>
        <v/>
      </c>
      <c r="BN1752" s="708" t="str">
        <f t="shared" si="298"/>
        <v/>
      </c>
      <c r="BO1752" s="708" t="str">
        <f t="shared" si="299"/>
        <v/>
      </c>
      <c r="BP1752" s="708" t="str">
        <f t="shared" si="300"/>
        <v/>
      </c>
      <c r="BQ1752" s="708" t="str">
        <f t="shared" si="301"/>
        <v/>
      </c>
      <c r="BR1752" s="708" t="str">
        <f t="shared" si="120"/>
        <v/>
      </c>
      <c r="BS1752" s="708" t="str">
        <f t="shared" si="121"/>
        <v/>
      </c>
      <c r="BT1752" s="708" t="str">
        <f t="shared" si="122"/>
        <v/>
      </c>
      <c r="BU1752" s="708" t="str">
        <f t="shared" si="123"/>
        <v/>
      </c>
      <c r="BV1752" s="708" t="str">
        <f t="shared" si="124"/>
        <v/>
      </c>
      <c r="BW1752" s="708" t="str">
        <f t="shared" si="125"/>
        <v/>
      </c>
      <c r="BX1752" s="708" t="str">
        <f t="shared" si="126"/>
        <v/>
      </c>
      <c r="BY1752" s="708" t="str">
        <f t="shared" si="127"/>
        <v/>
      </c>
      <c r="BZ1752" s="708" t="str">
        <f t="shared" si="128"/>
        <v/>
      </c>
      <c r="CA1752" s="708" t="str">
        <f t="shared" si="129"/>
        <v/>
      </c>
      <c r="CB1752" s="708" t="str">
        <f t="shared" si="130"/>
        <v/>
      </c>
      <c r="CC1752" s="708" t="str">
        <f t="shared" si="131"/>
        <v/>
      </c>
      <c r="CD1752" s="708" t="str">
        <f t="shared" si="132"/>
        <v/>
      </c>
      <c r="CE1752" s="708" t="str">
        <f t="shared" si="133"/>
        <v/>
      </c>
      <c r="CF1752" s="708" t="str">
        <f t="shared" si="134"/>
        <v/>
      </c>
      <c r="CG1752" s="708" t="str">
        <f t="shared" si="135"/>
        <v/>
      </c>
      <c r="CH1752" s="708" t="str">
        <f t="shared" si="136"/>
        <v/>
      </c>
      <c r="CI1752" s="708" t="str">
        <f t="shared" si="137"/>
        <v/>
      </c>
      <c r="CJ1752" s="708" t="str">
        <f t="shared" si="138"/>
        <v/>
      </c>
      <c r="CK1752" s="708" t="str">
        <f t="shared" si="139"/>
        <v/>
      </c>
      <c r="CL1752" s="708" t="str">
        <f t="shared" si="140"/>
        <v/>
      </c>
      <c r="CM1752" s="708" t="str">
        <f t="shared" si="141"/>
        <v/>
      </c>
      <c r="CN1752" s="708" t="str">
        <f t="shared" si="142"/>
        <v/>
      </c>
      <c r="CO1752" s="708" t="str">
        <f t="shared" si="143"/>
        <v/>
      </c>
      <c r="CP1752" s="708" t="str">
        <f t="shared" si="144"/>
        <v/>
      </c>
      <c r="CQ1752" s="708" t="str">
        <f t="shared" si="145"/>
        <v/>
      </c>
      <c r="CR1752" s="708" t="str">
        <f t="shared" si="146"/>
        <v/>
      </c>
      <c r="CS1752" s="708" t="str">
        <f t="shared" si="147"/>
        <v/>
      </c>
      <c r="CT1752" s="708" t="str">
        <f t="shared" si="148"/>
        <v/>
      </c>
      <c r="CU1752" s="708" t="str">
        <f t="shared" si="149"/>
        <v/>
      </c>
      <c r="CV1752" s="708" t="str">
        <f t="shared" si="150"/>
        <v/>
      </c>
      <c r="CW1752" s="708" t="str">
        <f t="shared" si="151"/>
        <v/>
      </c>
      <c r="CX1752" s="708" t="str">
        <f t="shared" si="152"/>
        <v/>
      </c>
      <c r="CY1752" s="708" t="str">
        <f t="shared" si="153"/>
        <v/>
      </c>
      <c r="CZ1752" s="708" t="str">
        <f t="shared" si="154"/>
        <v/>
      </c>
      <c r="DA1752" s="708" t="str">
        <f t="shared" si="155"/>
        <v/>
      </c>
      <c r="DB1752" s="708" t="str">
        <f t="shared" si="156"/>
        <v/>
      </c>
      <c r="DC1752" s="708" t="str">
        <f t="shared" si="157"/>
        <v/>
      </c>
      <c r="DD1752" s="708" t="str">
        <f t="shared" si="158"/>
        <v/>
      </c>
      <c r="DE1752" s="708" t="str">
        <f t="shared" si="159"/>
        <v/>
      </c>
      <c r="DF1752" s="708" t="str">
        <f t="shared" si="160"/>
        <v/>
      </c>
      <c r="DG1752" s="708" t="str">
        <f t="shared" si="161"/>
        <v/>
      </c>
      <c r="DH1752" s="708" t="str">
        <f t="shared" si="162"/>
        <v/>
      </c>
      <c r="DI1752" s="708" t="str">
        <f t="shared" si="163"/>
        <v/>
      </c>
      <c r="DJ1752" s="708" t="str">
        <f t="shared" si="164"/>
        <v/>
      </c>
      <c r="DK1752" s="708" t="str">
        <f t="shared" si="165"/>
        <v/>
      </c>
      <c r="DL1752" s="708" t="str">
        <f t="shared" si="166"/>
        <v/>
      </c>
      <c r="DM1752" s="708" t="str">
        <f t="shared" si="167"/>
        <v/>
      </c>
      <c r="DN1752" s="708" t="str">
        <f t="shared" si="168"/>
        <v/>
      </c>
      <c r="DO1752" s="708" t="str">
        <f t="shared" si="169"/>
        <v/>
      </c>
      <c r="DP1752" s="708" t="str">
        <f t="shared" si="170"/>
        <v/>
      </c>
      <c r="DQ1752" s="708" t="str">
        <f t="shared" si="171"/>
        <v/>
      </c>
      <c r="DR1752" s="708" t="str">
        <f t="shared" si="172"/>
        <v/>
      </c>
      <c r="DS1752" s="708" t="str">
        <f t="shared" si="173"/>
        <v/>
      </c>
      <c r="DT1752" s="708" t="str">
        <f t="shared" si="174"/>
        <v/>
      </c>
      <c r="DU1752" s="708" t="str">
        <f t="shared" si="175"/>
        <v/>
      </c>
      <c r="DV1752" s="708" t="str">
        <f t="shared" si="176"/>
        <v/>
      </c>
      <c r="DW1752" s="708" t="str">
        <f t="shared" si="177"/>
        <v/>
      </c>
      <c r="DX1752" s="708" t="str">
        <f t="shared" si="178"/>
        <v/>
      </c>
      <c r="DY1752" s="708" t="str">
        <f t="shared" si="179"/>
        <v/>
      </c>
      <c r="DZ1752" s="708" t="str">
        <f t="shared" si="180"/>
        <v/>
      </c>
      <c r="EA1752" s="708" t="str">
        <f t="shared" si="181"/>
        <v/>
      </c>
      <c r="EB1752" s="708" t="str">
        <f t="shared" si="182"/>
        <v/>
      </c>
      <c r="EC1752" s="708" t="str">
        <f t="shared" si="183"/>
        <v/>
      </c>
      <c r="ED1752" s="708" t="str">
        <f t="shared" si="184"/>
        <v/>
      </c>
      <c r="EE1752" s="708" t="str">
        <f t="shared" si="185"/>
        <v/>
      </c>
      <c r="EF1752" s="708" t="str">
        <f t="shared" si="186"/>
        <v/>
      </c>
      <c r="EG1752" s="708" t="str">
        <f t="shared" si="187"/>
        <v/>
      </c>
      <c r="EH1752" s="708" t="str">
        <f t="shared" si="188"/>
        <v/>
      </c>
      <c r="EI1752" s="708" t="str">
        <f t="shared" si="189"/>
        <v/>
      </c>
      <c r="EJ1752" s="708" t="str">
        <f t="shared" si="190"/>
        <v/>
      </c>
      <c r="EK1752" s="708" t="str">
        <f t="shared" si="191"/>
        <v/>
      </c>
      <c r="EL1752" s="708" t="str">
        <f t="shared" si="192"/>
        <v/>
      </c>
      <c r="EM1752" s="708" t="str">
        <f t="shared" si="193"/>
        <v/>
      </c>
      <c r="EN1752" s="708" t="str">
        <f t="shared" si="194"/>
        <v/>
      </c>
      <c r="EO1752" s="708" t="str">
        <f t="shared" si="195"/>
        <v/>
      </c>
      <c r="EP1752" s="708" t="str">
        <f t="shared" si="196"/>
        <v/>
      </c>
      <c r="EQ1752" s="708" t="str">
        <f t="shared" si="197"/>
        <v/>
      </c>
      <c r="ER1752" s="708" t="str">
        <f t="shared" si="198"/>
        <v/>
      </c>
      <c r="ES1752" s="708" t="str">
        <f t="shared" si="199"/>
        <v/>
      </c>
      <c r="ET1752" s="708" t="str">
        <f t="shared" si="200"/>
        <v/>
      </c>
      <c r="EU1752" s="708" t="str">
        <f t="shared" si="201"/>
        <v/>
      </c>
      <c r="EV1752" s="708" t="str">
        <f t="shared" si="202"/>
        <v/>
      </c>
      <c r="EW1752" s="708" t="str">
        <f t="shared" si="203"/>
        <v/>
      </c>
      <c r="EX1752" s="708" t="str">
        <f t="shared" si="204"/>
        <v/>
      </c>
      <c r="EY1752" s="708" t="str">
        <f t="shared" si="205"/>
        <v/>
      </c>
      <c r="EZ1752" s="708" t="str">
        <f t="shared" si="206"/>
        <v/>
      </c>
      <c r="FA1752" s="708" t="str">
        <f t="shared" si="207"/>
        <v/>
      </c>
      <c r="FB1752" s="708" t="str">
        <f t="shared" si="208"/>
        <v/>
      </c>
      <c r="FC1752" s="708" t="str">
        <f t="shared" si="209"/>
        <v/>
      </c>
      <c r="FD1752" s="708" t="str">
        <f t="shared" si="210"/>
        <v/>
      </c>
      <c r="FE1752" s="708" t="str">
        <f t="shared" si="211"/>
        <v/>
      </c>
      <c r="FF1752" s="708" t="str">
        <f t="shared" si="212"/>
        <v/>
      </c>
      <c r="FG1752" s="708" t="str">
        <f t="shared" si="213"/>
        <v/>
      </c>
      <c r="FH1752" s="708" t="str">
        <f t="shared" si="214"/>
        <v/>
      </c>
      <c r="FI1752" s="708" t="str">
        <f t="shared" si="215"/>
        <v/>
      </c>
      <c r="FJ1752" s="708" t="str">
        <f t="shared" si="216"/>
        <v/>
      </c>
      <c r="FK1752" s="708" t="str">
        <f t="shared" si="217"/>
        <v/>
      </c>
      <c r="FL1752" s="708" t="str">
        <f t="shared" si="218"/>
        <v/>
      </c>
      <c r="FM1752" s="708" t="str">
        <f t="shared" si="219"/>
        <v/>
      </c>
      <c r="FN1752" s="708" t="str">
        <f t="shared" si="220"/>
        <v/>
      </c>
      <c r="FO1752" s="708" t="str">
        <f t="shared" si="221"/>
        <v/>
      </c>
      <c r="FP1752" s="708" t="str">
        <f t="shared" si="222"/>
        <v/>
      </c>
      <c r="FQ1752" s="708" t="str">
        <f t="shared" si="223"/>
        <v/>
      </c>
      <c r="FR1752" s="708" t="str">
        <f t="shared" si="224"/>
        <v/>
      </c>
      <c r="FS1752" s="708" t="str">
        <f t="shared" si="225"/>
        <v/>
      </c>
      <c r="FT1752" s="708" t="str">
        <f t="shared" si="226"/>
        <v/>
      </c>
      <c r="FU1752" s="708" t="str">
        <f t="shared" si="227"/>
        <v/>
      </c>
      <c r="FV1752" s="708" t="str">
        <f t="shared" si="228"/>
        <v/>
      </c>
      <c r="FW1752" s="708" t="str">
        <f t="shared" si="229"/>
        <v/>
      </c>
      <c r="FX1752" s="708" t="str">
        <f t="shared" si="230"/>
        <v/>
      </c>
      <c r="FY1752" s="708" t="str">
        <f t="shared" si="231"/>
        <v/>
      </c>
      <c r="FZ1752" s="708" t="str">
        <f t="shared" si="232"/>
        <v/>
      </c>
      <c r="GA1752" s="708" t="str">
        <f t="shared" si="233"/>
        <v/>
      </c>
      <c r="GB1752" s="708" t="str">
        <f t="shared" si="234"/>
        <v/>
      </c>
      <c r="GC1752" s="708" t="str">
        <f t="shared" si="235"/>
        <v/>
      </c>
      <c r="GD1752" s="708" t="str">
        <f t="shared" si="236"/>
        <v/>
      </c>
      <c r="GE1752" s="708" t="str">
        <f t="shared" si="237"/>
        <v/>
      </c>
      <c r="GF1752" s="708" t="str">
        <f t="shared" si="238"/>
        <v/>
      </c>
      <c r="GG1752" s="708" t="str">
        <f t="shared" si="239"/>
        <v/>
      </c>
      <c r="GH1752" s="708" t="str">
        <f t="shared" si="240"/>
        <v/>
      </c>
      <c r="GI1752" s="708" t="str">
        <f t="shared" si="241"/>
        <v/>
      </c>
      <c r="GJ1752" s="708" t="str">
        <f t="shared" si="242"/>
        <v/>
      </c>
      <c r="GK1752" s="708" t="str">
        <f t="shared" si="243"/>
        <v/>
      </c>
      <c r="GL1752" s="708" t="str">
        <f t="shared" si="244"/>
        <v/>
      </c>
      <c r="GM1752" s="708" t="str">
        <f t="shared" si="245"/>
        <v/>
      </c>
      <c r="GN1752" s="708" t="str">
        <f t="shared" si="246"/>
        <v/>
      </c>
      <c r="GO1752" s="708" t="str">
        <f t="shared" si="247"/>
        <v/>
      </c>
      <c r="GP1752" s="708" t="str">
        <f t="shared" si="248"/>
        <v/>
      </c>
      <c r="GQ1752" s="708" t="str">
        <f t="shared" si="249"/>
        <v/>
      </c>
      <c r="GR1752" s="708" t="str">
        <f t="shared" si="250"/>
        <v/>
      </c>
      <c r="GS1752" s="708" t="str">
        <f t="shared" si="251"/>
        <v/>
      </c>
      <c r="GT1752" s="708" t="str">
        <f t="shared" si="252"/>
        <v/>
      </c>
      <c r="GU1752" s="708" t="str">
        <f t="shared" si="253"/>
        <v/>
      </c>
      <c r="GV1752" s="708" t="str">
        <f t="shared" si="254"/>
        <v/>
      </c>
      <c r="GW1752" s="708" t="str">
        <f t="shared" si="255"/>
        <v/>
      </c>
      <c r="GX1752" s="708" t="str">
        <f t="shared" si="256"/>
        <v/>
      </c>
      <c r="GY1752" s="708" t="str">
        <f t="shared" si="257"/>
        <v/>
      </c>
      <c r="GZ1752" s="708" t="str">
        <f t="shared" si="258"/>
        <v/>
      </c>
      <c r="HA1752" s="708" t="str">
        <f t="shared" si="259"/>
        <v/>
      </c>
      <c r="HB1752" s="708" t="str">
        <f t="shared" si="260"/>
        <v/>
      </c>
      <c r="HC1752" s="708" t="str">
        <f t="shared" si="261"/>
        <v/>
      </c>
      <c r="HD1752" s="708" t="str">
        <f t="shared" si="262"/>
        <v/>
      </c>
      <c r="HE1752" s="708" t="str">
        <f t="shared" si="263"/>
        <v/>
      </c>
      <c r="HF1752" s="708" t="str">
        <f t="shared" si="264"/>
        <v/>
      </c>
      <c r="HG1752" s="708" t="str">
        <f t="shared" si="265"/>
        <v/>
      </c>
      <c r="HH1752" s="708" t="str">
        <f t="shared" si="266"/>
        <v/>
      </c>
      <c r="HI1752" s="708" t="str">
        <f t="shared" si="267"/>
        <v/>
      </c>
      <c r="HJ1752" s="708" t="str">
        <f t="shared" si="268"/>
        <v/>
      </c>
      <c r="HK1752" s="708" t="str">
        <f t="shared" si="269"/>
        <v/>
      </c>
    </row>
    <row r="1753" spans="1:219" ht="13.15" customHeight="1">
      <c r="A1753" s="708" t="str">
        <f t="shared" si="270"/>
        <v/>
      </c>
      <c r="B1753" s="708">
        <f>'Part VI-Revenues &amp; Expenses'!B38</f>
        <v>0</v>
      </c>
      <c r="C1753" s="708">
        <f>'Part VI-Revenues &amp; Expenses'!C38</f>
        <v>0</v>
      </c>
      <c r="D1753" s="708">
        <f>'Part VI-Revenues &amp; Expenses'!D38</f>
        <v>0</v>
      </c>
      <c r="E1753" s="708">
        <f>'Part VI-Revenues &amp; Expenses'!E38</f>
        <v>0</v>
      </c>
      <c r="F1753" s="708">
        <f>'Part VI-Revenues &amp; Expenses'!F38</f>
        <v>0</v>
      </c>
      <c r="G1753" s="708">
        <f>'Part VI-Revenues &amp; Expenses'!G38</f>
        <v>0</v>
      </c>
      <c r="H1753" s="708">
        <f>'Part VI-Revenues &amp; Expenses'!H38</f>
        <v>0</v>
      </c>
      <c r="I1753" s="708">
        <f>'Part VI-Revenues &amp; Expenses'!I38</f>
        <v>0</v>
      </c>
      <c r="J1753" s="708">
        <f>'Part VI-Revenues &amp; Expenses'!J38</f>
        <v>0</v>
      </c>
      <c r="K1753" s="708">
        <f>MAX(0,H1753-I1753)</f>
        <v>0</v>
      </c>
      <c r="L1753" s="708">
        <f t="shared" si="99"/>
        <v>0</v>
      </c>
      <c r="M1753" s="708">
        <f>'Part VI-Revenues &amp; Expenses'!M38</f>
        <v>0</v>
      </c>
      <c r="N1753" s="708">
        <f>'Part VI-Revenues &amp; Expenses'!N38</f>
        <v>0</v>
      </c>
      <c r="O1753" s="708">
        <f>'Part VI-Revenues &amp; Expenses'!O38</f>
        <v>0</v>
      </c>
      <c r="P1753" s="708" t="str">
        <f>'Part VI-Revenues &amp; Expenses'!P38</f>
        <v/>
      </c>
      <c r="Q1753" s="708" t="str">
        <f>'Part VI-Revenues &amp; Expenses'!Q38</f>
        <v/>
      </c>
      <c r="R1753" s="708">
        <f>'Part VI-Revenues &amp; Expenses'!R38</f>
        <v>0</v>
      </c>
      <c r="T1753" s="708" t="str">
        <f t="shared" si="100"/>
        <v/>
      </c>
      <c r="U1753" s="708" t="str">
        <f t="shared" si="101"/>
        <v/>
      </c>
      <c r="V1753" s="708" t="str">
        <f t="shared" si="102"/>
        <v/>
      </c>
      <c r="W1753" s="708" t="str">
        <f t="shared" si="103"/>
        <v/>
      </c>
      <c r="X1753" s="708" t="str">
        <f t="shared" si="104"/>
        <v/>
      </c>
      <c r="Y1753" s="708" t="str">
        <f t="shared" si="105"/>
        <v/>
      </c>
      <c r="Z1753" s="708" t="str">
        <f t="shared" si="106"/>
        <v/>
      </c>
      <c r="AA1753" s="708" t="str">
        <f t="shared" si="107"/>
        <v/>
      </c>
      <c r="AB1753" s="708" t="str">
        <f t="shared" si="108"/>
        <v/>
      </c>
      <c r="AC1753" s="708" t="str">
        <f t="shared" si="109"/>
        <v/>
      </c>
      <c r="AD1753" s="708" t="str">
        <f t="shared" si="110"/>
        <v/>
      </c>
      <c r="AE1753" s="708" t="str">
        <f t="shared" si="111"/>
        <v/>
      </c>
      <c r="AF1753" s="708" t="str">
        <f t="shared" si="112"/>
        <v/>
      </c>
      <c r="AG1753" s="708" t="str">
        <f t="shared" si="113"/>
        <v/>
      </c>
      <c r="AH1753" s="708" t="str">
        <f t="shared" si="114"/>
        <v/>
      </c>
      <c r="AI1753" s="708" t="str">
        <f t="shared" si="115"/>
        <v/>
      </c>
      <c r="AJ1753" s="708" t="str">
        <f t="shared" si="116"/>
        <v/>
      </c>
      <c r="AK1753" s="708" t="str">
        <f t="shared" si="117"/>
        <v/>
      </c>
      <c r="AL1753" s="708" t="str">
        <f t="shared" si="118"/>
        <v/>
      </c>
      <c r="AM1753" s="708" t="str">
        <f t="shared" si="119"/>
        <v/>
      </c>
      <c r="AN1753" s="708" t="str">
        <f t="shared" si="272"/>
        <v/>
      </c>
      <c r="AO1753" s="708" t="str">
        <f t="shared" si="273"/>
        <v/>
      </c>
      <c r="AP1753" s="708" t="str">
        <f t="shared" si="274"/>
        <v/>
      </c>
      <c r="AQ1753" s="708" t="str">
        <f t="shared" si="275"/>
        <v/>
      </c>
      <c r="AR1753" s="708" t="str">
        <f t="shared" si="276"/>
        <v/>
      </c>
      <c r="AS1753" s="708" t="str">
        <f t="shared" si="277"/>
        <v/>
      </c>
      <c r="AT1753" s="708" t="str">
        <f t="shared" si="278"/>
        <v/>
      </c>
      <c r="AU1753" s="708" t="str">
        <f t="shared" si="279"/>
        <v/>
      </c>
      <c r="AV1753" s="708" t="str">
        <f t="shared" si="280"/>
        <v/>
      </c>
      <c r="AW1753" s="708" t="str">
        <f t="shared" si="281"/>
        <v/>
      </c>
      <c r="AX1753" s="708" t="str">
        <f t="shared" si="282"/>
        <v/>
      </c>
      <c r="AY1753" s="708" t="str">
        <f t="shared" si="283"/>
        <v/>
      </c>
      <c r="AZ1753" s="708" t="str">
        <f t="shared" si="284"/>
        <v/>
      </c>
      <c r="BA1753" s="708" t="str">
        <f t="shared" si="285"/>
        <v/>
      </c>
      <c r="BB1753" s="708" t="str">
        <f t="shared" si="286"/>
        <v/>
      </c>
      <c r="BC1753" s="708" t="str">
        <f t="shared" si="287"/>
        <v/>
      </c>
      <c r="BD1753" s="708" t="str">
        <f t="shared" si="288"/>
        <v/>
      </c>
      <c r="BE1753" s="708" t="str">
        <f t="shared" si="289"/>
        <v/>
      </c>
      <c r="BF1753" s="708" t="str">
        <f t="shared" si="290"/>
        <v/>
      </c>
      <c r="BG1753" s="708" t="str">
        <f t="shared" si="291"/>
        <v/>
      </c>
      <c r="BH1753" s="708" t="str">
        <f t="shared" si="292"/>
        <v/>
      </c>
      <c r="BI1753" s="708" t="str">
        <f t="shared" si="293"/>
        <v/>
      </c>
      <c r="BJ1753" s="708" t="str">
        <f t="shared" si="294"/>
        <v/>
      </c>
      <c r="BK1753" s="708" t="str">
        <f t="shared" si="295"/>
        <v/>
      </c>
      <c r="BL1753" s="708" t="str">
        <f t="shared" si="296"/>
        <v/>
      </c>
      <c r="BM1753" s="708" t="str">
        <f t="shared" si="297"/>
        <v/>
      </c>
      <c r="BN1753" s="708" t="str">
        <f t="shared" si="298"/>
        <v/>
      </c>
      <c r="BO1753" s="708" t="str">
        <f t="shared" si="299"/>
        <v/>
      </c>
      <c r="BP1753" s="708" t="str">
        <f t="shared" si="300"/>
        <v/>
      </c>
      <c r="BQ1753" s="708" t="str">
        <f t="shared" si="301"/>
        <v/>
      </c>
      <c r="BR1753" s="708" t="str">
        <f t="shared" si="120"/>
        <v/>
      </c>
      <c r="BS1753" s="708" t="str">
        <f t="shared" si="121"/>
        <v/>
      </c>
      <c r="BT1753" s="708" t="str">
        <f t="shared" si="122"/>
        <v/>
      </c>
      <c r="BU1753" s="708" t="str">
        <f t="shared" si="123"/>
        <v/>
      </c>
      <c r="BV1753" s="708" t="str">
        <f t="shared" si="124"/>
        <v/>
      </c>
      <c r="BW1753" s="708" t="str">
        <f t="shared" si="125"/>
        <v/>
      </c>
      <c r="BX1753" s="708" t="str">
        <f t="shared" si="126"/>
        <v/>
      </c>
      <c r="BY1753" s="708" t="str">
        <f t="shared" si="127"/>
        <v/>
      </c>
      <c r="BZ1753" s="708" t="str">
        <f t="shared" si="128"/>
        <v/>
      </c>
      <c r="CA1753" s="708" t="str">
        <f t="shared" si="129"/>
        <v/>
      </c>
      <c r="CB1753" s="708" t="str">
        <f t="shared" si="130"/>
        <v/>
      </c>
      <c r="CC1753" s="708" t="str">
        <f t="shared" si="131"/>
        <v/>
      </c>
      <c r="CD1753" s="708" t="str">
        <f t="shared" si="132"/>
        <v/>
      </c>
      <c r="CE1753" s="708" t="str">
        <f t="shared" si="133"/>
        <v/>
      </c>
      <c r="CF1753" s="708" t="str">
        <f t="shared" si="134"/>
        <v/>
      </c>
      <c r="CG1753" s="708" t="str">
        <f t="shared" si="135"/>
        <v/>
      </c>
      <c r="CH1753" s="708" t="str">
        <f t="shared" si="136"/>
        <v/>
      </c>
      <c r="CI1753" s="708" t="str">
        <f t="shared" si="137"/>
        <v/>
      </c>
      <c r="CJ1753" s="708" t="str">
        <f t="shared" si="138"/>
        <v/>
      </c>
      <c r="CK1753" s="708" t="str">
        <f t="shared" si="139"/>
        <v/>
      </c>
      <c r="CL1753" s="708" t="str">
        <f t="shared" si="140"/>
        <v/>
      </c>
      <c r="CM1753" s="708" t="str">
        <f t="shared" si="141"/>
        <v/>
      </c>
      <c r="CN1753" s="708" t="str">
        <f t="shared" si="142"/>
        <v/>
      </c>
      <c r="CO1753" s="708" t="str">
        <f t="shared" si="143"/>
        <v/>
      </c>
      <c r="CP1753" s="708" t="str">
        <f t="shared" si="144"/>
        <v/>
      </c>
      <c r="CQ1753" s="708" t="str">
        <f t="shared" si="145"/>
        <v/>
      </c>
      <c r="CR1753" s="708" t="str">
        <f t="shared" si="146"/>
        <v/>
      </c>
      <c r="CS1753" s="708" t="str">
        <f t="shared" si="147"/>
        <v/>
      </c>
      <c r="CT1753" s="708" t="str">
        <f t="shared" si="148"/>
        <v/>
      </c>
      <c r="CU1753" s="708" t="str">
        <f t="shared" si="149"/>
        <v/>
      </c>
      <c r="CV1753" s="708" t="str">
        <f t="shared" si="150"/>
        <v/>
      </c>
      <c r="CW1753" s="708" t="str">
        <f t="shared" si="151"/>
        <v/>
      </c>
      <c r="CX1753" s="708" t="str">
        <f t="shared" si="152"/>
        <v/>
      </c>
      <c r="CY1753" s="708" t="str">
        <f t="shared" si="153"/>
        <v/>
      </c>
      <c r="CZ1753" s="708" t="str">
        <f t="shared" si="154"/>
        <v/>
      </c>
      <c r="DA1753" s="708" t="str">
        <f t="shared" si="155"/>
        <v/>
      </c>
      <c r="DB1753" s="708" t="str">
        <f t="shared" si="156"/>
        <v/>
      </c>
      <c r="DC1753" s="708" t="str">
        <f t="shared" si="157"/>
        <v/>
      </c>
      <c r="DD1753" s="708" t="str">
        <f t="shared" si="158"/>
        <v/>
      </c>
      <c r="DE1753" s="708" t="str">
        <f t="shared" si="159"/>
        <v/>
      </c>
      <c r="DF1753" s="708" t="str">
        <f t="shared" si="160"/>
        <v/>
      </c>
      <c r="DG1753" s="708" t="str">
        <f t="shared" si="161"/>
        <v/>
      </c>
      <c r="DH1753" s="708" t="str">
        <f t="shared" si="162"/>
        <v/>
      </c>
      <c r="DI1753" s="708" t="str">
        <f t="shared" si="163"/>
        <v/>
      </c>
      <c r="DJ1753" s="708" t="str">
        <f t="shared" si="164"/>
        <v/>
      </c>
      <c r="DK1753" s="708" t="str">
        <f t="shared" si="165"/>
        <v/>
      </c>
      <c r="DL1753" s="708" t="str">
        <f t="shared" si="166"/>
        <v/>
      </c>
      <c r="DM1753" s="708" t="str">
        <f t="shared" si="167"/>
        <v/>
      </c>
      <c r="DN1753" s="708" t="str">
        <f t="shared" si="168"/>
        <v/>
      </c>
      <c r="DO1753" s="708" t="str">
        <f t="shared" si="169"/>
        <v/>
      </c>
      <c r="DP1753" s="708" t="str">
        <f t="shared" si="170"/>
        <v/>
      </c>
      <c r="DQ1753" s="708" t="str">
        <f t="shared" si="171"/>
        <v/>
      </c>
      <c r="DR1753" s="708" t="str">
        <f t="shared" si="172"/>
        <v/>
      </c>
      <c r="DS1753" s="708" t="str">
        <f t="shared" si="173"/>
        <v/>
      </c>
      <c r="DT1753" s="708" t="str">
        <f t="shared" si="174"/>
        <v/>
      </c>
      <c r="DU1753" s="708" t="str">
        <f t="shared" si="175"/>
        <v/>
      </c>
      <c r="DV1753" s="708" t="str">
        <f t="shared" si="176"/>
        <v/>
      </c>
      <c r="DW1753" s="708" t="str">
        <f t="shared" si="177"/>
        <v/>
      </c>
      <c r="DX1753" s="708" t="str">
        <f t="shared" si="178"/>
        <v/>
      </c>
      <c r="DY1753" s="708" t="str">
        <f t="shared" si="179"/>
        <v/>
      </c>
      <c r="DZ1753" s="708" t="str">
        <f t="shared" si="180"/>
        <v/>
      </c>
      <c r="EA1753" s="708" t="str">
        <f t="shared" si="181"/>
        <v/>
      </c>
      <c r="EB1753" s="708" t="str">
        <f t="shared" si="182"/>
        <v/>
      </c>
      <c r="EC1753" s="708" t="str">
        <f t="shared" si="183"/>
        <v/>
      </c>
      <c r="ED1753" s="708" t="str">
        <f t="shared" si="184"/>
        <v/>
      </c>
      <c r="EE1753" s="708" t="str">
        <f t="shared" si="185"/>
        <v/>
      </c>
      <c r="EF1753" s="708" t="str">
        <f t="shared" si="186"/>
        <v/>
      </c>
      <c r="EG1753" s="708" t="str">
        <f t="shared" si="187"/>
        <v/>
      </c>
      <c r="EH1753" s="708" t="str">
        <f t="shared" si="188"/>
        <v/>
      </c>
      <c r="EI1753" s="708" t="str">
        <f t="shared" si="189"/>
        <v/>
      </c>
      <c r="EJ1753" s="708" t="str">
        <f t="shared" si="190"/>
        <v/>
      </c>
      <c r="EK1753" s="708" t="str">
        <f t="shared" si="191"/>
        <v/>
      </c>
      <c r="EL1753" s="708" t="str">
        <f t="shared" si="192"/>
        <v/>
      </c>
      <c r="EM1753" s="708" t="str">
        <f t="shared" si="193"/>
        <v/>
      </c>
      <c r="EN1753" s="708" t="str">
        <f t="shared" si="194"/>
        <v/>
      </c>
      <c r="EO1753" s="708" t="str">
        <f t="shared" si="195"/>
        <v/>
      </c>
      <c r="EP1753" s="708" t="str">
        <f t="shared" si="196"/>
        <v/>
      </c>
      <c r="EQ1753" s="708" t="str">
        <f t="shared" si="197"/>
        <v/>
      </c>
      <c r="ER1753" s="708" t="str">
        <f t="shared" si="198"/>
        <v/>
      </c>
      <c r="ES1753" s="708" t="str">
        <f t="shared" si="199"/>
        <v/>
      </c>
      <c r="ET1753" s="708" t="str">
        <f t="shared" si="200"/>
        <v/>
      </c>
      <c r="EU1753" s="708" t="str">
        <f t="shared" si="201"/>
        <v/>
      </c>
      <c r="EV1753" s="708" t="str">
        <f t="shared" si="202"/>
        <v/>
      </c>
      <c r="EW1753" s="708" t="str">
        <f t="shared" si="203"/>
        <v/>
      </c>
      <c r="EX1753" s="708" t="str">
        <f t="shared" si="204"/>
        <v/>
      </c>
      <c r="EY1753" s="708" t="str">
        <f t="shared" si="205"/>
        <v/>
      </c>
      <c r="EZ1753" s="708" t="str">
        <f t="shared" si="206"/>
        <v/>
      </c>
      <c r="FA1753" s="708" t="str">
        <f t="shared" si="207"/>
        <v/>
      </c>
      <c r="FB1753" s="708" t="str">
        <f t="shared" si="208"/>
        <v/>
      </c>
      <c r="FC1753" s="708" t="str">
        <f t="shared" si="209"/>
        <v/>
      </c>
      <c r="FD1753" s="708" t="str">
        <f t="shared" si="210"/>
        <v/>
      </c>
      <c r="FE1753" s="708" t="str">
        <f t="shared" si="211"/>
        <v/>
      </c>
      <c r="FF1753" s="708" t="str">
        <f t="shared" si="212"/>
        <v/>
      </c>
      <c r="FG1753" s="708" t="str">
        <f t="shared" si="213"/>
        <v/>
      </c>
      <c r="FH1753" s="708" t="str">
        <f t="shared" si="214"/>
        <v/>
      </c>
      <c r="FI1753" s="708" t="str">
        <f t="shared" si="215"/>
        <v/>
      </c>
      <c r="FJ1753" s="708" t="str">
        <f t="shared" si="216"/>
        <v/>
      </c>
      <c r="FK1753" s="708" t="str">
        <f t="shared" si="217"/>
        <v/>
      </c>
      <c r="FL1753" s="708" t="str">
        <f t="shared" si="218"/>
        <v/>
      </c>
      <c r="FM1753" s="708" t="str">
        <f t="shared" si="219"/>
        <v/>
      </c>
      <c r="FN1753" s="708" t="str">
        <f t="shared" si="220"/>
        <v/>
      </c>
      <c r="FO1753" s="708" t="str">
        <f t="shared" si="221"/>
        <v/>
      </c>
      <c r="FP1753" s="708" t="str">
        <f t="shared" si="222"/>
        <v/>
      </c>
      <c r="FQ1753" s="708" t="str">
        <f t="shared" si="223"/>
        <v/>
      </c>
      <c r="FR1753" s="708" t="str">
        <f t="shared" si="224"/>
        <v/>
      </c>
      <c r="FS1753" s="708" t="str">
        <f t="shared" si="225"/>
        <v/>
      </c>
      <c r="FT1753" s="708" t="str">
        <f t="shared" si="226"/>
        <v/>
      </c>
      <c r="FU1753" s="708" t="str">
        <f t="shared" si="227"/>
        <v/>
      </c>
      <c r="FV1753" s="708" t="str">
        <f t="shared" si="228"/>
        <v/>
      </c>
      <c r="FW1753" s="708" t="str">
        <f t="shared" si="229"/>
        <v/>
      </c>
      <c r="FX1753" s="708" t="str">
        <f t="shared" si="230"/>
        <v/>
      </c>
      <c r="FY1753" s="708" t="str">
        <f t="shared" si="231"/>
        <v/>
      </c>
      <c r="FZ1753" s="708" t="str">
        <f t="shared" si="232"/>
        <v/>
      </c>
      <c r="GA1753" s="708" t="str">
        <f t="shared" si="233"/>
        <v/>
      </c>
      <c r="GB1753" s="708" t="str">
        <f t="shared" si="234"/>
        <v/>
      </c>
      <c r="GC1753" s="708" t="str">
        <f t="shared" si="235"/>
        <v/>
      </c>
      <c r="GD1753" s="708" t="str">
        <f t="shared" si="236"/>
        <v/>
      </c>
      <c r="GE1753" s="708" t="str">
        <f t="shared" si="237"/>
        <v/>
      </c>
      <c r="GF1753" s="708" t="str">
        <f t="shared" si="238"/>
        <v/>
      </c>
      <c r="GG1753" s="708" t="str">
        <f t="shared" si="239"/>
        <v/>
      </c>
      <c r="GH1753" s="708" t="str">
        <f t="shared" si="240"/>
        <v/>
      </c>
      <c r="GI1753" s="708" t="str">
        <f t="shared" si="241"/>
        <v/>
      </c>
      <c r="GJ1753" s="708" t="str">
        <f t="shared" si="242"/>
        <v/>
      </c>
      <c r="GK1753" s="708" t="str">
        <f t="shared" si="243"/>
        <v/>
      </c>
      <c r="GL1753" s="708" t="str">
        <f t="shared" si="244"/>
        <v/>
      </c>
      <c r="GM1753" s="708" t="str">
        <f t="shared" si="245"/>
        <v/>
      </c>
      <c r="GN1753" s="708" t="str">
        <f t="shared" si="246"/>
        <v/>
      </c>
      <c r="GO1753" s="708" t="str">
        <f t="shared" si="247"/>
        <v/>
      </c>
      <c r="GP1753" s="708" t="str">
        <f t="shared" si="248"/>
        <v/>
      </c>
      <c r="GQ1753" s="708" t="str">
        <f t="shared" si="249"/>
        <v/>
      </c>
      <c r="GR1753" s="708" t="str">
        <f t="shared" si="250"/>
        <v/>
      </c>
      <c r="GS1753" s="708" t="str">
        <f t="shared" si="251"/>
        <v/>
      </c>
      <c r="GT1753" s="708" t="str">
        <f t="shared" si="252"/>
        <v/>
      </c>
      <c r="GU1753" s="708" t="str">
        <f t="shared" si="253"/>
        <v/>
      </c>
      <c r="GV1753" s="708" t="str">
        <f t="shared" si="254"/>
        <v/>
      </c>
      <c r="GW1753" s="708" t="str">
        <f t="shared" si="255"/>
        <v/>
      </c>
      <c r="GX1753" s="708" t="str">
        <f t="shared" si="256"/>
        <v/>
      </c>
      <c r="GY1753" s="708" t="str">
        <f t="shared" si="257"/>
        <v/>
      </c>
      <c r="GZ1753" s="708" t="str">
        <f t="shared" si="258"/>
        <v/>
      </c>
      <c r="HA1753" s="708" t="str">
        <f t="shared" si="259"/>
        <v/>
      </c>
      <c r="HB1753" s="708" t="str">
        <f t="shared" si="260"/>
        <v/>
      </c>
      <c r="HC1753" s="708" t="str">
        <f t="shared" si="261"/>
        <v/>
      </c>
      <c r="HD1753" s="708" t="str">
        <f t="shared" si="262"/>
        <v/>
      </c>
      <c r="HE1753" s="708" t="str">
        <f t="shared" si="263"/>
        <v/>
      </c>
      <c r="HF1753" s="708" t="str">
        <f t="shared" si="264"/>
        <v/>
      </c>
      <c r="HG1753" s="708" t="str">
        <f t="shared" si="265"/>
        <v/>
      </c>
      <c r="HH1753" s="708" t="str">
        <f t="shared" si="266"/>
        <v/>
      </c>
      <c r="HI1753" s="708" t="str">
        <f t="shared" si="267"/>
        <v/>
      </c>
      <c r="HJ1753" s="708" t="str">
        <f t="shared" si="268"/>
        <v/>
      </c>
      <c r="HK1753" s="708" t="str">
        <f t="shared" si="269"/>
        <v/>
      </c>
    </row>
    <row r="1754" spans="1:219" ht="13.15" customHeight="1">
      <c r="A1754" s="708" t="str">
        <f t="shared" si="270"/>
        <v/>
      </c>
      <c r="B1754" s="708">
        <f>'Part VI-Revenues &amp; Expenses'!B39</f>
        <v>0</v>
      </c>
      <c r="C1754" s="708">
        <f>'Part VI-Revenues &amp; Expenses'!C39</f>
        <v>0</v>
      </c>
      <c r="D1754" s="708">
        <f>'Part VI-Revenues &amp; Expenses'!D39</f>
        <v>0</v>
      </c>
      <c r="E1754" s="708">
        <f>'Part VI-Revenues &amp; Expenses'!E39</f>
        <v>0</v>
      </c>
      <c r="F1754" s="708">
        <f>'Part VI-Revenues &amp; Expenses'!F39</f>
        <v>0</v>
      </c>
      <c r="G1754" s="708">
        <f>'Part VI-Revenues &amp; Expenses'!G39</f>
        <v>0</v>
      </c>
      <c r="H1754" s="708">
        <f>'Part VI-Revenues &amp; Expenses'!H39</f>
        <v>0</v>
      </c>
      <c r="I1754" s="708">
        <f>'Part VI-Revenues &amp; Expenses'!I39</f>
        <v>0</v>
      </c>
      <c r="J1754" s="708">
        <f>'Part VI-Revenues &amp; Expenses'!J39</f>
        <v>0</v>
      </c>
      <c r="K1754" s="708">
        <f t="shared" ref="K1754:K1761" si="303">MAX(0,H1754-I1754)</f>
        <v>0</v>
      </c>
      <c r="L1754" s="708">
        <f t="shared" si="99"/>
        <v>0</v>
      </c>
      <c r="M1754" s="708">
        <f>'Part VI-Revenues &amp; Expenses'!M39</f>
        <v>0</v>
      </c>
      <c r="N1754" s="708">
        <f>'Part VI-Revenues &amp; Expenses'!N39</f>
        <v>0</v>
      </c>
      <c r="O1754" s="708">
        <f>'Part VI-Revenues &amp; Expenses'!O39</f>
        <v>0</v>
      </c>
      <c r="P1754" s="708" t="str">
        <f>'Part VI-Revenues &amp; Expenses'!P39</f>
        <v/>
      </c>
      <c r="Q1754" s="708" t="str">
        <f>'Part VI-Revenues &amp; Expenses'!Q39</f>
        <v/>
      </c>
      <c r="R1754" s="708">
        <f>'Part VI-Revenues &amp; Expenses'!R39</f>
        <v>0</v>
      </c>
      <c r="T1754" s="708" t="str">
        <f t="shared" si="100"/>
        <v/>
      </c>
      <c r="U1754" s="708" t="str">
        <f t="shared" si="101"/>
        <v/>
      </c>
      <c r="V1754" s="708" t="str">
        <f t="shared" si="102"/>
        <v/>
      </c>
      <c r="W1754" s="708" t="str">
        <f t="shared" si="103"/>
        <v/>
      </c>
      <c r="X1754" s="708" t="str">
        <f t="shared" si="104"/>
        <v/>
      </c>
      <c r="Y1754" s="708" t="str">
        <f t="shared" si="105"/>
        <v/>
      </c>
      <c r="Z1754" s="708" t="str">
        <f t="shared" si="106"/>
        <v/>
      </c>
      <c r="AA1754" s="708" t="str">
        <f t="shared" si="107"/>
        <v/>
      </c>
      <c r="AB1754" s="708" t="str">
        <f t="shared" si="108"/>
        <v/>
      </c>
      <c r="AC1754" s="708" t="str">
        <f t="shared" si="109"/>
        <v/>
      </c>
      <c r="AD1754" s="708" t="str">
        <f t="shared" si="110"/>
        <v/>
      </c>
      <c r="AE1754" s="708" t="str">
        <f t="shared" si="111"/>
        <v/>
      </c>
      <c r="AF1754" s="708" t="str">
        <f t="shared" si="112"/>
        <v/>
      </c>
      <c r="AG1754" s="708" t="str">
        <f t="shared" si="113"/>
        <v/>
      </c>
      <c r="AH1754" s="708" t="str">
        <f t="shared" si="114"/>
        <v/>
      </c>
      <c r="AI1754" s="708" t="str">
        <f t="shared" si="115"/>
        <v/>
      </c>
      <c r="AJ1754" s="708" t="str">
        <f t="shared" si="116"/>
        <v/>
      </c>
      <c r="AK1754" s="708" t="str">
        <f t="shared" si="117"/>
        <v/>
      </c>
      <c r="AL1754" s="708" t="str">
        <f t="shared" si="118"/>
        <v/>
      </c>
      <c r="AM1754" s="708" t="str">
        <f t="shared" si="119"/>
        <v/>
      </c>
      <c r="AN1754" s="708" t="str">
        <f t="shared" si="272"/>
        <v/>
      </c>
      <c r="AO1754" s="708" t="str">
        <f t="shared" si="273"/>
        <v/>
      </c>
      <c r="AP1754" s="708" t="str">
        <f t="shared" si="274"/>
        <v/>
      </c>
      <c r="AQ1754" s="708" t="str">
        <f t="shared" si="275"/>
        <v/>
      </c>
      <c r="AR1754" s="708" t="str">
        <f t="shared" si="276"/>
        <v/>
      </c>
      <c r="AS1754" s="708" t="str">
        <f t="shared" si="277"/>
        <v/>
      </c>
      <c r="AT1754" s="708" t="str">
        <f t="shared" si="278"/>
        <v/>
      </c>
      <c r="AU1754" s="708" t="str">
        <f t="shared" si="279"/>
        <v/>
      </c>
      <c r="AV1754" s="708" t="str">
        <f t="shared" si="280"/>
        <v/>
      </c>
      <c r="AW1754" s="708" t="str">
        <f t="shared" si="281"/>
        <v/>
      </c>
      <c r="AX1754" s="708" t="str">
        <f t="shared" si="282"/>
        <v/>
      </c>
      <c r="AY1754" s="708" t="str">
        <f t="shared" si="283"/>
        <v/>
      </c>
      <c r="AZ1754" s="708" t="str">
        <f t="shared" si="284"/>
        <v/>
      </c>
      <c r="BA1754" s="708" t="str">
        <f t="shared" si="285"/>
        <v/>
      </c>
      <c r="BB1754" s="708" t="str">
        <f t="shared" si="286"/>
        <v/>
      </c>
      <c r="BC1754" s="708" t="str">
        <f t="shared" si="287"/>
        <v/>
      </c>
      <c r="BD1754" s="708" t="str">
        <f t="shared" si="288"/>
        <v/>
      </c>
      <c r="BE1754" s="708" t="str">
        <f t="shared" si="289"/>
        <v/>
      </c>
      <c r="BF1754" s="708" t="str">
        <f t="shared" si="290"/>
        <v/>
      </c>
      <c r="BG1754" s="708" t="str">
        <f t="shared" si="291"/>
        <v/>
      </c>
      <c r="BH1754" s="708" t="str">
        <f t="shared" si="292"/>
        <v/>
      </c>
      <c r="BI1754" s="708" t="str">
        <f t="shared" si="293"/>
        <v/>
      </c>
      <c r="BJ1754" s="708" t="str">
        <f t="shared" si="294"/>
        <v/>
      </c>
      <c r="BK1754" s="708" t="str">
        <f t="shared" si="295"/>
        <v/>
      </c>
      <c r="BL1754" s="708" t="str">
        <f t="shared" si="296"/>
        <v/>
      </c>
      <c r="BM1754" s="708" t="str">
        <f t="shared" si="297"/>
        <v/>
      </c>
      <c r="BN1754" s="708" t="str">
        <f t="shared" si="298"/>
        <v/>
      </c>
      <c r="BO1754" s="708" t="str">
        <f t="shared" si="299"/>
        <v/>
      </c>
      <c r="BP1754" s="708" t="str">
        <f t="shared" si="300"/>
        <v/>
      </c>
      <c r="BQ1754" s="708" t="str">
        <f t="shared" si="301"/>
        <v/>
      </c>
      <c r="BR1754" s="708" t="str">
        <f t="shared" si="120"/>
        <v/>
      </c>
      <c r="BS1754" s="708" t="str">
        <f t="shared" si="121"/>
        <v/>
      </c>
      <c r="BT1754" s="708" t="str">
        <f t="shared" si="122"/>
        <v/>
      </c>
      <c r="BU1754" s="708" t="str">
        <f t="shared" si="123"/>
        <v/>
      </c>
      <c r="BV1754" s="708" t="str">
        <f t="shared" si="124"/>
        <v/>
      </c>
      <c r="BW1754" s="708" t="str">
        <f t="shared" si="125"/>
        <v/>
      </c>
      <c r="BX1754" s="708" t="str">
        <f t="shared" si="126"/>
        <v/>
      </c>
      <c r="BY1754" s="708" t="str">
        <f t="shared" si="127"/>
        <v/>
      </c>
      <c r="BZ1754" s="708" t="str">
        <f t="shared" si="128"/>
        <v/>
      </c>
      <c r="CA1754" s="708" t="str">
        <f t="shared" si="129"/>
        <v/>
      </c>
      <c r="CB1754" s="708" t="str">
        <f t="shared" si="130"/>
        <v/>
      </c>
      <c r="CC1754" s="708" t="str">
        <f t="shared" si="131"/>
        <v/>
      </c>
      <c r="CD1754" s="708" t="str">
        <f t="shared" si="132"/>
        <v/>
      </c>
      <c r="CE1754" s="708" t="str">
        <f t="shared" si="133"/>
        <v/>
      </c>
      <c r="CF1754" s="708" t="str">
        <f t="shared" si="134"/>
        <v/>
      </c>
      <c r="CG1754" s="708" t="str">
        <f t="shared" si="135"/>
        <v/>
      </c>
      <c r="CH1754" s="708" t="str">
        <f t="shared" si="136"/>
        <v/>
      </c>
      <c r="CI1754" s="708" t="str">
        <f t="shared" si="137"/>
        <v/>
      </c>
      <c r="CJ1754" s="708" t="str">
        <f t="shared" si="138"/>
        <v/>
      </c>
      <c r="CK1754" s="708" t="str">
        <f t="shared" si="139"/>
        <v/>
      </c>
      <c r="CL1754" s="708" t="str">
        <f t="shared" si="140"/>
        <v/>
      </c>
      <c r="CM1754" s="708" t="str">
        <f t="shared" si="141"/>
        <v/>
      </c>
      <c r="CN1754" s="708" t="str">
        <f t="shared" si="142"/>
        <v/>
      </c>
      <c r="CO1754" s="708" t="str">
        <f t="shared" si="143"/>
        <v/>
      </c>
      <c r="CP1754" s="708" t="str">
        <f t="shared" si="144"/>
        <v/>
      </c>
      <c r="CQ1754" s="708" t="str">
        <f t="shared" si="145"/>
        <v/>
      </c>
      <c r="CR1754" s="708" t="str">
        <f t="shared" si="146"/>
        <v/>
      </c>
      <c r="CS1754" s="708" t="str">
        <f t="shared" si="147"/>
        <v/>
      </c>
      <c r="CT1754" s="708" t="str">
        <f t="shared" si="148"/>
        <v/>
      </c>
      <c r="CU1754" s="708" t="str">
        <f t="shared" si="149"/>
        <v/>
      </c>
      <c r="CV1754" s="708" t="str">
        <f t="shared" si="150"/>
        <v/>
      </c>
      <c r="CW1754" s="708" t="str">
        <f t="shared" si="151"/>
        <v/>
      </c>
      <c r="CX1754" s="708" t="str">
        <f t="shared" si="152"/>
        <v/>
      </c>
      <c r="CY1754" s="708" t="str">
        <f t="shared" si="153"/>
        <v/>
      </c>
      <c r="CZ1754" s="708" t="str">
        <f t="shared" si="154"/>
        <v/>
      </c>
      <c r="DA1754" s="708" t="str">
        <f t="shared" si="155"/>
        <v/>
      </c>
      <c r="DB1754" s="708" t="str">
        <f t="shared" si="156"/>
        <v/>
      </c>
      <c r="DC1754" s="708" t="str">
        <f t="shared" si="157"/>
        <v/>
      </c>
      <c r="DD1754" s="708" t="str">
        <f t="shared" si="158"/>
        <v/>
      </c>
      <c r="DE1754" s="708" t="str">
        <f t="shared" si="159"/>
        <v/>
      </c>
      <c r="DF1754" s="708" t="str">
        <f t="shared" si="160"/>
        <v/>
      </c>
      <c r="DG1754" s="708" t="str">
        <f t="shared" si="161"/>
        <v/>
      </c>
      <c r="DH1754" s="708" t="str">
        <f t="shared" si="162"/>
        <v/>
      </c>
      <c r="DI1754" s="708" t="str">
        <f t="shared" si="163"/>
        <v/>
      </c>
      <c r="DJ1754" s="708" t="str">
        <f t="shared" si="164"/>
        <v/>
      </c>
      <c r="DK1754" s="708" t="str">
        <f t="shared" si="165"/>
        <v/>
      </c>
      <c r="DL1754" s="708" t="str">
        <f t="shared" si="166"/>
        <v/>
      </c>
      <c r="DM1754" s="708" t="str">
        <f t="shared" si="167"/>
        <v/>
      </c>
      <c r="DN1754" s="708" t="str">
        <f t="shared" si="168"/>
        <v/>
      </c>
      <c r="DO1754" s="708" t="str">
        <f t="shared" si="169"/>
        <v/>
      </c>
      <c r="DP1754" s="708" t="str">
        <f t="shared" si="170"/>
        <v/>
      </c>
      <c r="DQ1754" s="708" t="str">
        <f t="shared" si="171"/>
        <v/>
      </c>
      <c r="DR1754" s="708" t="str">
        <f t="shared" si="172"/>
        <v/>
      </c>
      <c r="DS1754" s="708" t="str">
        <f t="shared" si="173"/>
        <v/>
      </c>
      <c r="DT1754" s="708" t="str">
        <f t="shared" si="174"/>
        <v/>
      </c>
      <c r="DU1754" s="708" t="str">
        <f t="shared" si="175"/>
        <v/>
      </c>
      <c r="DV1754" s="708" t="str">
        <f t="shared" si="176"/>
        <v/>
      </c>
      <c r="DW1754" s="708" t="str">
        <f t="shared" si="177"/>
        <v/>
      </c>
      <c r="DX1754" s="708" t="str">
        <f t="shared" si="178"/>
        <v/>
      </c>
      <c r="DY1754" s="708" t="str">
        <f t="shared" si="179"/>
        <v/>
      </c>
      <c r="DZ1754" s="708" t="str">
        <f t="shared" si="180"/>
        <v/>
      </c>
      <c r="EA1754" s="708" t="str">
        <f t="shared" si="181"/>
        <v/>
      </c>
      <c r="EB1754" s="708" t="str">
        <f t="shared" si="182"/>
        <v/>
      </c>
      <c r="EC1754" s="708" t="str">
        <f t="shared" si="183"/>
        <v/>
      </c>
      <c r="ED1754" s="708" t="str">
        <f t="shared" si="184"/>
        <v/>
      </c>
      <c r="EE1754" s="708" t="str">
        <f t="shared" si="185"/>
        <v/>
      </c>
      <c r="EF1754" s="708" t="str">
        <f t="shared" si="186"/>
        <v/>
      </c>
      <c r="EG1754" s="708" t="str">
        <f t="shared" si="187"/>
        <v/>
      </c>
      <c r="EH1754" s="708" t="str">
        <f t="shared" si="188"/>
        <v/>
      </c>
      <c r="EI1754" s="708" t="str">
        <f t="shared" si="189"/>
        <v/>
      </c>
      <c r="EJ1754" s="708" t="str">
        <f t="shared" si="190"/>
        <v/>
      </c>
      <c r="EK1754" s="708" t="str">
        <f t="shared" si="191"/>
        <v/>
      </c>
      <c r="EL1754" s="708" t="str">
        <f t="shared" si="192"/>
        <v/>
      </c>
      <c r="EM1754" s="708" t="str">
        <f t="shared" si="193"/>
        <v/>
      </c>
      <c r="EN1754" s="708" t="str">
        <f t="shared" si="194"/>
        <v/>
      </c>
      <c r="EO1754" s="708" t="str">
        <f t="shared" si="195"/>
        <v/>
      </c>
      <c r="EP1754" s="708" t="str">
        <f t="shared" si="196"/>
        <v/>
      </c>
      <c r="EQ1754" s="708" t="str">
        <f t="shared" si="197"/>
        <v/>
      </c>
      <c r="ER1754" s="708" t="str">
        <f t="shared" si="198"/>
        <v/>
      </c>
      <c r="ES1754" s="708" t="str">
        <f t="shared" si="199"/>
        <v/>
      </c>
      <c r="ET1754" s="708" t="str">
        <f t="shared" si="200"/>
        <v/>
      </c>
      <c r="EU1754" s="708" t="str">
        <f t="shared" si="201"/>
        <v/>
      </c>
      <c r="EV1754" s="708" t="str">
        <f t="shared" si="202"/>
        <v/>
      </c>
      <c r="EW1754" s="708" t="str">
        <f t="shared" si="203"/>
        <v/>
      </c>
      <c r="EX1754" s="708" t="str">
        <f t="shared" si="204"/>
        <v/>
      </c>
      <c r="EY1754" s="708" t="str">
        <f t="shared" si="205"/>
        <v/>
      </c>
      <c r="EZ1754" s="708" t="str">
        <f t="shared" si="206"/>
        <v/>
      </c>
      <c r="FA1754" s="708" t="str">
        <f t="shared" si="207"/>
        <v/>
      </c>
      <c r="FB1754" s="708" t="str">
        <f t="shared" si="208"/>
        <v/>
      </c>
      <c r="FC1754" s="708" t="str">
        <f t="shared" si="209"/>
        <v/>
      </c>
      <c r="FD1754" s="708" t="str">
        <f t="shared" si="210"/>
        <v/>
      </c>
      <c r="FE1754" s="708" t="str">
        <f t="shared" si="211"/>
        <v/>
      </c>
      <c r="FF1754" s="708" t="str">
        <f t="shared" si="212"/>
        <v/>
      </c>
      <c r="FG1754" s="708" t="str">
        <f t="shared" si="213"/>
        <v/>
      </c>
      <c r="FH1754" s="708" t="str">
        <f t="shared" si="214"/>
        <v/>
      </c>
      <c r="FI1754" s="708" t="str">
        <f t="shared" si="215"/>
        <v/>
      </c>
      <c r="FJ1754" s="708" t="str">
        <f t="shared" si="216"/>
        <v/>
      </c>
      <c r="FK1754" s="708" t="str">
        <f t="shared" si="217"/>
        <v/>
      </c>
      <c r="FL1754" s="708" t="str">
        <f t="shared" si="218"/>
        <v/>
      </c>
      <c r="FM1754" s="708" t="str">
        <f t="shared" si="219"/>
        <v/>
      </c>
      <c r="FN1754" s="708" t="str">
        <f t="shared" si="220"/>
        <v/>
      </c>
      <c r="FO1754" s="708" t="str">
        <f t="shared" si="221"/>
        <v/>
      </c>
      <c r="FP1754" s="708" t="str">
        <f t="shared" si="222"/>
        <v/>
      </c>
      <c r="FQ1754" s="708" t="str">
        <f t="shared" si="223"/>
        <v/>
      </c>
      <c r="FR1754" s="708" t="str">
        <f t="shared" si="224"/>
        <v/>
      </c>
      <c r="FS1754" s="708" t="str">
        <f t="shared" si="225"/>
        <v/>
      </c>
      <c r="FT1754" s="708" t="str">
        <f t="shared" si="226"/>
        <v/>
      </c>
      <c r="FU1754" s="708" t="str">
        <f t="shared" si="227"/>
        <v/>
      </c>
      <c r="FV1754" s="708" t="str">
        <f t="shared" si="228"/>
        <v/>
      </c>
      <c r="FW1754" s="708" t="str">
        <f t="shared" si="229"/>
        <v/>
      </c>
      <c r="FX1754" s="708" t="str">
        <f t="shared" si="230"/>
        <v/>
      </c>
      <c r="FY1754" s="708" t="str">
        <f t="shared" si="231"/>
        <v/>
      </c>
      <c r="FZ1754" s="708" t="str">
        <f t="shared" si="232"/>
        <v/>
      </c>
      <c r="GA1754" s="708" t="str">
        <f t="shared" si="233"/>
        <v/>
      </c>
      <c r="GB1754" s="708" t="str">
        <f t="shared" si="234"/>
        <v/>
      </c>
      <c r="GC1754" s="708" t="str">
        <f t="shared" si="235"/>
        <v/>
      </c>
      <c r="GD1754" s="708" t="str">
        <f t="shared" si="236"/>
        <v/>
      </c>
      <c r="GE1754" s="708" t="str">
        <f t="shared" si="237"/>
        <v/>
      </c>
      <c r="GF1754" s="708" t="str">
        <f t="shared" si="238"/>
        <v/>
      </c>
      <c r="GG1754" s="708" t="str">
        <f t="shared" si="239"/>
        <v/>
      </c>
      <c r="GH1754" s="708" t="str">
        <f t="shared" si="240"/>
        <v/>
      </c>
      <c r="GI1754" s="708" t="str">
        <f t="shared" si="241"/>
        <v/>
      </c>
      <c r="GJ1754" s="708" t="str">
        <f t="shared" si="242"/>
        <v/>
      </c>
      <c r="GK1754" s="708" t="str">
        <f t="shared" si="243"/>
        <v/>
      </c>
      <c r="GL1754" s="708" t="str">
        <f t="shared" si="244"/>
        <v/>
      </c>
      <c r="GM1754" s="708" t="str">
        <f t="shared" si="245"/>
        <v/>
      </c>
      <c r="GN1754" s="708" t="str">
        <f t="shared" si="246"/>
        <v/>
      </c>
      <c r="GO1754" s="708" t="str">
        <f t="shared" si="247"/>
        <v/>
      </c>
      <c r="GP1754" s="708" t="str">
        <f t="shared" si="248"/>
        <v/>
      </c>
      <c r="GQ1754" s="708" t="str">
        <f t="shared" si="249"/>
        <v/>
      </c>
      <c r="GR1754" s="708" t="str">
        <f t="shared" si="250"/>
        <v/>
      </c>
      <c r="GS1754" s="708" t="str">
        <f t="shared" si="251"/>
        <v/>
      </c>
      <c r="GT1754" s="708" t="str">
        <f t="shared" si="252"/>
        <v/>
      </c>
      <c r="GU1754" s="708" t="str">
        <f t="shared" si="253"/>
        <v/>
      </c>
      <c r="GV1754" s="708" t="str">
        <f t="shared" si="254"/>
        <v/>
      </c>
      <c r="GW1754" s="708" t="str">
        <f t="shared" si="255"/>
        <v/>
      </c>
      <c r="GX1754" s="708" t="str">
        <f t="shared" si="256"/>
        <v/>
      </c>
      <c r="GY1754" s="708" t="str">
        <f t="shared" si="257"/>
        <v/>
      </c>
      <c r="GZ1754" s="708" t="str">
        <f t="shared" si="258"/>
        <v/>
      </c>
      <c r="HA1754" s="708" t="str">
        <f t="shared" si="259"/>
        <v/>
      </c>
      <c r="HB1754" s="708" t="str">
        <f t="shared" si="260"/>
        <v/>
      </c>
      <c r="HC1754" s="708" t="str">
        <f t="shared" si="261"/>
        <v/>
      </c>
      <c r="HD1754" s="708" t="str">
        <f t="shared" si="262"/>
        <v/>
      </c>
      <c r="HE1754" s="708" t="str">
        <f t="shared" si="263"/>
        <v/>
      </c>
      <c r="HF1754" s="708" t="str">
        <f t="shared" si="264"/>
        <v/>
      </c>
      <c r="HG1754" s="708" t="str">
        <f t="shared" si="265"/>
        <v/>
      </c>
      <c r="HH1754" s="708" t="str">
        <f t="shared" si="266"/>
        <v/>
      </c>
      <c r="HI1754" s="708" t="str">
        <f t="shared" si="267"/>
        <v/>
      </c>
      <c r="HJ1754" s="708" t="str">
        <f t="shared" si="268"/>
        <v/>
      </c>
      <c r="HK1754" s="708" t="str">
        <f t="shared" si="269"/>
        <v/>
      </c>
    </row>
    <row r="1755" spans="1:219" ht="13.15" customHeight="1">
      <c r="A1755" s="708" t="str">
        <f t="shared" si="270"/>
        <v/>
      </c>
      <c r="B1755" s="708">
        <f>'Part VI-Revenues &amp; Expenses'!B40</f>
        <v>0</v>
      </c>
      <c r="C1755" s="708">
        <f>'Part VI-Revenues &amp; Expenses'!C40</f>
        <v>0</v>
      </c>
      <c r="D1755" s="708">
        <f>'Part VI-Revenues &amp; Expenses'!D40</f>
        <v>0</v>
      </c>
      <c r="E1755" s="708">
        <f>'Part VI-Revenues &amp; Expenses'!E40</f>
        <v>0</v>
      </c>
      <c r="F1755" s="708">
        <f>'Part VI-Revenues &amp; Expenses'!F40</f>
        <v>0</v>
      </c>
      <c r="G1755" s="708">
        <f>'Part VI-Revenues &amp; Expenses'!G40</f>
        <v>0</v>
      </c>
      <c r="H1755" s="708">
        <f>'Part VI-Revenues &amp; Expenses'!H40</f>
        <v>0</v>
      </c>
      <c r="I1755" s="708">
        <f>'Part VI-Revenues &amp; Expenses'!I40</f>
        <v>0</v>
      </c>
      <c r="J1755" s="708">
        <f>'Part VI-Revenues &amp; Expenses'!J40</f>
        <v>0</v>
      </c>
      <c r="K1755" s="708">
        <f t="shared" si="303"/>
        <v>0</v>
      </c>
      <c r="L1755" s="708">
        <f t="shared" si="99"/>
        <v>0</v>
      </c>
      <c r="M1755" s="708">
        <f>'Part VI-Revenues &amp; Expenses'!M40</f>
        <v>0</v>
      </c>
      <c r="N1755" s="708">
        <f>'Part VI-Revenues &amp; Expenses'!N40</f>
        <v>0</v>
      </c>
      <c r="O1755" s="708">
        <f>'Part VI-Revenues &amp; Expenses'!O40</f>
        <v>0</v>
      </c>
      <c r="P1755" s="708" t="str">
        <f>'Part VI-Revenues &amp; Expenses'!P40</f>
        <v/>
      </c>
      <c r="Q1755" s="708" t="str">
        <f>'Part VI-Revenues &amp; Expenses'!Q40</f>
        <v/>
      </c>
      <c r="R1755" s="708">
        <f>'Part VI-Revenues &amp; Expenses'!R40</f>
        <v>0</v>
      </c>
      <c r="T1755" s="708" t="str">
        <f t="shared" si="100"/>
        <v/>
      </c>
      <c r="U1755" s="708" t="str">
        <f t="shared" si="101"/>
        <v/>
      </c>
      <c r="V1755" s="708" t="str">
        <f t="shared" si="102"/>
        <v/>
      </c>
      <c r="W1755" s="708" t="str">
        <f t="shared" si="103"/>
        <v/>
      </c>
      <c r="X1755" s="708" t="str">
        <f t="shared" si="104"/>
        <v/>
      </c>
      <c r="Y1755" s="708" t="str">
        <f t="shared" si="105"/>
        <v/>
      </c>
      <c r="Z1755" s="708" t="str">
        <f t="shared" si="106"/>
        <v/>
      </c>
      <c r="AA1755" s="708" t="str">
        <f t="shared" si="107"/>
        <v/>
      </c>
      <c r="AB1755" s="708" t="str">
        <f t="shared" si="108"/>
        <v/>
      </c>
      <c r="AC1755" s="708" t="str">
        <f t="shared" si="109"/>
        <v/>
      </c>
      <c r="AD1755" s="708" t="str">
        <f t="shared" si="110"/>
        <v/>
      </c>
      <c r="AE1755" s="708" t="str">
        <f t="shared" si="111"/>
        <v/>
      </c>
      <c r="AF1755" s="708" t="str">
        <f t="shared" si="112"/>
        <v/>
      </c>
      <c r="AG1755" s="708" t="str">
        <f t="shared" si="113"/>
        <v/>
      </c>
      <c r="AH1755" s="708" t="str">
        <f t="shared" si="114"/>
        <v/>
      </c>
      <c r="AI1755" s="708" t="str">
        <f t="shared" si="115"/>
        <v/>
      </c>
      <c r="AJ1755" s="708" t="str">
        <f t="shared" si="116"/>
        <v/>
      </c>
      <c r="AK1755" s="708" t="str">
        <f t="shared" si="117"/>
        <v/>
      </c>
      <c r="AL1755" s="708" t="str">
        <f t="shared" si="118"/>
        <v/>
      </c>
      <c r="AM1755" s="708" t="str">
        <f t="shared" si="119"/>
        <v/>
      </c>
      <c r="AN1755" s="708" t="str">
        <f t="shared" si="272"/>
        <v/>
      </c>
      <c r="AO1755" s="708" t="str">
        <f t="shared" si="273"/>
        <v/>
      </c>
      <c r="AP1755" s="708" t="str">
        <f t="shared" si="274"/>
        <v/>
      </c>
      <c r="AQ1755" s="708" t="str">
        <f t="shared" si="275"/>
        <v/>
      </c>
      <c r="AR1755" s="708" t="str">
        <f t="shared" si="276"/>
        <v/>
      </c>
      <c r="AS1755" s="708" t="str">
        <f t="shared" si="277"/>
        <v/>
      </c>
      <c r="AT1755" s="708" t="str">
        <f t="shared" si="278"/>
        <v/>
      </c>
      <c r="AU1755" s="708" t="str">
        <f t="shared" si="279"/>
        <v/>
      </c>
      <c r="AV1755" s="708" t="str">
        <f t="shared" si="280"/>
        <v/>
      </c>
      <c r="AW1755" s="708" t="str">
        <f t="shared" si="281"/>
        <v/>
      </c>
      <c r="AX1755" s="708" t="str">
        <f t="shared" si="282"/>
        <v/>
      </c>
      <c r="AY1755" s="708" t="str">
        <f t="shared" si="283"/>
        <v/>
      </c>
      <c r="AZ1755" s="708" t="str">
        <f t="shared" si="284"/>
        <v/>
      </c>
      <c r="BA1755" s="708" t="str">
        <f t="shared" si="285"/>
        <v/>
      </c>
      <c r="BB1755" s="708" t="str">
        <f t="shared" si="286"/>
        <v/>
      </c>
      <c r="BC1755" s="708" t="str">
        <f t="shared" si="287"/>
        <v/>
      </c>
      <c r="BD1755" s="708" t="str">
        <f t="shared" si="288"/>
        <v/>
      </c>
      <c r="BE1755" s="708" t="str">
        <f t="shared" si="289"/>
        <v/>
      </c>
      <c r="BF1755" s="708" t="str">
        <f t="shared" si="290"/>
        <v/>
      </c>
      <c r="BG1755" s="708" t="str">
        <f t="shared" si="291"/>
        <v/>
      </c>
      <c r="BH1755" s="708" t="str">
        <f t="shared" si="292"/>
        <v/>
      </c>
      <c r="BI1755" s="708" t="str">
        <f t="shared" si="293"/>
        <v/>
      </c>
      <c r="BJ1755" s="708" t="str">
        <f t="shared" si="294"/>
        <v/>
      </c>
      <c r="BK1755" s="708" t="str">
        <f t="shared" si="295"/>
        <v/>
      </c>
      <c r="BL1755" s="708" t="str">
        <f t="shared" si="296"/>
        <v/>
      </c>
      <c r="BM1755" s="708" t="str">
        <f t="shared" si="297"/>
        <v/>
      </c>
      <c r="BN1755" s="708" t="str">
        <f t="shared" si="298"/>
        <v/>
      </c>
      <c r="BO1755" s="708" t="str">
        <f t="shared" si="299"/>
        <v/>
      </c>
      <c r="BP1755" s="708" t="str">
        <f t="shared" si="300"/>
        <v/>
      </c>
      <c r="BQ1755" s="708" t="str">
        <f t="shared" si="301"/>
        <v/>
      </c>
      <c r="BR1755" s="708" t="str">
        <f t="shared" si="120"/>
        <v/>
      </c>
      <c r="BS1755" s="708" t="str">
        <f t="shared" si="121"/>
        <v/>
      </c>
      <c r="BT1755" s="708" t="str">
        <f t="shared" si="122"/>
        <v/>
      </c>
      <c r="BU1755" s="708" t="str">
        <f t="shared" si="123"/>
        <v/>
      </c>
      <c r="BV1755" s="708" t="str">
        <f t="shared" si="124"/>
        <v/>
      </c>
      <c r="BW1755" s="708" t="str">
        <f t="shared" si="125"/>
        <v/>
      </c>
      <c r="BX1755" s="708" t="str">
        <f t="shared" si="126"/>
        <v/>
      </c>
      <c r="BY1755" s="708" t="str">
        <f t="shared" si="127"/>
        <v/>
      </c>
      <c r="BZ1755" s="708" t="str">
        <f t="shared" si="128"/>
        <v/>
      </c>
      <c r="CA1755" s="708" t="str">
        <f t="shared" si="129"/>
        <v/>
      </c>
      <c r="CB1755" s="708" t="str">
        <f t="shared" si="130"/>
        <v/>
      </c>
      <c r="CC1755" s="708" t="str">
        <f t="shared" si="131"/>
        <v/>
      </c>
      <c r="CD1755" s="708" t="str">
        <f t="shared" si="132"/>
        <v/>
      </c>
      <c r="CE1755" s="708" t="str">
        <f t="shared" si="133"/>
        <v/>
      </c>
      <c r="CF1755" s="708" t="str">
        <f t="shared" si="134"/>
        <v/>
      </c>
      <c r="CG1755" s="708" t="str">
        <f t="shared" si="135"/>
        <v/>
      </c>
      <c r="CH1755" s="708" t="str">
        <f t="shared" si="136"/>
        <v/>
      </c>
      <c r="CI1755" s="708" t="str">
        <f t="shared" si="137"/>
        <v/>
      </c>
      <c r="CJ1755" s="708" t="str">
        <f t="shared" si="138"/>
        <v/>
      </c>
      <c r="CK1755" s="708" t="str">
        <f t="shared" si="139"/>
        <v/>
      </c>
      <c r="CL1755" s="708" t="str">
        <f t="shared" si="140"/>
        <v/>
      </c>
      <c r="CM1755" s="708" t="str">
        <f t="shared" si="141"/>
        <v/>
      </c>
      <c r="CN1755" s="708" t="str">
        <f t="shared" si="142"/>
        <v/>
      </c>
      <c r="CO1755" s="708" t="str">
        <f t="shared" si="143"/>
        <v/>
      </c>
      <c r="CP1755" s="708" t="str">
        <f t="shared" si="144"/>
        <v/>
      </c>
      <c r="CQ1755" s="708" t="str">
        <f t="shared" si="145"/>
        <v/>
      </c>
      <c r="CR1755" s="708" t="str">
        <f t="shared" si="146"/>
        <v/>
      </c>
      <c r="CS1755" s="708" t="str">
        <f t="shared" si="147"/>
        <v/>
      </c>
      <c r="CT1755" s="708" t="str">
        <f t="shared" si="148"/>
        <v/>
      </c>
      <c r="CU1755" s="708" t="str">
        <f t="shared" si="149"/>
        <v/>
      </c>
      <c r="CV1755" s="708" t="str">
        <f t="shared" si="150"/>
        <v/>
      </c>
      <c r="CW1755" s="708" t="str">
        <f t="shared" si="151"/>
        <v/>
      </c>
      <c r="CX1755" s="708" t="str">
        <f t="shared" si="152"/>
        <v/>
      </c>
      <c r="CY1755" s="708" t="str">
        <f t="shared" si="153"/>
        <v/>
      </c>
      <c r="CZ1755" s="708" t="str">
        <f t="shared" si="154"/>
        <v/>
      </c>
      <c r="DA1755" s="708" t="str">
        <f t="shared" si="155"/>
        <v/>
      </c>
      <c r="DB1755" s="708" t="str">
        <f t="shared" si="156"/>
        <v/>
      </c>
      <c r="DC1755" s="708" t="str">
        <f t="shared" si="157"/>
        <v/>
      </c>
      <c r="DD1755" s="708" t="str">
        <f t="shared" si="158"/>
        <v/>
      </c>
      <c r="DE1755" s="708" t="str">
        <f t="shared" si="159"/>
        <v/>
      </c>
      <c r="DF1755" s="708" t="str">
        <f t="shared" si="160"/>
        <v/>
      </c>
      <c r="DG1755" s="708" t="str">
        <f t="shared" si="161"/>
        <v/>
      </c>
      <c r="DH1755" s="708" t="str">
        <f t="shared" si="162"/>
        <v/>
      </c>
      <c r="DI1755" s="708" t="str">
        <f t="shared" si="163"/>
        <v/>
      </c>
      <c r="DJ1755" s="708" t="str">
        <f t="shared" si="164"/>
        <v/>
      </c>
      <c r="DK1755" s="708" t="str">
        <f t="shared" si="165"/>
        <v/>
      </c>
      <c r="DL1755" s="708" t="str">
        <f t="shared" si="166"/>
        <v/>
      </c>
      <c r="DM1755" s="708" t="str">
        <f t="shared" si="167"/>
        <v/>
      </c>
      <c r="DN1755" s="708" t="str">
        <f t="shared" si="168"/>
        <v/>
      </c>
      <c r="DO1755" s="708" t="str">
        <f t="shared" si="169"/>
        <v/>
      </c>
      <c r="DP1755" s="708" t="str">
        <f t="shared" si="170"/>
        <v/>
      </c>
      <c r="DQ1755" s="708" t="str">
        <f t="shared" si="171"/>
        <v/>
      </c>
      <c r="DR1755" s="708" t="str">
        <f t="shared" si="172"/>
        <v/>
      </c>
      <c r="DS1755" s="708" t="str">
        <f t="shared" si="173"/>
        <v/>
      </c>
      <c r="DT1755" s="708" t="str">
        <f t="shared" si="174"/>
        <v/>
      </c>
      <c r="DU1755" s="708" t="str">
        <f t="shared" si="175"/>
        <v/>
      </c>
      <c r="DV1755" s="708" t="str">
        <f t="shared" si="176"/>
        <v/>
      </c>
      <c r="DW1755" s="708" t="str">
        <f t="shared" si="177"/>
        <v/>
      </c>
      <c r="DX1755" s="708" t="str">
        <f t="shared" si="178"/>
        <v/>
      </c>
      <c r="DY1755" s="708" t="str">
        <f t="shared" si="179"/>
        <v/>
      </c>
      <c r="DZ1755" s="708" t="str">
        <f t="shared" si="180"/>
        <v/>
      </c>
      <c r="EA1755" s="708" t="str">
        <f t="shared" si="181"/>
        <v/>
      </c>
      <c r="EB1755" s="708" t="str">
        <f t="shared" si="182"/>
        <v/>
      </c>
      <c r="EC1755" s="708" t="str">
        <f t="shared" si="183"/>
        <v/>
      </c>
      <c r="ED1755" s="708" t="str">
        <f t="shared" si="184"/>
        <v/>
      </c>
      <c r="EE1755" s="708" t="str">
        <f t="shared" si="185"/>
        <v/>
      </c>
      <c r="EF1755" s="708" t="str">
        <f t="shared" si="186"/>
        <v/>
      </c>
      <c r="EG1755" s="708" t="str">
        <f t="shared" si="187"/>
        <v/>
      </c>
      <c r="EH1755" s="708" t="str">
        <f t="shared" si="188"/>
        <v/>
      </c>
      <c r="EI1755" s="708" t="str">
        <f t="shared" si="189"/>
        <v/>
      </c>
      <c r="EJ1755" s="708" t="str">
        <f t="shared" si="190"/>
        <v/>
      </c>
      <c r="EK1755" s="708" t="str">
        <f t="shared" si="191"/>
        <v/>
      </c>
      <c r="EL1755" s="708" t="str">
        <f t="shared" si="192"/>
        <v/>
      </c>
      <c r="EM1755" s="708" t="str">
        <f t="shared" si="193"/>
        <v/>
      </c>
      <c r="EN1755" s="708" t="str">
        <f t="shared" si="194"/>
        <v/>
      </c>
      <c r="EO1755" s="708" t="str">
        <f t="shared" si="195"/>
        <v/>
      </c>
      <c r="EP1755" s="708" t="str">
        <f t="shared" si="196"/>
        <v/>
      </c>
      <c r="EQ1755" s="708" t="str">
        <f t="shared" si="197"/>
        <v/>
      </c>
      <c r="ER1755" s="708" t="str">
        <f t="shared" si="198"/>
        <v/>
      </c>
      <c r="ES1755" s="708" t="str">
        <f t="shared" si="199"/>
        <v/>
      </c>
      <c r="ET1755" s="708" t="str">
        <f t="shared" si="200"/>
        <v/>
      </c>
      <c r="EU1755" s="708" t="str">
        <f t="shared" si="201"/>
        <v/>
      </c>
      <c r="EV1755" s="708" t="str">
        <f t="shared" si="202"/>
        <v/>
      </c>
      <c r="EW1755" s="708" t="str">
        <f t="shared" si="203"/>
        <v/>
      </c>
      <c r="EX1755" s="708" t="str">
        <f t="shared" si="204"/>
        <v/>
      </c>
      <c r="EY1755" s="708" t="str">
        <f t="shared" si="205"/>
        <v/>
      </c>
      <c r="EZ1755" s="708" t="str">
        <f t="shared" si="206"/>
        <v/>
      </c>
      <c r="FA1755" s="708" t="str">
        <f t="shared" si="207"/>
        <v/>
      </c>
      <c r="FB1755" s="708" t="str">
        <f t="shared" si="208"/>
        <v/>
      </c>
      <c r="FC1755" s="708" t="str">
        <f t="shared" si="209"/>
        <v/>
      </c>
      <c r="FD1755" s="708" t="str">
        <f t="shared" si="210"/>
        <v/>
      </c>
      <c r="FE1755" s="708" t="str">
        <f t="shared" si="211"/>
        <v/>
      </c>
      <c r="FF1755" s="708" t="str">
        <f t="shared" si="212"/>
        <v/>
      </c>
      <c r="FG1755" s="708" t="str">
        <f t="shared" si="213"/>
        <v/>
      </c>
      <c r="FH1755" s="708" t="str">
        <f t="shared" si="214"/>
        <v/>
      </c>
      <c r="FI1755" s="708" t="str">
        <f t="shared" si="215"/>
        <v/>
      </c>
      <c r="FJ1755" s="708" t="str">
        <f t="shared" si="216"/>
        <v/>
      </c>
      <c r="FK1755" s="708" t="str">
        <f t="shared" si="217"/>
        <v/>
      </c>
      <c r="FL1755" s="708" t="str">
        <f t="shared" si="218"/>
        <v/>
      </c>
      <c r="FM1755" s="708" t="str">
        <f t="shared" si="219"/>
        <v/>
      </c>
      <c r="FN1755" s="708" t="str">
        <f t="shared" si="220"/>
        <v/>
      </c>
      <c r="FO1755" s="708" t="str">
        <f t="shared" si="221"/>
        <v/>
      </c>
      <c r="FP1755" s="708" t="str">
        <f t="shared" si="222"/>
        <v/>
      </c>
      <c r="FQ1755" s="708" t="str">
        <f t="shared" si="223"/>
        <v/>
      </c>
      <c r="FR1755" s="708" t="str">
        <f t="shared" si="224"/>
        <v/>
      </c>
      <c r="FS1755" s="708" t="str">
        <f t="shared" si="225"/>
        <v/>
      </c>
      <c r="FT1755" s="708" t="str">
        <f t="shared" si="226"/>
        <v/>
      </c>
      <c r="FU1755" s="708" t="str">
        <f t="shared" si="227"/>
        <v/>
      </c>
      <c r="FV1755" s="708" t="str">
        <f t="shared" si="228"/>
        <v/>
      </c>
      <c r="FW1755" s="708" t="str">
        <f t="shared" si="229"/>
        <v/>
      </c>
      <c r="FX1755" s="708" t="str">
        <f t="shared" si="230"/>
        <v/>
      </c>
      <c r="FY1755" s="708" t="str">
        <f t="shared" si="231"/>
        <v/>
      </c>
      <c r="FZ1755" s="708" t="str">
        <f t="shared" si="232"/>
        <v/>
      </c>
      <c r="GA1755" s="708" t="str">
        <f t="shared" si="233"/>
        <v/>
      </c>
      <c r="GB1755" s="708" t="str">
        <f t="shared" si="234"/>
        <v/>
      </c>
      <c r="GC1755" s="708" t="str">
        <f t="shared" si="235"/>
        <v/>
      </c>
      <c r="GD1755" s="708" t="str">
        <f t="shared" si="236"/>
        <v/>
      </c>
      <c r="GE1755" s="708" t="str">
        <f t="shared" si="237"/>
        <v/>
      </c>
      <c r="GF1755" s="708" t="str">
        <f t="shared" si="238"/>
        <v/>
      </c>
      <c r="GG1755" s="708" t="str">
        <f t="shared" si="239"/>
        <v/>
      </c>
      <c r="GH1755" s="708" t="str">
        <f t="shared" si="240"/>
        <v/>
      </c>
      <c r="GI1755" s="708" t="str">
        <f t="shared" si="241"/>
        <v/>
      </c>
      <c r="GJ1755" s="708" t="str">
        <f t="shared" si="242"/>
        <v/>
      </c>
      <c r="GK1755" s="708" t="str">
        <f t="shared" si="243"/>
        <v/>
      </c>
      <c r="GL1755" s="708" t="str">
        <f t="shared" si="244"/>
        <v/>
      </c>
      <c r="GM1755" s="708" t="str">
        <f t="shared" si="245"/>
        <v/>
      </c>
      <c r="GN1755" s="708" t="str">
        <f t="shared" si="246"/>
        <v/>
      </c>
      <c r="GO1755" s="708" t="str">
        <f t="shared" si="247"/>
        <v/>
      </c>
      <c r="GP1755" s="708" t="str">
        <f t="shared" si="248"/>
        <v/>
      </c>
      <c r="GQ1755" s="708" t="str">
        <f t="shared" si="249"/>
        <v/>
      </c>
      <c r="GR1755" s="708" t="str">
        <f t="shared" si="250"/>
        <v/>
      </c>
      <c r="GS1755" s="708" t="str">
        <f t="shared" si="251"/>
        <v/>
      </c>
      <c r="GT1755" s="708" t="str">
        <f t="shared" si="252"/>
        <v/>
      </c>
      <c r="GU1755" s="708" t="str">
        <f t="shared" si="253"/>
        <v/>
      </c>
      <c r="GV1755" s="708" t="str">
        <f t="shared" si="254"/>
        <v/>
      </c>
      <c r="GW1755" s="708" t="str">
        <f t="shared" si="255"/>
        <v/>
      </c>
      <c r="GX1755" s="708" t="str">
        <f t="shared" si="256"/>
        <v/>
      </c>
      <c r="GY1755" s="708" t="str">
        <f t="shared" si="257"/>
        <v/>
      </c>
      <c r="GZ1755" s="708" t="str">
        <f t="shared" si="258"/>
        <v/>
      </c>
      <c r="HA1755" s="708" t="str">
        <f t="shared" si="259"/>
        <v/>
      </c>
      <c r="HB1755" s="708" t="str">
        <f t="shared" si="260"/>
        <v/>
      </c>
      <c r="HC1755" s="708" t="str">
        <f t="shared" si="261"/>
        <v/>
      </c>
      <c r="HD1755" s="708" t="str">
        <f t="shared" si="262"/>
        <v/>
      </c>
      <c r="HE1755" s="708" t="str">
        <f t="shared" si="263"/>
        <v/>
      </c>
      <c r="HF1755" s="708" t="str">
        <f t="shared" si="264"/>
        <v/>
      </c>
      <c r="HG1755" s="708" t="str">
        <f t="shared" si="265"/>
        <v/>
      </c>
      <c r="HH1755" s="708" t="str">
        <f t="shared" si="266"/>
        <v/>
      </c>
      <c r="HI1755" s="708" t="str">
        <f t="shared" si="267"/>
        <v/>
      </c>
      <c r="HJ1755" s="708" t="str">
        <f t="shared" si="268"/>
        <v/>
      </c>
      <c r="HK1755" s="708" t="str">
        <f t="shared" si="269"/>
        <v/>
      </c>
    </row>
    <row r="1756" spans="1:219" ht="13.15" customHeight="1">
      <c r="A1756" s="708" t="str">
        <f t="shared" si="270"/>
        <v/>
      </c>
      <c r="B1756" s="708">
        <f>'Part VI-Revenues &amp; Expenses'!B41</f>
        <v>0</v>
      </c>
      <c r="C1756" s="708">
        <f>'Part VI-Revenues &amp; Expenses'!C41</f>
        <v>0</v>
      </c>
      <c r="D1756" s="708">
        <f>'Part VI-Revenues &amp; Expenses'!D41</f>
        <v>0</v>
      </c>
      <c r="E1756" s="708">
        <f>'Part VI-Revenues &amp; Expenses'!E41</f>
        <v>0</v>
      </c>
      <c r="F1756" s="708">
        <f>'Part VI-Revenues &amp; Expenses'!F41</f>
        <v>0</v>
      </c>
      <c r="G1756" s="708">
        <f>'Part VI-Revenues &amp; Expenses'!G41</f>
        <v>0</v>
      </c>
      <c r="H1756" s="708">
        <f>'Part VI-Revenues &amp; Expenses'!H41</f>
        <v>0</v>
      </c>
      <c r="I1756" s="708">
        <f>'Part VI-Revenues &amp; Expenses'!I41</f>
        <v>0</v>
      </c>
      <c r="J1756" s="708">
        <f>'Part VI-Revenues &amp; Expenses'!J41</f>
        <v>0</v>
      </c>
      <c r="K1756" s="708">
        <f t="shared" si="303"/>
        <v>0</v>
      </c>
      <c r="L1756" s="708">
        <f t="shared" si="99"/>
        <v>0</v>
      </c>
      <c r="M1756" s="708">
        <f>'Part VI-Revenues &amp; Expenses'!M41</f>
        <v>0</v>
      </c>
      <c r="N1756" s="708">
        <f>'Part VI-Revenues &amp; Expenses'!N41</f>
        <v>0</v>
      </c>
      <c r="O1756" s="708">
        <f>'Part VI-Revenues &amp; Expenses'!O41</f>
        <v>0</v>
      </c>
      <c r="P1756" s="708" t="str">
        <f>'Part VI-Revenues &amp; Expenses'!P41</f>
        <v/>
      </c>
      <c r="Q1756" s="708" t="str">
        <f>'Part VI-Revenues &amp; Expenses'!Q41</f>
        <v/>
      </c>
      <c r="R1756" s="708">
        <f>'Part VI-Revenues &amp; Expenses'!R41</f>
        <v>0</v>
      </c>
      <c r="T1756" s="708" t="str">
        <f t="shared" si="100"/>
        <v/>
      </c>
      <c r="U1756" s="708" t="str">
        <f t="shared" si="101"/>
        <v/>
      </c>
      <c r="V1756" s="708" t="str">
        <f t="shared" si="102"/>
        <v/>
      </c>
      <c r="W1756" s="708" t="str">
        <f t="shared" si="103"/>
        <v/>
      </c>
      <c r="X1756" s="708" t="str">
        <f t="shared" si="104"/>
        <v/>
      </c>
      <c r="Y1756" s="708" t="str">
        <f t="shared" si="105"/>
        <v/>
      </c>
      <c r="Z1756" s="708" t="str">
        <f t="shared" si="106"/>
        <v/>
      </c>
      <c r="AA1756" s="708" t="str">
        <f t="shared" si="107"/>
        <v/>
      </c>
      <c r="AB1756" s="708" t="str">
        <f t="shared" si="108"/>
        <v/>
      </c>
      <c r="AC1756" s="708" t="str">
        <f t="shared" si="109"/>
        <v/>
      </c>
      <c r="AD1756" s="708" t="str">
        <f t="shared" si="110"/>
        <v/>
      </c>
      <c r="AE1756" s="708" t="str">
        <f t="shared" si="111"/>
        <v/>
      </c>
      <c r="AF1756" s="708" t="str">
        <f t="shared" si="112"/>
        <v/>
      </c>
      <c r="AG1756" s="708" t="str">
        <f t="shared" si="113"/>
        <v/>
      </c>
      <c r="AH1756" s="708" t="str">
        <f t="shared" si="114"/>
        <v/>
      </c>
      <c r="AI1756" s="708" t="str">
        <f t="shared" si="115"/>
        <v/>
      </c>
      <c r="AJ1756" s="708" t="str">
        <f t="shared" si="116"/>
        <v/>
      </c>
      <c r="AK1756" s="708" t="str">
        <f t="shared" si="117"/>
        <v/>
      </c>
      <c r="AL1756" s="708" t="str">
        <f t="shared" si="118"/>
        <v/>
      </c>
      <c r="AM1756" s="708" t="str">
        <f t="shared" si="119"/>
        <v/>
      </c>
      <c r="AN1756" s="708" t="str">
        <f t="shared" si="272"/>
        <v/>
      </c>
      <c r="AO1756" s="708" t="str">
        <f t="shared" si="273"/>
        <v/>
      </c>
      <c r="AP1756" s="708" t="str">
        <f t="shared" si="274"/>
        <v/>
      </c>
      <c r="AQ1756" s="708" t="str">
        <f t="shared" si="275"/>
        <v/>
      </c>
      <c r="AR1756" s="708" t="str">
        <f t="shared" si="276"/>
        <v/>
      </c>
      <c r="AS1756" s="708" t="str">
        <f t="shared" si="277"/>
        <v/>
      </c>
      <c r="AT1756" s="708" t="str">
        <f t="shared" si="278"/>
        <v/>
      </c>
      <c r="AU1756" s="708" t="str">
        <f t="shared" si="279"/>
        <v/>
      </c>
      <c r="AV1756" s="708" t="str">
        <f t="shared" si="280"/>
        <v/>
      </c>
      <c r="AW1756" s="708" t="str">
        <f t="shared" si="281"/>
        <v/>
      </c>
      <c r="AX1756" s="708" t="str">
        <f t="shared" si="282"/>
        <v/>
      </c>
      <c r="AY1756" s="708" t="str">
        <f t="shared" si="283"/>
        <v/>
      </c>
      <c r="AZ1756" s="708" t="str">
        <f t="shared" si="284"/>
        <v/>
      </c>
      <c r="BA1756" s="708" t="str">
        <f t="shared" si="285"/>
        <v/>
      </c>
      <c r="BB1756" s="708" t="str">
        <f t="shared" si="286"/>
        <v/>
      </c>
      <c r="BC1756" s="708" t="str">
        <f t="shared" si="287"/>
        <v/>
      </c>
      <c r="BD1756" s="708" t="str">
        <f t="shared" si="288"/>
        <v/>
      </c>
      <c r="BE1756" s="708" t="str">
        <f t="shared" si="289"/>
        <v/>
      </c>
      <c r="BF1756" s="708" t="str">
        <f t="shared" si="290"/>
        <v/>
      </c>
      <c r="BG1756" s="708" t="str">
        <f t="shared" si="291"/>
        <v/>
      </c>
      <c r="BH1756" s="708" t="str">
        <f t="shared" si="292"/>
        <v/>
      </c>
      <c r="BI1756" s="708" t="str">
        <f t="shared" si="293"/>
        <v/>
      </c>
      <c r="BJ1756" s="708" t="str">
        <f t="shared" si="294"/>
        <v/>
      </c>
      <c r="BK1756" s="708" t="str">
        <f t="shared" si="295"/>
        <v/>
      </c>
      <c r="BL1756" s="708" t="str">
        <f t="shared" si="296"/>
        <v/>
      </c>
      <c r="BM1756" s="708" t="str">
        <f t="shared" si="297"/>
        <v/>
      </c>
      <c r="BN1756" s="708" t="str">
        <f t="shared" si="298"/>
        <v/>
      </c>
      <c r="BO1756" s="708" t="str">
        <f t="shared" si="299"/>
        <v/>
      </c>
      <c r="BP1756" s="708" t="str">
        <f t="shared" si="300"/>
        <v/>
      </c>
      <c r="BQ1756" s="708" t="str">
        <f t="shared" si="301"/>
        <v/>
      </c>
      <c r="BR1756" s="708" t="str">
        <f t="shared" si="120"/>
        <v/>
      </c>
      <c r="BS1756" s="708" t="str">
        <f t="shared" si="121"/>
        <v/>
      </c>
      <c r="BT1756" s="708" t="str">
        <f t="shared" si="122"/>
        <v/>
      </c>
      <c r="BU1756" s="708" t="str">
        <f t="shared" si="123"/>
        <v/>
      </c>
      <c r="BV1756" s="708" t="str">
        <f t="shared" si="124"/>
        <v/>
      </c>
      <c r="BW1756" s="708" t="str">
        <f t="shared" si="125"/>
        <v/>
      </c>
      <c r="BX1756" s="708" t="str">
        <f t="shared" si="126"/>
        <v/>
      </c>
      <c r="BY1756" s="708" t="str">
        <f t="shared" si="127"/>
        <v/>
      </c>
      <c r="BZ1756" s="708" t="str">
        <f t="shared" si="128"/>
        <v/>
      </c>
      <c r="CA1756" s="708" t="str">
        <f t="shared" si="129"/>
        <v/>
      </c>
      <c r="CB1756" s="708" t="str">
        <f t="shared" si="130"/>
        <v/>
      </c>
      <c r="CC1756" s="708" t="str">
        <f t="shared" si="131"/>
        <v/>
      </c>
      <c r="CD1756" s="708" t="str">
        <f t="shared" si="132"/>
        <v/>
      </c>
      <c r="CE1756" s="708" t="str">
        <f t="shared" si="133"/>
        <v/>
      </c>
      <c r="CF1756" s="708" t="str">
        <f t="shared" si="134"/>
        <v/>
      </c>
      <c r="CG1756" s="708" t="str">
        <f t="shared" si="135"/>
        <v/>
      </c>
      <c r="CH1756" s="708" t="str">
        <f t="shared" si="136"/>
        <v/>
      </c>
      <c r="CI1756" s="708" t="str">
        <f t="shared" si="137"/>
        <v/>
      </c>
      <c r="CJ1756" s="708" t="str">
        <f t="shared" si="138"/>
        <v/>
      </c>
      <c r="CK1756" s="708" t="str">
        <f t="shared" si="139"/>
        <v/>
      </c>
      <c r="CL1756" s="708" t="str">
        <f t="shared" si="140"/>
        <v/>
      </c>
      <c r="CM1756" s="708" t="str">
        <f t="shared" si="141"/>
        <v/>
      </c>
      <c r="CN1756" s="708" t="str">
        <f t="shared" si="142"/>
        <v/>
      </c>
      <c r="CO1756" s="708" t="str">
        <f t="shared" si="143"/>
        <v/>
      </c>
      <c r="CP1756" s="708" t="str">
        <f t="shared" si="144"/>
        <v/>
      </c>
      <c r="CQ1756" s="708" t="str">
        <f t="shared" si="145"/>
        <v/>
      </c>
      <c r="CR1756" s="708" t="str">
        <f t="shared" si="146"/>
        <v/>
      </c>
      <c r="CS1756" s="708" t="str">
        <f t="shared" si="147"/>
        <v/>
      </c>
      <c r="CT1756" s="708" t="str">
        <f t="shared" si="148"/>
        <v/>
      </c>
      <c r="CU1756" s="708" t="str">
        <f t="shared" si="149"/>
        <v/>
      </c>
      <c r="CV1756" s="708" t="str">
        <f t="shared" si="150"/>
        <v/>
      </c>
      <c r="CW1756" s="708" t="str">
        <f t="shared" si="151"/>
        <v/>
      </c>
      <c r="CX1756" s="708" t="str">
        <f t="shared" si="152"/>
        <v/>
      </c>
      <c r="CY1756" s="708" t="str">
        <f t="shared" si="153"/>
        <v/>
      </c>
      <c r="CZ1756" s="708" t="str">
        <f t="shared" si="154"/>
        <v/>
      </c>
      <c r="DA1756" s="708" t="str">
        <f t="shared" si="155"/>
        <v/>
      </c>
      <c r="DB1756" s="708" t="str">
        <f t="shared" si="156"/>
        <v/>
      </c>
      <c r="DC1756" s="708" t="str">
        <f t="shared" si="157"/>
        <v/>
      </c>
      <c r="DD1756" s="708" t="str">
        <f t="shared" si="158"/>
        <v/>
      </c>
      <c r="DE1756" s="708" t="str">
        <f t="shared" si="159"/>
        <v/>
      </c>
      <c r="DF1756" s="708" t="str">
        <f t="shared" si="160"/>
        <v/>
      </c>
      <c r="DG1756" s="708" t="str">
        <f t="shared" si="161"/>
        <v/>
      </c>
      <c r="DH1756" s="708" t="str">
        <f t="shared" si="162"/>
        <v/>
      </c>
      <c r="DI1756" s="708" t="str">
        <f t="shared" si="163"/>
        <v/>
      </c>
      <c r="DJ1756" s="708" t="str">
        <f t="shared" si="164"/>
        <v/>
      </c>
      <c r="DK1756" s="708" t="str">
        <f t="shared" si="165"/>
        <v/>
      </c>
      <c r="DL1756" s="708" t="str">
        <f t="shared" si="166"/>
        <v/>
      </c>
      <c r="DM1756" s="708" t="str">
        <f t="shared" si="167"/>
        <v/>
      </c>
      <c r="DN1756" s="708" t="str">
        <f t="shared" si="168"/>
        <v/>
      </c>
      <c r="DO1756" s="708" t="str">
        <f t="shared" si="169"/>
        <v/>
      </c>
      <c r="DP1756" s="708" t="str">
        <f t="shared" si="170"/>
        <v/>
      </c>
      <c r="DQ1756" s="708" t="str">
        <f t="shared" si="171"/>
        <v/>
      </c>
      <c r="DR1756" s="708" t="str">
        <f t="shared" si="172"/>
        <v/>
      </c>
      <c r="DS1756" s="708" t="str">
        <f t="shared" si="173"/>
        <v/>
      </c>
      <c r="DT1756" s="708" t="str">
        <f t="shared" si="174"/>
        <v/>
      </c>
      <c r="DU1756" s="708" t="str">
        <f t="shared" si="175"/>
        <v/>
      </c>
      <c r="DV1756" s="708" t="str">
        <f t="shared" si="176"/>
        <v/>
      </c>
      <c r="DW1756" s="708" t="str">
        <f t="shared" si="177"/>
        <v/>
      </c>
      <c r="DX1756" s="708" t="str">
        <f t="shared" si="178"/>
        <v/>
      </c>
      <c r="DY1756" s="708" t="str">
        <f t="shared" si="179"/>
        <v/>
      </c>
      <c r="DZ1756" s="708" t="str">
        <f t="shared" si="180"/>
        <v/>
      </c>
      <c r="EA1756" s="708" t="str">
        <f t="shared" si="181"/>
        <v/>
      </c>
      <c r="EB1756" s="708" t="str">
        <f t="shared" si="182"/>
        <v/>
      </c>
      <c r="EC1756" s="708" t="str">
        <f t="shared" si="183"/>
        <v/>
      </c>
      <c r="ED1756" s="708" t="str">
        <f t="shared" si="184"/>
        <v/>
      </c>
      <c r="EE1756" s="708" t="str">
        <f t="shared" si="185"/>
        <v/>
      </c>
      <c r="EF1756" s="708" t="str">
        <f t="shared" si="186"/>
        <v/>
      </c>
      <c r="EG1756" s="708" t="str">
        <f t="shared" si="187"/>
        <v/>
      </c>
      <c r="EH1756" s="708" t="str">
        <f t="shared" si="188"/>
        <v/>
      </c>
      <c r="EI1756" s="708" t="str">
        <f t="shared" si="189"/>
        <v/>
      </c>
      <c r="EJ1756" s="708" t="str">
        <f t="shared" si="190"/>
        <v/>
      </c>
      <c r="EK1756" s="708" t="str">
        <f t="shared" si="191"/>
        <v/>
      </c>
      <c r="EL1756" s="708" t="str">
        <f t="shared" si="192"/>
        <v/>
      </c>
      <c r="EM1756" s="708" t="str">
        <f t="shared" si="193"/>
        <v/>
      </c>
      <c r="EN1756" s="708" t="str">
        <f t="shared" si="194"/>
        <v/>
      </c>
      <c r="EO1756" s="708" t="str">
        <f t="shared" si="195"/>
        <v/>
      </c>
      <c r="EP1756" s="708" t="str">
        <f t="shared" si="196"/>
        <v/>
      </c>
      <c r="EQ1756" s="708" t="str">
        <f t="shared" si="197"/>
        <v/>
      </c>
      <c r="ER1756" s="708" t="str">
        <f t="shared" si="198"/>
        <v/>
      </c>
      <c r="ES1756" s="708" t="str">
        <f t="shared" si="199"/>
        <v/>
      </c>
      <c r="ET1756" s="708" t="str">
        <f t="shared" si="200"/>
        <v/>
      </c>
      <c r="EU1756" s="708" t="str">
        <f t="shared" si="201"/>
        <v/>
      </c>
      <c r="EV1756" s="708" t="str">
        <f t="shared" si="202"/>
        <v/>
      </c>
      <c r="EW1756" s="708" t="str">
        <f t="shared" si="203"/>
        <v/>
      </c>
      <c r="EX1756" s="708" t="str">
        <f t="shared" si="204"/>
        <v/>
      </c>
      <c r="EY1756" s="708" t="str">
        <f t="shared" si="205"/>
        <v/>
      </c>
      <c r="EZ1756" s="708" t="str">
        <f t="shared" si="206"/>
        <v/>
      </c>
      <c r="FA1756" s="708" t="str">
        <f t="shared" si="207"/>
        <v/>
      </c>
      <c r="FB1756" s="708" t="str">
        <f t="shared" si="208"/>
        <v/>
      </c>
      <c r="FC1756" s="708" t="str">
        <f t="shared" si="209"/>
        <v/>
      </c>
      <c r="FD1756" s="708" t="str">
        <f t="shared" si="210"/>
        <v/>
      </c>
      <c r="FE1756" s="708" t="str">
        <f t="shared" si="211"/>
        <v/>
      </c>
      <c r="FF1756" s="708" t="str">
        <f t="shared" si="212"/>
        <v/>
      </c>
      <c r="FG1756" s="708" t="str">
        <f t="shared" si="213"/>
        <v/>
      </c>
      <c r="FH1756" s="708" t="str">
        <f t="shared" si="214"/>
        <v/>
      </c>
      <c r="FI1756" s="708" t="str">
        <f t="shared" si="215"/>
        <v/>
      </c>
      <c r="FJ1756" s="708" t="str">
        <f t="shared" si="216"/>
        <v/>
      </c>
      <c r="FK1756" s="708" t="str">
        <f t="shared" si="217"/>
        <v/>
      </c>
      <c r="FL1756" s="708" t="str">
        <f t="shared" si="218"/>
        <v/>
      </c>
      <c r="FM1756" s="708" t="str">
        <f t="shared" si="219"/>
        <v/>
      </c>
      <c r="FN1756" s="708" t="str">
        <f t="shared" si="220"/>
        <v/>
      </c>
      <c r="FO1756" s="708" t="str">
        <f t="shared" si="221"/>
        <v/>
      </c>
      <c r="FP1756" s="708" t="str">
        <f t="shared" si="222"/>
        <v/>
      </c>
      <c r="FQ1756" s="708" t="str">
        <f t="shared" si="223"/>
        <v/>
      </c>
      <c r="FR1756" s="708" t="str">
        <f t="shared" si="224"/>
        <v/>
      </c>
      <c r="FS1756" s="708" t="str">
        <f t="shared" si="225"/>
        <v/>
      </c>
      <c r="FT1756" s="708" t="str">
        <f t="shared" si="226"/>
        <v/>
      </c>
      <c r="FU1756" s="708" t="str">
        <f t="shared" si="227"/>
        <v/>
      </c>
      <c r="FV1756" s="708" t="str">
        <f t="shared" si="228"/>
        <v/>
      </c>
      <c r="FW1756" s="708" t="str">
        <f t="shared" si="229"/>
        <v/>
      </c>
      <c r="FX1756" s="708" t="str">
        <f t="shared" si="230"/>
        <v/>
      </c>
      <c r="FY1756" s="708" t="str">
        <f t="shared" si="231"/>
        <v/>
      </c>
      <c r="FZ1756" s="708" t="str">
        <f t="shared" si="232"/>
        <v/>
      </c>
      <c r="GA1756" s="708" t="str">
        <f t="shared" si="233"/>
        <v/>
      </c>
      <c r="GB1756" s="708" t="str">
        <f t="shared" si="234"/>
        <v/>
      </c>
      <c r="GC1756" s="708" t="str">
        <f t="shared" si="235"/>
        <v/>
      </c>
      <c r="GD1756" s="708" t="str">
        <f t="shared" si="236"/>
        <v/>
      </c>
      <c r="GE1756" s="708" t="str">
        <f t="shared" si="237"/>
        <v/>
      </c>
      <c r="GF1756" s="708" t="str">
        <f t="shared" si="238"/>
        <v/>
      </c>
      <c r="GG1756" s="708" t="str">
        <f t="shared" si="239"/>
        <v/>
      </c>
      <c r="GH1756" s="708" t="str">
        <f t="shared" si="240"/>
        <v/>
      </c>
      <c r="GI1756" s="708" t="str">
        <f t="shared" si="241"/>
        <v/>
      </c>
      <c r="GJ1756" s="708" t="str">
        <f t="shared" si="242"/>
        <v/>
      </c>
      <c r="GK1756" s="708" t="str">
        <f t="shared" si="243"/>
        <v/>
      </c>
      <c r="GL1756" s="708" t="str">
        <f t="shared" si="244"/>
        <v/>
      </c>
      <c r="GM1756" s="708" t="str">
        <f t="shared" si="245"/>
        <v/>
      </c>
      <c r="GN1756" s="708" t="str">
        <f t="shared" si="246"/>
        <v/>
      </c>
      <c r="GO1756" s="708" t="str">
        <f t="shared" si="247"/>
        <v/>
      </c>
      <c r="GP1756" s="708" t="str">
        <f t="shared" si="248"/>
        <v/>
      </c>
      <c r="GQ1756" s="708" t="str">
        <f t="shared" si="249"/>
        <v/>
      </c>
      <c r="GR1756" s="708" t="str">
        <f t="shared" si="250"/>
        <v/>
      </c>
      <c r="GS1756" s="708" t="str">
        <f t="shared" si="251"/>
        <v/>
      </c>
      <c r="GT1756" s="708" t="str">
        <f t="shared" si="252"/>
        <v/>
      </c>
      <c r="GU1756" s="708" t="str">
        <f t="shared" si="253"/>
        <v/>
      </c>
      <c r="GV1756" s="708" t="str">
        <f t="shared" si="254"/>
        <v/>
      </c>
      <c r="GW1756" s="708" t="str">
        <f t="shared" si="255"/>
        <v/>
      </c>
      <c r="GX1756" s="708" t="str">
        <f t="shared" si="256"/>
        <v/>
      </c>
      <c r="GY1756" s="708" t="str">
        <f t="shared" si="257"/>
        <v/>
      </c>
      <c r="GZ1756" s="708" t="str">
        <f t="shared" si="258"/>
        <v/>
      </c>
      <c r="HA1756" s="708" t="str">
        <f t="shared" si="259"/>
        <v/>
      </c>
      <c r="HB1756" s="708" t="str">
        <f t="shared" si="260"/>
        <v/>
      </c>
      <c r="HC1756" s="708" t="str">
        <f t="shared" si="261"/>
        <v/>
      </c>
      <c r="HD1756" s="708" t="str">
        <f t="shared" si="262"/>
        <v/>
      </c>
      <c r="HE1756" s="708" t="str">
        <f t="shared" si="263"/>
        <v/>
      </c>
      <c r="HF1756" s="708" t="str">
        <f t="shared" si="264"/>
        <v/>
      </c>
      <c r="HG1756" s="708" t="str">
        <f t="shared" si="265"/>
        <v/>
      </c>
      <c r="HH1756" s="708" t="str">
        <f t="shared" si="266"/>
        <v/>
      </c>
      <c r="HI1756" s="708" t="str">
        <f t="shared" si="267"/>
        <v/>
      </c>
      <c r="HJ1756" s="708" t="str">
        <f t="shared" si="268"/>
        <v/>
      </c>
      <c r="HK1756" s="708" t="str">
        <f t="shared" si="269"/>
        <v/>
      </c>
    </row>
    <row r="1757" spans="1:219" ht="13.15" customHeight="1">
      <c r="A1757" s="708" t="str">
        <f t="shared" si="270"/>
        <v/>
      </c>
      <c r="B1757" s="708">
        <f>'Part VI-Revenues &amp; Expenses'!B42</f>
        <v>0</v>
      </c>
      <c r="C1757" s="708">
        <f>'Part VI-Revenues &amp; Expenses'!C42</f>
        <v>0</v>
      </c>
      <c r="D1757" s="708">
        <f>'Part VI-Revenues &amp; Expenses'!D42</f>
        <v>0</v>
      </c>
      <c r="E1757" s="708">
        <f>'Part VI-Revenues &amp; Expenses'!E42</f>
        <v>0</v>
      </c>
      <c r="F1757" s="708">
        <f>'Part VI-Revenues &amp; Expenses'!F42</f>
        <v>0</v>
      </c>
      <c r="G1757" s="708">
        <f>'Part VI-Revenues &amp; Expenses'!G42</f>
        <v>0</v>
      </c>
      <c r="H1757" s="708">
        <f>'Part VI-Revenues &amp; Expenses'!H42</f>
        <v>0</v>
      </c>
      <c r="I1757" s="708">
        <f>'Part VI-Revenues &amp; Expenses'!I42</f>
        <v>0</v>
      </c>
      <c r="J1757" s="708">
        <f>'Part VI-Revenues &amp; Expenses'!J42</f>
        <v>0</v>
      </c>
      <c r="K1757" s="708">
        <f t="shared" si="303"/>
        <v>0</v>
      </c>
      <c r="L1757" s="708">
        <f t="shared" si="99"/>
        <v>0</v>
      </c>
      <c r="M1757" s="708">
        <f>'Part VI-Revenues &amp; Expenses'!M42</f>
        <v>0</v>
      </c>
      <c r="N1757" s="708">
        <f>'Part VI-Revenues &amp; Expenses'!N42</f>
        <v>0</v>
      </c>
      <c r="O1757" s="708">
        <f>'Part VI-Revenues &amp; Expenses'!O42</f>
        <v>0</v>
      </c>
      <c r="P1757" s="708" t="str">
        <f>'Part VI-Revenues &amp; Expenses'!P42</f>
        <v/>
      </c>
      <c r="Q1757" s="708" t="str">
        <f>'Part VI-Revenues &amp; Expenses'!Q42</f>
        <v/>
      </c>
      <c r="R1757" s="708">
        <f>'Part VI-Revenues &amp; Expenses'!R42</f>
        <v>0</v>
      </c>
      <c r="T1757" s="708" t="str">
        <f t="shared" si="100"/>
        <v/>
      </c>
      <c r="U1757" s="708" t="str">
        <f t="shared" si="101"/>
        <v/>
      </c>
      <c r="V1757" s="708" t="str">
        <f t="shared" si="102"/>
        <v/>
      </c>
      <c r="W1757" s="708" t="str">
        <f t="shared" si="103"/>
        <v/>
      </c>
      <c r="X1757" s="708" t="str">
        <f t="shared" si="104"/>
        <v/>
      </c>
      <c r="Y1757" s="708" t="str">
        <f t="shared" si="105"/>
        <v/>
      </c>
      <c r="Z1757" s="708" t="str">
        <f t="shared" si="106"/>
        <v/>
      </c>
      <c r="AA1757" s="708" t="str">
        <f t="shared" si="107"/>
        <v/>
      </c>
      <c r="AB1757" s="708" t="str">
        <f t="shared" si="108"/>
        <v/>
      </c>
      <c r="AC1757" s="708" t="str">
        <f t="shared" si="109"/>
        <v/>
      </c>
      <c r="AD1757" s="708" t="str">
        <f t="shared" si="110"/>
        <v/>
      </c>
      <c r="AE1757" s="708" t="str">
        <f t="shared" si="111"/>
        <v/>
      </c>
      <c r="AF1757" s="708" t="str">
        <f t="shared" si="112"/>
        <v/>
      </c>
      <c r="AG1757" s="708" t="str">
        <f t="shared" si="113"/>
        <v/>
      </c>
      <c r="AH1757" s="708" t="str">
        <f t="shared" si="114"/>
        <v/>
      </c>
      <c r="AI1757" s="708" t="str">
        <f t="shared" si="115"/>
        <v/>
      </c>
      <c r="AJ1757" s="708" t="str">
        <f t="shared" si="116"/>
        <v/>
      </c>
      <c r="AK1757" s="708" t="str">
        <f t="shared" si="117"/>
        <v/>
      </c>
      <c r="AL1757" s="708" t="str">
        <f t="shared" si="118"/>
        <v/>
      </c>
      <c r="AM1757" s="708" t="str">
        <f t="shared" si="119"/>
        <v/>
      </c>
      <c r="AN1757" s="708" t="str">
        <f t="shared" si="272"/>
        <v/>
      </c>
      <c r="AO1757" s="708" t="str">
        <f t="shared" si="273"/>
        <v/>
      </c>
      <c r="AP1757" s="708" t="str">
        <f t="shared" si="274"/>
        <v/>
      </c>
      <c r="AQ1757" s="708" t="str">
        <f t="shared" si="275"/>
        <v/>
      </c>
      <c r="AR1757" s="708" t="str">
        <f t="shared" si="276"/>
        <v/>
      </c>
      <c r="AS1757" s="708" t="str">
        <f t="shared" si="277"/>
        <v/>
      </c>
      <c r="AT1757" s="708" t="str">
        <f t="shared" si="278"/>
        <v/>
      </c>
      <c r="AU1757" s="708" t="str">
        <f t="shared" si="279"/>
        <v/>
      </c>
      <c r="AV1757" s="708" t="str">
        <f t="shared" si="280"/>
        <v/>
      </c>
      <c r="AW1757" s="708" t="str">
        <f t="shared" si="281"/>
        <v/>
      </c>
      <c r="AX1757" s="708" t="str">
        <f t="shared" si="282"/>
        <v/>
      </c>
      <c r="AY1757" s="708" t="str">
        <f t="shared" si="283"/>
        <v/>
      </c>
      <c r="AZ1757" s="708" t="str">
        <f t="shared" si="284"/>
        <v/>
      </c>
      <c r="BA1757" s="708" t="str">
        <f t="shared" si="285"/>
        <v/>
      </c>
      <c r="BB1757" s="708" t="str">
        <f t="shared" si="286"/>
        <v/>
      </c>
      <c r="BC1757" s="708" t="str">
        <f t="shared" si="287"/>
        <v/>
      </c>
      <c r="BD1757" s="708" t="str">
        <f t="shared" si="288"/>
        <v/>
      </c>
      <c r="BE1757" s="708" t="str">
        <f t="shared" si="289"/>
        <v/>
      </c>
      <c r="BF1757" s="708" t="str">
        <f t="shared" si="290"/>
        <v/>
      </c>
      <c r="BG1757" s="708" t="str">
        <f t="shared" si="291"/>
        <v/>
      </c>
      <c r="BH1757" s="708" t="str">
        <f t="shared" si="292"/>
        <v/>
      </c>
      <c r="BI1757" s="708" t="str">
        <f t="shared" si="293"/>
        <v/>
      </c>
      <c r="BJ1757" s="708" t="str">
        <f t="shared" si="294"/>
        <v/>
      </c>
      <c r="BK1757" s="708" t="str">
        <f t="shared" si="295"/>
        <v/>
      </c>
      <c r="BL1757" s="708" t="str">
        <f t="shared" si="296"/>
        <v/>
      </c>
      <c r="BM1757" s="708" t="str">
        <f t="shared" si="297"/>
        <v/>
      </c>
      <c r="BN1757" s="708" t="str">
        <f t="shared" si="298"/>
        <v/>
      </c>
      <c r="BO1757" s="708" t="str">
        <f t="shared" si="299"/>
        <v/>
      </c>
      <c r="BP1757" s="708" t="str">
        <f t="shared" si="300"/>
        <v/>
      </c>
      <c r="BQ1757" s="708" t="str">
        <f t="shared" si="301"/>
        <v/>
      </c>
      <c r="BR1757" s="708" t="str">
        <f t="shared" si="120"/>
        <v/>
      </c>
      <c r="BS1757" s="708" t="str">
        <f t="shared" si="121"/>
        <v/>
      </c>
      <c r="BT1757" s="708" t="str">
        <f t="shared" si="122"/>
        <v/>
      </c>
      <c r="BU1757" s="708" t="str">
        <f t="shared" si="123"/>
        <v/>
      </c>
      <c r="BV1757" s="708" t="str">
        <f t="shared" si="124"/>
        <v/>
      </c>
      <c r="BW1757" s="708" t="str">
        <f t="shared" si="125"/>
        <v/>
      </c>
      <c r="BX1757" s="708" t="str">
        <f t="shared" si="126"/>
        <v/>
      </c>
      <c r="BY1757" s="708" t="str">
        <f t="shared" si="127"/>
        <v/>
      </c>
      <c r="BZ1757" s="708" t="str">
        <f t="shared" si="128"/>
        <v/>
      </c>
      <c r="CA1757" s="708" t="str">
        <f t="shared" si="129"/>
        <v/>
      </c>
      <c r="CB1757" s="708" t="str">
        <f t="shared" si="130"/>
        <v/>
      </c>
      <c r="CC1757" s="708" t="str">
        <f t="shared" si="131"/>
        <v/>
      </c>
      <c r="CD1757" s="708" t="str">
        <f t="shared" si="132"/>
        <v/>
      </c>
      <c r="CE1757" s="708" t="str">
        <f t="shared" si="133"/>
        <v/>
      </c>
      <c r="CF1757" s="708" t="str">
        <f t="shared" si="134"/>
        <v/>
      </c>
      <c r="CG1757" s="708" t="str">
        <f t="shared" si="135"/>
        <v/>
      </c>
      <c r="CH1757" s="708" t="str">
        <f t="shared" si="136"/>
        <v/>
      </c>
      <c r="CI1757" s="708" t="str">
        <f t="shared" si="137"/>
        <v/>
      </c>
      <c r="CJ1757" s="708" t="str">
        <f t="shared" si="138"/>
        <v/>
      </c>
      <c r="CK1757" s="708" t="str">
        <f t="shared" si="139"/>
        <v/>
      </c>
      <c r="CL1757" s="708" t="str">
        <f t="shared" si="140"/>
        <v/>
      </c>
      <c r="CM1757" s="708" t="str">
        <f t="shared" si="141"/>
        <v/>
      </c>
      <c r="CN1757" s="708" t="str">
        <f t="shared" si="142"/>
        <v/>
      </c>
      <c r="CO1757" s="708" t="str">
        <f t="shared" si="143"/>
        <v/>
      </c>
      <c r="CP1757" s="708" t="str">
        <f t="shared" si="144"/>
        <v/>
      </c>
      <c r="CQ1757" s="708" t="str">
        <f t="shared" si="145"/>
        <v/>
      </c>
      <c r="CR1757" s="708" t="str">
        <f t="shared" si="146"/>
        <v/>
      </c>
      <c r="CS1757" s="708" t="str">
        <f t="shared" si="147"/>
        <v/>
      </c>
      <c r="CT1757" s="708" t="str">
        <f t="shared" si="148"/>
        <v/>
      </c>
      <c r="CU1757" s="708" t="str">
        <f t="shared" si="149"/>
        <v/>
      </c>
      <c r="CV1757" s="708" t="str">
        <f t="shared" si="150"/>
        <v/>
      </c>
      <c r="CW1757" s="708" t="str">
        <f t="shared" si="151"/>
        <v/>
      </c>
      <c r="CX1757" s="708" t="str">
        <f t="shared" si="152"/>
        <v/>
      </c>
      <c r="CY1757" s="708" t="str">
        <f t="shared" si="153"/>
        <v/>
      </c>
      <c r="CZ1757" s="708" t="str">
        <f t="shared" si="154"/>
        <v/>
      </c>
      <c r="DA1757" s="708" t="str">
        <f t="shared" si="155"/>
        <v/>
      </c>
      <c r="DB1757" s="708" t="str">
        <f t="shared" si="156"/>
        <v/>
      </c>
      <c r="DC1757" s="708" t="str">
        <f t="shared" si="157"/>
        <v/>
      </c>
      <c r="DD1757" s="708" t="str">
        <f t="shared" si="158"/>
        <v/>
      </c>
      <c r="DE1757" s="708" t="str">
        <f t="shared" si="159"/>
        <v/>
      </c>
      <c r="DF1757" s="708" t="str">
        <f t="shared" si="160"/>
        <v/>
      </c>
      <c r="DG1757" s="708" t="str">
        <f t="shared" si="161"/>
        <v/>
      </c>
      <c r="DH1757" s="708" t="str">
        <f t="shared" si="162"/>
        <v/>
      </c>
      <c r="DI1757" s="708" t="str">
        <f t="shared" si="163"/>
        <v/>
      </c>
      <c r="DJ1757" s="708" t="str">
        <f t="shared" si="164"/>
        <v/>
      </c>
      <c r="DK1757" s="708" t="str">
        <f t="shared" si="165"/>
        <v/>
      </c>
      <c r="DL1757" s="708" t="str">
        <f t="shared" si="166"/>
        <v/>
      </c>
      <c r="DM1757" s="708" t="str">
        <f t="shared" si="167"/>
        <v/>
      </c>
      <c r="DN1757" s="708" t="str">
        <f t="shared" si="168"/>
        <v/>
      </c>
      <c r="DO1757" s="708" t="str">
        <f t="shared" si="169"/>
        <v/>
      </c>
      <c r="DP1757" s="708" t="str">
        <f t="shared" si="170"/>
        <v/>
      </c>
      <c r="DQ1757" s="708" t="str">
        <f t="shared" si="171"/>
        <v/>
      </c>
      <c r="DR1757" s="708" t="str">
        <f t="shared" si="172"/>
        <v/>
      </c>
      <c r="DS1757" s="708" t="str">
        <f t="shared" si="173"/>
        <v/>
      </c>
      <c r="DT1757" s="708" t="str">
        <f t="shared" si="174"/>
        <v/>
      </c>
      <c r="DU1757" s="708" t="str">
        <f t="shared" si="175"/>
        <v/>
      </c>
      <c r="DV1757" s="708" t="str">
        <f t="shared" si="176"/>
        <v/>
      </c>
      <c r="DW1757" s="708" t="str">
        <f t="shared" si="177"/>
        <v/>
      </c>
      <c r="DX1757" s="708" t="str">
        <f t="shared" si="178"/>
        <v/>
      </c>
      <c r="DY1757" s="708" t="str">
        <f t="shared" si="179"/>
        <v/>
      </c>
      <c r="DZ1757" s="708" t="str">
        <f t="shared" si="180"/>
        <v/>
      </c>
      <c r="EA1757" s="708" t="str">
        <f t="shared" si="181"/>
        <v/>
      </c>
      <c r="EB1757" s="708" t="str">
        <f t="shared" si="182"/>
        <v/>
      </c>
      <c r="EC1757" s="708" t="str">
        <f t="shared" si="183"/>
        <v/>
      </c>
      <c r="ED1757" s="708" t="str">
        <f t="shared" si="184"/>
        <v/>
      </c>
      <c r="EE1757" s="708" t="str">
        <f t="shared" si="185"/>
        <v/>
      </c>
      <c r="EF1757" s="708" t="str">
        <f t="shared" si="186"/>
        <v/>
      </c>
      <c r="EG1757" s="708" t="str">
        <f t="shared" si="187"/>
        <v/>
      </c>
      <c r="EH1757" s="708" t="str">
        <f t="shared" si="188"/>
        <v/>
      </c>
      <c r="EI1757" s="708" t="str">
        <f t="shared" si="189"/>
        <v/>
      </c>
      <c r="EJ1757" s="708" t="str">
        <f t="shared" si="190"/>
        <v/>
      </c>
      <c r="EK1757" s="708" t="str">
        <f t="shared" si="191"/>
        <v/>
      </c>
      <c r="EL1757" s="708" t="str">
        <f t="shared" si="192"/>
        <v/>
      </c>
      <c r="EM1757" s="708" t="str">
        <f t="shared" si="193"/>
        <v/>
      </c>
      <c r="EN1757" s="708" t="str">
        <f t="shared" si="194"/>
        <v/>
      </c>
      <c r="EO1757" s="708" t="str">
        <f t="shared" si="195"/>
        <v/>
      </c>
      <c r="EP1757" s="708" t="str">
        <f t="shared" si="196"/>
        <v/>
      </c>
      <c r="EQ1757" s="708" t="str">
        <f t="shared" si="197"/>
        <v/>
      </c>
      <c r="ER1757" s="708" t="str">
        <f t="shared" si="198"/>
        <v/>
      </c>
      <c r="ES1757" s="708" t="str">
        <f t="shared" si="199"/>
        <v/>
      </c>
      <c r="ET1757" s="708" t="str">
        <f t="shared" si="200"/>
        <v/>
      </c>
      <c r="EU1757" s="708" t="str">
        <f t="shared" si="201"/>
        <v/>
      </c>
      <c r="EV1757" s="708" t="str">
        <f t="shared" si="202"/>
        <v/>
      </c>
      <c r="EW1757" s="708" t="str">
        <f t="shared" si="203"/>
        <v/>
      </c>
      <c r="EX1757" s="708" t="str">
        <f t="shared" si="204"/>
        <v/>
      </c>
      <c r="EY1757" s="708" t="str">
        <f t="shared" si="205"/>
        <v/>
      </c>
      <c r="EZ1757" s="708" t="str">
        <f t="shared" si="206"/>
        <v/>
      </c>
      <c r="FA1757" s="708" t="str">
        <f t="shared" si="207"/>
        <v/>
      </c>
      <c r="FB1757" s="708" t="str">
        <f t="shared" si="208"/>
        <v/>
      </c>
      <c r="FC1757" s="708" t="str">
        <f t="shared" si="209"/>
        <v/>
      </c>
      <c r="FD1757" s="708" t="str">
        <f t="shared" si="210"/>
        <v/>
      </c>
      <c r="FE1757" s="708" t="str">
        <f t="shared" si="211"/>
        <v/>
      </c>
      <c r="FF1757" s="708" t="str">
        <f t="shared" si="212"/>
        <v/>
      </c>
      <c r="FG1757" s="708" t="str">
        <f t="shared" si="213"/>
        <v/>
      </c>
      <c r="FH1757" s="708" t="str">
        <f t="shared" si="214"/>
        <v/>
      </c>
      <c r="FI1757" s="708" t="str">
        <f t="shared" si="215"/>
        <v/>
      </c>
      <c r="FJ1757" s="708" t="str">
        <f t="shared" si="216"/>
        <v/>
      </c>
      <c r="FK1757" s="708" t="str">
        <f t="shared" si="217"/>
        <v/>
      </c>
      <c r="FL1757" s="708" t="str">
        <f t="shared" si="218"/>
        <v/>
      </c>
      <c r="FM1757" s="708" t="str">
        <f t="shared" si="219"/>
        <v/>
      </c>
      <c r="FN1757" s="708" t="str">
        <f t="shared" si="220"/>
        <v/>
      </c>
      <c r="FO1757" s="708" t="str">
        <f t="shared" si="221"/>
        <v/>
      </c>
      <c r="FP1757" s="708" t="str">
        <f t="shared" si="222"/>
        <v/>
      </c>
      <c r="FQ1757" s="708" t="str">
        <f t="shared" si="223"/>
        <v/>
      </c>
      <c r="FR1757" s="708" t="str">
        <f t="shared" si="224"/>
        <v/>
      </c>
      <c r="FS1757" s="708" t="str">
        <f t="shared" si="225"/>
        <v/>
      </c>
      <c r="FT1757" s="708" t="str">
        <f t="shared" si="226"/>
        <v/>
      </c>
      <c r="FU1757" s="708" t="str">
        <f t="shared" si="227"/>
        <v/>
      </c>
      <c r="FV1757" s="708" t="str">
        <f t="shared" si="228"/>
        <v/>
      </c>
      <c r="FW1757" s="708" t="str">
        <f t="shared" si="229"/>
        <v/>
      </c>
      <c r="FX1757" s="708" t="str">
        <f t="shared" si="230"/>
        <v/>
      </c>
      <c r="FY1757" s="708" t="str">
        <f t="shared" si="231"/>
        <v/>
      </c>
      <c r="FZ1757" s="708" t="str">
        <f t="shared" si="232"/>
        <v/>
      </c>
      <c r="GA1757" s="708" t="str">
        <f t="shared" si="233"/>
        <v/>
      </c>
      <c r="GB1757" s="708" t="str">
        <f t="shared" si="234"/>
        <v/>
      </c>
      <c r="GC1757" s="708" t="str">
        <f t="shared" si="235"/>
        <v/>
      </c>
      <c r="GD1757" s="708" t="str">
        <f t="shared" si="236"/>
        <v/>
      </c>
      <c r="GE1757" s="708" t="str">
        <f t="shared" si="237"/>
        <v/>
      </c>
      <c r="GF1757" s="708" t="str">
        <f t="shared" si="238"/>
        <v/>
      </c>
      <c r="GG1757" s="708" t="str">
        <f t="shared" si="239"/>
        <v/>
      </c>
      <c r="GH1757" s="708" t="str">
        <f t="shared" si="240"/>
        <v/>
      </c>
      <c r="GI1757" s="708" t="str">
        <f t="shared" si="241"/>
        <v/>
      </c>
      <c r="GJ1757" s="708" t="str">
        <f t="shared" si="242"/>
        <v/>
      </c>
      <c r="GK1757" s="708" t="str">
        <f t="shared" si="243"/>
        <v/>
      </c>
      <c r="GL1757" s="708" t="str">
        <f t="shared" si="244"/>
        <v/>
      </c>
      <c r="GM1757" s="708" t="str">
        <f t="shared" si="245"/>
        <v/>
      </c>
      <c r="GN1757" s="708" t="str">
        <f t="shared" si="246"/>
        <v/>
      </c>
      <c r="GO1757" s="708" t="str">
        <f t="shared" si="247"/>
        <v/>
      </c>
      <c r="GP1757" s="708" t="str">
        <f t="shared" si="248"/>
        <v/>
      </c>
      <c r="GQ1757" s="708" t="str">
        <f t="shared" si="249"/>
        <v/>
      </c>
      <c r="GR1757" s="708" t="str">
        <f t="shared" si="250"/>
        <v/>
      </c>
      <c r="GS1757" s="708" t="str">
        <f t="shared" si="251"/>
        <v/>
      </c>
      <c r="GT1757" s="708" t="str">
        <f t="shared" si="252"/>
        <v/>
      </c>
      <c r="GU1757" s="708" t="str">
        <f t="shared" si="253"/>
        <v/>
      </c>
      <c r="GV1757" s="708" t="str">
        <f t="shared" si="254"/>
        <v/>
      </c>
      <c r="GW1757" s="708" t="str">
        <f t="shared" si="255"/>
        <v/>
      </c>
      <c r="GX1757" s="708" t="str">
        <f t="shared" si="256"/>
        <v/>
      </c>
      <c r="GY1757" s="708" t="str">
        <f t="shared" si="257"/>
        <v/>
      </c>
      <c r="GZ1757" s="708" t="str">
        <f t="shared" si="258"/>
        <v/>
      </c>
      <c r="HA1757" s="708" t="str">
        <f t="shared" si="259"/>
        <v/>
      </c>
      <c r="HB1757" s="708" t="str">
        <f t="shared" si="260"/>
        <v/>
      </c>
      <c r="HC1757" s="708" t="str">
        <f t="shared" si="261"/>
        <v/>
      </c>
      <c r="HD1757" s="708" t="str">
        <f t="shared" si="262"/>
        <v/>
      </c>
      <c r="HE1757" s="708" t="str">
        <f t="shared" si="263"/>
        <v/>
      </c>
      <c r="HF1757" s="708" t="str">
        <f t="shared" si="264"/>
        <v/>
      </c>
      <c r="HG1757" s="708" t="str">
        <f t="shared" si="265"/>
        <v/>
      </c>
      <c r="HH1757" s="708" t="str">
        <f t="shared" si="266"/>
        <v/>
      </c>
      <c r="HI1757" s="708" t="str">
        <f t="shared" si="267"/>
        <v/>
      </c>
      <c r="HJ1757" s="708" t="str">
        <f t="shared" si="268"/>
        <v/>
      </c>
      <c r="HK1757" s="708" t="str">
        <f t="shared" si="269"/>
        <v/>
      </c>
    </row>
    <row r="1758" spans="1:219" ht="13.15" customHeight="1">
      <c r="A1758" s="708" t="str">
        <f t="shared" si="270"/>
        <v/>
      </c>
      <c r="B1758" s="708">
        <f>'Part VI-Revenues &amp; Expenses'!B43</f>
        <v>0</v>
      </c>
      <c r="C1758" s="708">
        <f>'Part VI-Revenues &amp; Expenses'!C43</f>
        <v>0</v>
      </c>
      <c r="D1758" s="708">
        <f>'Part VI-Revenues &amp; Expenses'!D43</f>
        <v>0</v>
      </c>
      <c r="E1758" s="708">
        <f>'Part VI-Revenues &amp; Expenses'!E43</f>
        <v>0</v>
      </c>
      <c r="F1758" s="708">
        <f>'Part VI-Revenues &amp; Expenses'!F43</f>
        <v>0</v>
      </c>
      <c r="G1758" s="708">
        <f>'Part VI-Revenues &amp; Expenses'!G43</f>
        <v>0</v>
      </c>
      <c r="H1758" s="708">
        <f>'Part VI-Revenues &amp; Expenses'!H43</f>
        <v>0</v>
      </c>
      <c r="I1758" s="708">
        <f>'Part VI-Revenues &amp; Expenses'!I43</f>
        <v>0</v>
      </c>
      <c r="J1758" s="708">
        <f>'Part VI-Revenues &amp; Expenses'!J43</f>
        <v>0</v>
      </c>
      <c r="K1758" s="708">
        <f t="shared" si="303"/>
        <v>0</v>
      </c>
      <c r="L1758" s="708">
        <f t="shared" si="99"/>
        <v>0</v>
      </c>
      <c r="M1758" s="708">
        <f>'Part VI-Revenues &amp; Expenses'!M43</f>
        <v>0</v>
      </c>
      <c r="N1758" s="708">
        <f>'Part VI-Revenues &amp; Expenses'!N43</f>
        <v>0</v>
      </c>
      <c r="O1758" s="708">
        <f>'Part VI-Revenues &amp; Expenses'!O43</f>
        <v>0</v>
      </c>
      <c r="P1758" s="708" t="str">
        <f>'Part VI-Revenues &amp; Expenses'!P43</f>
        <v/>
      </c>
      <c r="Q1758" s="708" t="str">
        <f>'Part VI-Revenues &amp; Expenses'!Q43</f>
        <v/>
      </c>
      <c r="R1758" s="708">
        <f>'Part VI-Revenues &amp; Expenses'!R43</f>
        <v>0</v>
      </c>
      <c r="T1758" s="708" t="str">
        <f t="shared" si="100"/>
        <v/>
      </c>
      <c r="U1758" s="708" t="str">
        <f t="shared" si="101"/>
        <v/>
      </c>
      <c r="V1758" s="708" t="str">
        <f t="shared" si="102"/>
        <v/>
      </c>
      <c r="W1758" s="708" t="str">
        <f t="shared" si="103"/>
        <v/>
      </c>
      <c r="X1758" s="708" t="str">
        <f t="shared" si="104"/>
        <v/>
      </c>
      <c r="Y1758" s="708" t="str">
        <f t="shared" si="105"/>
        <v/>
      </c>
      <c r="Z1758" s="708" t="str">
        <f t="shared" si="106"/>
        <v/>
      </c>
      <c r="AA1758" s="708" t="str">
        <f t="shared" si="107"/>
        <v/>
      </c>
      <c r="AB1758" s="708" t="str">
        <f t="shared" si="108"/>
        <v/>
      </c>
      <c r="AC1758" s="708" t="str">
        <f t="shared" si="109"/>
        <v/>
      </c>
      <c r="AD1758" s="708" t="str">
        <f t="shared" si="110"/>
        <v/>
      </c>
      <c r="AE1758" s="708" t="str">
        <f t="shared" si="111"/>
        <v/>
      </c>
      <c r="AF1758" s="708" t="str">
        <f t="shared" si="112"/>
        <v/>
      </c>
      <c r="AG1758" s="708" t="str">
        <f t="shared" si="113"/>
        <v/>
      </c>
      <c r="AH1758" s="708" t="str">
        <f t="shared" si="114"/>
        <v/>
      </c>
      <c r="AI1758" s="708" t="str">
        <f t="shared" si="115"/>
        <v/>
      </c>
      <c r="AJ1758" s="708" t="str">
        <f t="shared" si="116"/>
        <v/>
      </c>
      <c r="AK1758" s="708" t="str">
        <f t="shared" si="117"/>
        <v/>
      </c>
      <c r="AL1758" s="708" t="str">
        <f t="shared" si="118"/>
        <v/>
      </c>
      <c r="AM1758" s="708" t="str">
        <f t="shared" si="119"/>
        <v/>
      </c>
      <c r="AN1758" s="708" t="str">
        <f t="shared" si="272"/>
        <v/>
      </c>
      <c r="AO1758" s="708" t="str">
        <f t="shared" si="273"/>
        <v/>
      </c>
      <c r="AP1758" s="708" t="str">
        <f t="shared" si="274"/>
        <v/>
      </c>
      <c r="AQ1758" s="708" t="str">
        <f t="shared" si="275"/>
        <v/>
      </c>
      <c r="AR1758" s="708" t="str">
        <f t="shared" si="276"/>
        <v/>
      </c>
      <c r="AS1758" s="708" t="str">
        <f t="shared" si="277"/>
        <v/>
      </c>
      <c r="AT1758" s="708" t="str">
        <f t="shared" si="278"/>
        <v/>
      </c>
      <c r="AU1758" s="708" t="str">
        <f t="shared" si="279"/>
        <v/>
      </c>
      <c r="AV1758" s="708" t="str">
        <f t="shared" si="280"/>
        <v/>
      </c>
      <c r="AW1758" s="708" t="str">
        <f t="shared" si="281"/>
        <v/>
      </c>
      <c r="AX1758" s="708" t="str">
        <f t="shared" si="282"/>
        <v/>
      </c>
      <c r="AY1758" s="708" t="str">
        <f t="shared" si="283"/>
        <v/>
      </c>
      <c r="AZ1758" s="708" t="str">
        <f t="shared" si="284"/>
        <v/>
      </c>
      <c r="BA1758" s="708" t="str">
        <f t="shared" si="285"/>
        <v/>
      </c>
      <c r="BB1758" s="708" t="str">
        <f t="shared" si="286"/>
        <v/>
      </c>
      <c r="BC1758" s="708" t="str">
        <f t="shared" si="287"/>
        <v/>
      </c>
      <c r="BD1758" s="708" t="str">
        <f t="shared" si="288"/>
        <v/>
      </c>
      <c r="BE1758" s="708" t="str">
        <f t="shared" si="289"/>
        <v/>
      </c>
      <c r="BF1758" s="708" t="str">
        <f t="shared" si="290"/>
        <v/>
      </c>
      <c r="BG1758" s="708" t="str">
        <f t="shared" si="291"/>
        <v/>
      </c>
      <c r="BH1758" s="708" t="str">
        <f t="shared" si="292"/>
        <v/>
      </c>
      <c r="BI1758" s="708" t="str">
        <f t="shared" si="293"/>
        <v/>
      </c>
      <c r="BJ1758" s="708" t="str">
        <f t="shared" si="294"/>
        <v/>
      </c>
      <c r="BK1758" s="708" t="str">
        <f t="shared" si="295"/>
        <v/>
      </c>
      <c r="BL1758" s="708" t="str">
        <f t="shared" si="296"/>
        <v/>
      </c>
      <c r="BM1758" s="708" t="str">
        <f t="shared" si="297"/>
        <v/>
      </c>
      <c r="BN1758" s="708" t="str">
        <f t="shared" si="298"/>
        <v/>
      </c>
      <c r="BO1758" s="708" t="str">
        <f t="shared" si="299"/>
        <v/>
      </c>
      <c r="BP1758" s="708" t="str">
        <f t="shared" si="300"/>
        <v/>
      </c>
      <c r="BQ1758" s="708" t="str">
        <f t="shared" si="301"/>
        <v/>
      </c>
      <c r="BR1758" s="708" t="str">
        <f t="shared" si="120"/>
        <v/>
      </c>
      <c r="BS1758" s="708" t="str">
        <f t="shared" si="121"/>
        <v/>
      </c>
      <c r="BT1758" s="708" t="str">
        <f t="shared" si="122"/>
        <v/>
      </c>
      <c r="BU1758" s="708" t="str">
        <f t="shared" si="123"/>
        <v/>
      </c>
      <c r="BV1758" s="708" t="str">
        <f t="shared" si="124"/>
        <v/>
      </c>
      <c r="BW1758" s="708" t="str">
        <f t="shared" si="125"/>
        <v/>
      </c>
      <c r="BX1758" s="708" t="str">
        <f t="shared" si="126"/>
        <v/>
      </c>
      <c r="BY1758" s="708" t="str">
        <f t="shared" si="127"/>
        <v/>
      </c>
      <c r="BZ1758" s="708" t="str">
        <f t="shared" si="128"/>
        <v/>
      </c>
      <c r="CA1758" s="708" t="str">
        <f t="shared" si="129"/>
        <v/>
      </c>
      <c r="CB1758" s="708" t="str">
        <f t="shared" si="130"/>
        <v/>
      </c>
      <c r="CC1758" s="708" t="str">
        <f t="shared" si="131"/>
        <v/>
      </c>
      <c r="CD1758" s="708" t="str">
        <f t="shared" si="132"/>
        <v/>
      </c>
      <c r="CE1758" s="708" t="str">
        <f t="shared" si="133"/>
        <v/>
      </c>
      <c r="CF1758" s="708" t="str">
        <f t="shared" si="134"/>
        <v/>
      </c>
      <c r="CG1758" s="708" t="str">
        <f t="shared" si="135"/>
        <v/>
      </c>
      <c r="CH1758" s="708" t="str">
        <f t="shared" si="136"/>
        <v/>
      </c>
      <c r="CI1758" s="708" t="str">
        <f t="shared" si="137"/>
        <v/>
      </c>
      <c r="CJ1758" s="708" t="str">
        <f t="shared" si="138"/>
        <v/>
      </c>
      <c r="CK1758" s="708" t="str">
        <f t="shared" si="139"/>
        <v/>
      </c>
      <c r="CL1758" s="708" t="str">
        <f t="shared" si="140"/>
        <v/>
      </c>
      <c r="CM1758" s="708" t="str">
        <f t="shared" si="141"/>
        <v/>
      </c>
      <c r="CN1758" s="708" t="str">
        <f t="shared" si="142"/>
        <v/>
      </c>
      <c r="CO1758" s="708" t="str">
        <f t="shared" si="143"/>
        <v/>
      </c>
      <c r="CP1758" s="708" t="str">
        <f t="shared" si="144"/>
        <v/>
      </c>
      <c r="CQ1758" s="708" t="str">
        <f t="shared" si="145"/>
        <v/>
      </c>
      <c r="CR1758" s="708" t="str">
        <f t="shared" si="146"/>
        <v/>
      </c>
      <c r="CS1758" s="708" t="str">
        <f t="shared" si="147"/>
        <v/>
      </c>
      <c r="CT1758" s="708" t="str">
        <f t="shared" si="148"/>
        <v/>
      </c>
      <c r="CU1758" s="708" t="str">
        <f t="shared" si="149"/>
        <v/>
      </c>
      <c r="CV1758" s="708" t="str">
        <f t="shared" si="150"/>
        <v/>
      </c>
      <c r="CW1758" s="708" t="str">
        <f t="shared" si="151"/>
        <v/>
      </c>
      <c r="CX1758" s="708" t="str">
        <f t="shared" si="152"/>
        <v/>
      </c>
      <c r="CY1758" s="708" t="str">
        <f t="shared" si="153"/>
        <v/>
      </c>
      <c r="CZ1758" s="708" t="str">
        <f t="shared" si="154"/>
        <v/>
      </c>
      <c r="DA1758" s="708" t="str">
        <f t="shared" si="155"/>
        <v/>
      </c>
      <c r="DB1758" s="708" t="str">
        <f t="shared" si="156"/>
        <v/>
      </c>
      <c r="DC1758" s="708" t="str">
        <f t="shared" si="157"/>
        <v/>
      </c>
      <c r="DD1758" s="708" t="str">
        <f t="shared" si="158"/>
        <v/>
      </c>
      <c r="DE1758" s="708" t="str">
        <f t="shared" si="159"/>
        <v/>
      </c>
      <c r="DF1758" s="708" t="str">
        <f t="shared" si="160"/>
        <v/>
      </c>
      <c r="DG1758" s="708" t="str">
        <f t="shared" si="161"/>
        <v/>
      </c>
      <c r="DH1758" s="708" t="str">
        <f t="shared" si="162"/>
        <v/>
      </c>
      <c r="DI1758" s="708" t="str">
        <f t="shared" si="163"/>
        <v/>
      </c>
      <c r="DJ1758" s="708" t="str">
        <f t="shared" si="164"/>
        <v/>
      </c>
      <c r="DK1758" s="708" t="str">
        <f t="shared" si="165"/>
        <v/>
      </c>
      <c r="DL1758" s="708" t="str">
        <f t="shared" si="166"/>
        <v/>
      </c>
      <c r="DM1758" s="708" t="str">
        <f t="shared" si="167"/>
        <v/>
      </c>
      <c r="DN1758" s="708" t="str">
        <f t="shared" si="168"/>
        <v/>
      </c>
      <c r="DO1758" s="708" t="str">
        <f t="shared" si="169"/>
        <v/>
      </c>
      <c r="DP1758" s="708" t="str">
        <f t="shared" si="170"/>
        <v/>
      </c>
      <c r="DQ1758" s="708" t="str">
        <f t="shared" si="171"/>
        <v/>
      </c>
      <c r="DR1758" s="708" t="str">
        <f t="shared" si="172"/>
        <v/>
      </c>
      <c r="DS1758" s="708" t="str">
        <f t="shared" si="173"/>
        <v/>
      </c>
      <c r="DT1758" s="708" t="str">
        <f t="shared" si="174"/>
        <v/>
      </c>
      <c r="DU1758" s="708" t="str">
        <f t="shared" si="175"/>
        <v/>
      </c>
      <c r="DV1758" s="708" t="str">
        <f t="shared" si="176"/>
        <v/>
      </c>
      <c r="DW1758" s="708" t="str">
        <f t="shared" si="177"/>
        <v/>
      </c>
      <c r="DX1758" s="708" t="str">
        <f t="shared" si="178"/>
        <v/>
      </c>
      <c r="DY1758" s="708" t="str">
        <f t="shared" si="179"/>
        <v/>
      </c>
      <c r="DZ1758" s="708" t="str">
        <f t="shared" si="180"/>
        <v/>
      </c>
      <c r="EA1758" s="708" t="str">
        <f t="shared" si="181"/>
        <v/>
      </c>
      <c r="EB1758" s="708" t="str">
        <f t="shared" si="182"/>
        <v/>
      </c>
      <c r="EC1758" s="708" t="str">
        <f t="shared" si="183"/>
        <v/>
      </c>
      <c r="ED1758" s="708" t="str">
        <f t="shared" si="184"/>
        <v/>
      </c>
      <c r="EE1758" s="708" t="str">
        <f t="shared" si="185"/>
        <v/>
      </c>
      <c r="EF1758" s="708" t="str">
        <f t="shared" si="186"/>
        <v/>
      </c>
      <c r="EG1758" s="708" t="str">
        <f t="shared" si="187"/>
        <v/>
      </c>
      <c r="EH1758" s="708" t="str">
        <f t="shared" si="188"/>
        <v/>
      </c>
      <c r="EI1758" s="708" t="str">
        <f t="shared" si="189"/>
        <v/>
      </c>
      <c r="EJ1758" s="708" t="str">
        <f t="shared" si="190"/>
        <v/>
      </c>
      <c r="EK1758" s="708" t="str">
        <f t="shared" si="191"/>
        <v/>
      </c>
      <c r="EL1758" s="708" t="str">
        <f t="shared" si="192"/>
        <v/>
      </c>
      <c r="EM1758" s="708" t="str">
        <f t="shared" si="193"/>
        <v/>
      </c>
      <c r="EN1758" s="708" t="str">
        <f t="shared" si="194"/>
        <v/>
      </c>
      <c r="EO1758" s="708" t="str">
        <f t="shared" si="195"/>
        <v/>
      </c>
      <c r="EP1758" s="708" t="str">
        <f t="shared" si="196"/>
        <v/>
      </c>
      <c r="EQ1758" s="708" t="str">
        <f t="shared" si="197"/>
        <v/>
      </c>
      <c r="ER1758" s="708" t="str">
        <f t="shared" si="198"/>
        <v/>
      </c>
      <c r="ES1758" s="708" t="str">
        <f t="shared" si="199"/>
        <v/>
      </c>
      <c r="ET1758" s="708" t="str">
        <f t="shared" si="200"/>
        <v/>
      </c>
      <c r="EU1758" s="708" t="str">
        <f t="shared" si="201"/>
        <v/>
      </c>
      <c r="EV1758" s="708" t="str">
        <f t="shared" si="202"/>
        <v/>
      </c>
      <c r="EW1758" s="708" t="str">
        <f t="shared" si="203"/>
        <v/>
      </c>
      <c r="EX1758" s="708" t="str">
        <f t="shared" si="204"/>
        <v/>
      </c>
      <c r="EY1758" s="708" t="str">
        <f t="shared" si="205"/>
        <v/>
      </c>
      <c r="EZ1758" s="708" t="str">
        <f t="shared" si="206"/>
        <v/>
      </c>
      <c r="FA1758" s="708" t="str">
        <f t="shared" si="207"/>
        <v/>
      </c>
      <c r="FB1758" s="708" t="str">
        <f t="shared" si="208"/>
        <v/>
      </c>
      <c r="FC1758" s="708" t="str">
        <f t="shared" si="209"/>
        <v/>
      </c>
      <c r="FD1758" s="708" t="str">
        <f t="shared" si="210"/>
        <v/>
      </c>
      <c r="FE1758" s="708" t="str">
        <f t="shared" si="211"/>
        <v/>
      </c>
      <c r="FF1758" s="708" t="str">
        <f t="shared" si="212"/>
        <v/>
      </c>
      <c r="FG1758" s="708" t="str">
        <f t="shared" si="213"/>
        <v/>
      </c>
      <c r="FH1758" s="708" t="str">
        <f t="shared" si="214"/>
        <v/>
      </c>
      <c r="FI1758" s="708" t="str">
        <f t="shared" si="215"/>
        <v/>
      </c>
      <c r="FJ1758" s="708" t="str">
        <f t="shared" si="216"/>
        <v/>
      </c>
      <c r="FK1758" s="708" t="str">
        <f t="shared" si="217"/>
        <v/>
      </c>
      <c r="FL1758" s="708" t="str">
        <f t="shared" si="218"/>
        <v/>
      </c>
      <c r="FM1758" s="708" t="str">
        <f t="shared" si="219"/>
        <v/>
      </c>
      <c r="FN1758" s="708" t="str">
        <f t="shared" si="220"/>
        <v/>
      </c>
      <c r="FO1758" s="708" t="str">
        <f t="shared" si="221"/>
        <v/>
      </c>
      <c r="FP1758" s="708" t="str">
        <f t="shared" si="222"/>
        <v/>
      </c>
      <c r="FQ1758" s="708" t="str">
        <f t="shared" si="223"/>
        <v/>
      </c>
      <c r="FR1758" s="708" t="str">
        <f t="shared" si="224"/>
        <v/>
      </c>
      <c r="FS1758" s="708" t="str">
        <f t="shared" si="225"/>
        <v/>
      </c>
      <c r="FT1758" s="708" t="str">
        <f t="shared" si="226"/>
        <v/>
      </c>
      <c r="FU1758" s="708" t="str">
        <f t="shared" si="227"/>
        <v/>
      </c>
      <c r="FV1758" s="708" t="str">
        <f t="shared" si="228"/>
        <v/>
      </c>
      <c r="FW1758" s="708" t="str">
        <f t="shared" si="229"/>
        <v/>
      </c>
      <c r="FX1758" s="708" t="str">
        <f t="shared" si="230"/>
        <v/>
      </c>
      <c r="FY1758" s="708" t="str">
        <f t="shared" si="231"/>
        <v/>
      </c>
      <c r="FZ1758" s="708" t="str">
        <f t="shared" si="232"/>
        <v/>
      </c>
      <c r="GA1758" s="708" t="str">
        <f t="shared" si="233"/>
        <v/>
      </c>
      <c r="GB1758" s="708" t="str">
        <f t="shared" si="234"/>
        <v/>
      </c>
      <c r="GC1758" s="708" t="str">
        <f t="shared" si="235"/>
        <v/>
      </c>
      <c r="GD1758" s="708" t="str">
        <f t="shared" si="236"/>
        <v/>
      </c>
      <c r="GE1758" s="708" t="str">
        <f t="shared" si="237"/>
        <v/>
      </c>
      <c r="GF1758" s="708" t="str">
        <f t="shared" si="238"/>
        <v/>
      </c>
      <c r="GG1758" s="708" t="str">
        <f t="shared" si="239"/>
        <v/>
      </c>
      <c r="GH1758" s="708" t="str">
        <f t="shared" si="240"/>
        <v/>
      </c>
      <c r="GI1758" s="708" t="str">
        <f t="shared" si="241"/>
        <v/>
      </c>
      <c r="GJ1758" s="708" t="str">
        <f t="shared" si="242"/>
        <v/>
      </c>
      <c r="GK1758" s="708" t="str">
        <f t="shared" si="243"/>
        <v/>
      </c>
      <c r="GL1758" s="708" t="str">
        <f t="shared" si="244"/>
        <v/>
      </c>
      <c r="GM1758" s="708" t="str">
        <f t="shared" si="245"/>
        <v/>
      </c>
      <c r="GN1758" s="708" t="str">
        <f t="shared" si="246"/>
        <v/>
      </c>
      <c r="GO1758" s="708" t="str">
        <f t="shared" si="247"/>
        <v/>
      </c>
      <c r="GP1758" s="708" t="str">
        <f t="shared" si="248"/>
        <v/>
      </c>
      <c r="GQ1758" s="708" t="str">
        <f t="shared" si="249"/>
        <v/>
      </c>
      <c r="GR1758" s="708" t="str">
        <f t="shared" si="250"/>
        <v/>
      </c>
      <c r="GS1758" s="708" t="str">
        <f t="shared" si="251"/>
        <v/>
      </c>
      <c r="GT1758" s="708" t="str">
        <f t="shared" si="252"/>
        <v/>
      </c>
      <c r="GU1758" s="708" t="str">
        <f t="shared" si="253"/>
        <v/>
      </c>
      <c r="GV1758" s="708" t="str">
        <f t="shared" si="254"/>
        <v/>
      </c>
      <c r="GW1758" s="708" t="str">
        <f t="shared" si="255"/>
        <v/>
      </c>
      <c r="GX1758" s="708" t="str">
        <f t="shared" si="256"/>
        <v/>
      </c>
      <c r="GY1758" s="708" t="str">
        <f t="shared" si="257"/>
        <v/>
      </c>
      <c r="GZ1758" s="708" t="str">
        <f t="shared" si="258"/>
        <v/>
      </c>
      <c r="HA1758" s="708" t="str">
        <f t="shared" si="259"/>
        <v/>
      </c>
      <c r="HB1758" s="708" t="str">
        <f t="shared" si="260"/>
        <v/>
      </c>
      <c r="HC1758" s="708" t="str">
        <f t="shared" si="261"/>
        <v/>
      </c>
      <c r="HD1758" s="708" t="str">
        <f t="shared" si="262"/>
        <v/>
      </c>
      <c r="HE1758" s="708" t="str">
        <f t="shared" si="263"/>
        <v/>
      </c>
      <c r="HF1758" s="708" t="str">
        <f t="shared" si="264"/>
        <v/>
      </c>
      <c r="HG1758" s="708" t="str">
        <f t="shared" si="265"/>
        <v/>
      </c>
      <c r="HH1758" s="708" t="str">
        <f t="shared" si="266"/>
        <v/>
      </c>
      <c r="HI1758" s="708" t="str">
        <f t="shared" si="267"/>
        <v/>
      </c>
      <c r="HJ1758" s="708" t="str">
        <f t="shared" si="268"/>
        <v/>
      </c>
      <c r="HK1758" s="708" t="str">
        <f t="shared" si="269"/>
        <v/>
      </c>
    </row>
    <row r="1759" spans="1:219" ht="13.15" customHeight="1">
      <c r="A1759" s="708" t="str">
        <f t="shared" si="270"/>
        <v/>
      </c>
      <c r="B1759" s="708">
        <f>'Part VI-Revenues &amp; Expenses'!B44</f>
        <v>0</v>
      </c>
      <c r="C1759" s="708">
        <f>'Part VI-Revenues &amp; Expenses'!C44</f>
        <v>0</v>
      </c>
      <c r="D1759" s="708">
        <f>'Part VI-Revenues &amp; Expenses'!D44</f>
        <v>0</v>
      </c>
      <c r="E1759" s="708">
        <f>'Part VI-Revenues &amp; Expenses'!E44</f>
        <v>0</v>
      </c>
      <c r="F1759" s="708">
        <f>'Part VI-Revenues &amp; Expenses'!F44</f>
        <v>0</v>
      </c>
      <c r="G1759" s="708">
        <f>'Part VI-Revenues &amp; Expenses'!G44</f>
        <v>0</v>
      </c>
      <c r="H1759" s="708">
        <f>'Part VI-Revenues &amp; Expenses'!H44</f>
        <v>0</v>
      </c>
      <c r="I1759" s="708">
        <f>'Part VI-Revenues &amp; Expenses'!I44</f>
        <v>0</v>
      </c>
      <c r="J1759" s="708">
        <f>'Part VI-Revenues &amp; Expenses'!J44</f>
        <v>0</v>
      </c>
      <c r="K1759" s="708">
        <f t="shared" si="303"/>
        <v>0</v>
      </c>
      <c r="L1759" s="708">
        <f t="shared" si="99"/>
        <v>0</v>
      </c>
      <c r="M1759" s="708">
        <f>'Part VI-Revenues &amp; Expenses'!M44</f>
        <v>0</v>
      </c>
      <c r="N1759" s="708">
        <f>'Part VI-Revenues &amp; Expenses'!N44</f>
        <v>0</v>
      </c>
      <c r="O1759" s="708">
        <f>'Part VI-Revenues &amp; Expenses'!O44</f>
        <v>0</v>
      </c>
      <c r="P1759" s="708" t="str">
        <f>'Part VI-Revenues &amp; Expenses'!P44</f>
        <v/>
      </c>
      <c r="Q1759" s="708" t="str">
        <f>'Part VI-Revenues &amp; Expenses'!Q44</f>
        <v/>
      </c>
      <c r="R1759" s="708">
        <f>'Part VI-Revenues &amp; Expenses'!R44</f>
        <v>0</v>
      </c>
      <c r="T1759" s="708" t="str">
        <f t="shared" si="100"/>
        <v/>
      </c>
      <c r="U1759" s="708" t="str">
        <f t="shared" si="101"/>
        <v/>
      </c>
      <c r="V1759" s="708" t="str">
        <f t="shared" si="102"/>
        <v/>
      </c>
      <c r="W1759" s="708" t="str">
        <f t="shared" si="103"/>
        <v/>
      </c>
      <c r="X1759" s="708" t="str">
        <f t="shared" si="104"/>
        <v/>
      </c>
      <c r="Y1759" s="708" t="str">
        <f t="shared" si="105"/>
        <v/>
      </c>
      <c r="Z1759" s="708" t="str">
        <f t="shared" si="106"/>
        <v/>
      </c>
      <c r="AA1759" s="708" t="str">
        <f t="shared" si="107"/>
        <v/>
      </c>
      <c r="AB1759" s="708" t="str">
        <f t="shared" si="108"/>
        <v/>
      </c>
      <c r="AC1759" s="708" t="str">
        <f t="shared" si="109"/>
        <v/>
      </c>
      <c r="AD1759" s="708" t="str">
        <f t="shared" si="110"/>
        <v/>
      </c>
      <c r="AE1759" s="708" t="str">
        <f t="shared" si="111"/>
        <v/>
      </c>
      <c r="AF1759" s="708" t="str">
        <f t="shared" si="112"/>
        <v/>
      </c>
      <c r="AG1759" s="708" t="str">
        <f t="shared" si="113"/>
        <v/>
      </c>
      <c r="AH1759" s="708" t="str">
        <f t="shared" si="114"/>
        <v/>
      </c>
      <c r="AI1759" s="708" t="str">
        <f t="shared" si="115"/>
        <v/>
      </c>
      <c r="AJ1759" s="708" t="str">
        <f t="shared" si="116"/>
        <v/>
      </c>
      <c r="AK1759" s="708" t="str">
        <f t="shared" si="117"/>
        <v/>
      </c>
      <c r="AL1759" s="708" t="str">
        <f t="shared" si="118"/>
        <v/>
      </c>
      <c r="AM1759" s="708" t="str">
        <f t="shared" si="119"/>
        <v/>
      </c>
      <c r="AN1759" s="708" t="str">
        <f t="shared" si="272"/>
        <v/>
      </c>
      <c r="AO1759" s="708" t="str">
        <f t="shared" si="273"/>
        <v/>
      </c>
      <c r="AP1759" s="708" t="str">
        <f t="shared" si="274"/>
        <v/>
      </c>
      <c r="AQ1759" s="708" t="str">
        <f t="shared" si="275"/>
        <v/>
      </c>
      <c r="AR1759" s="708" t="str">
        <f t="shared" si="276"/>
        <v/>
      </c>
      <c r="AS1759" s="708" t="str">
        <f t="shared" si="277"/>
        <v/>
      </c>
      <c r="AT1759" s="708" t="str">
        <f t="shared" si="278"/>
        <v/>
      </c>
      <c r="AU1759" s="708" t="str">
        <f t="shared" si="279"/>
        <v/>
      </c>
      <c r="AV1759" s="708" t="str">
        <f t="shared" si="280"/>
        <v/>
      </c>
      <c r="AW1759" s="708" t="str">
        <f t="shared" si="281"/>
        <v/>
      </c>
      <c r="AX1759" s="708" t="str">
        <f t="shared" si="282"/>
        <v/>
      </c>
      <c r="AY1759" s="708" t="str">
        <f t="shared" si="283"/>
        <v/>
      </c>
      <c r="AZ1759" s="708" t="str">
        <f t="shared" si="284"/>
        <v/>
      </c>
      <c r="BA1759" s="708" t="str">
        <f t="shared" si="285"/>
        <v/>
      </c>
      <c r="BB1759" s="708" t="str">
        <f t="shared" si="286"/>
        <v/>
      </c>
      <c r="BC1759" s="708" t="str">
        <f t="shared" si="287"/>
        <v/>
      </c>
      <c r="BD1759" s="708" t="str">
        <f t="shared" si="288"/>
        <v/>
      </c>
      <c r="BE1759" s="708" t="str">
        <f t="shared" si="289"/>
        <v/>
      </c>
      <c r="BF1759" s="708" t="str">
        <f t="shared" si="290"/>
        <v/>
      </c>
      <c r="BG1759" s="708" t="str">
        <f t="shared" si="291"/>
        <v/>
      </c>
      <c r="BH1759" s="708" t="str">
        <f t="shared" si="292"/>
        <v/>
      </c>
      <c r="BI1759" s="708" t="str">
        <f t="shared" si="293"/>
        <v/>
      </c>
      <c r="BJ1759" s="708" t="str">
        <f t="shared" si="294"/>
        <v/>
      </c>
      <c r="BK1759" s="708" t="str">
        <f t="shared" si="295"/>
        <v/>
      </c>
      <c r="BL1759" s="708" t="str">
        <f t="shared" si="296"/>
        <v/>
      </c>
      <c r="BM1759" s="708" t="str">
        <f t="shared" si="297"/>
        <v/>
      </c>
      <c r="BN1759" s="708" t="str">
        <f t="shared" si="298"/>
        <v/>
      </c>
      <c r="BO1759" s="708" t="str">
        <f t="shared" si="299"/>
        <v/>
      </c>
      <c r="BP1759" s="708" t="str">
        <f t="shared" si="300"/>
        <v/>
      </c>
      <c r="BQ1759" s="708" t="str">
        <f t="shared" si="301"/>
        <v/>
      </c>
      <c r="BR1759" s="708" t="str">
        <f t="shared" si="120"/>
        <v/>
      </c>
      <c r="BS1759" s="708" t="str">
        <f t="shared" si="121"/>
        <v/>
      </c>
      <c r="BT1759" s="708" t="str">
        <f t="shared" si="122"/>
        <v/>
      </c>
      <c r="BU1759" s="708" t="str">
        <f t="shared" si="123"/>
        <v/>
      </c>
      <c r="BV1759" s="708" t="str">
        <f t="shared" si="124"/>
        <v/>
      </c>
      <c r="BW1759" s="708" t="str">
        <f t="shared" si="125"/>
        <v/>
      </c>
      <c r="BX1759" s="708" t="str">
        <f t="shared" si="126"/>
        <v/>
      </c>
      <c r="BY1759" s="708" t="str">
        <f t="shared" si="127"/>
        <v/>
      </c>
      <c r="BZ1759" s="708" t="str">
        <f t="shared" si="128"/>
        <v/>
      </c>
      <c r="CA1759" s="708" t="str">
        <f t="shared" si="129"/>
        <v/>
      </c>
      <c r="CB1759" s="708" t="str">
        <f t="shared" si="130"/>
        <v/>
      </c>
      <c r="CC1759" s="708" t="str">
        <f t="shared" si="131"/>
        <v/>
      </c>
      <c r="CD1759" s="708" t="str">
        <f t="shared" si="132"/>
        <v/>
      </c>
      <c r="CE1759" s="708" t="str">
        <f t="shared" si="133"/>
        <v/>
      </c>
      <c r="CF1759" s="708" t="str">
        <f t="shared" si="134"/>
        <v/>
      </c>
      <c r="CG1759" s="708" t="str">
        <f t="shared" si="135"/>
        <v/>
      </c>
      <c r="CH1759" s="708" t="str">
        <f t="shared" si="136"/>
        <v/>
      </c>
      <c r="CI1759" s="708" t="str">
        <f t="shared" si="137"/>
        <v/>
      </c>
      <c r="CJ1759" s="708" t="str">
        <f t="shared" si="138"/>
        <v/>
      </c>
      <c r="CK1759" s="708" t="str">
        <f t="shared" si="139"/>
        <v/>
      </c>
      <c r="CL1759" s="708" t="str">
        <f t="shared" si="140"/>
        <v/>
      </c>
      <c r="CM1759" s="708" t="str">
        <f t="shared" si="141"/>
        <v/>
      </c>
      <c r="CN1759" s="708" t="str">
        <f t="shared" si="142"/>
        <v/>
      </c>
      <c r="CO1759" s="708" t="str">
        <f t="shared" si="143"/>
        <v/>
      </c>
      <c r="CP1759" s="708" t="str">
        <f t="shared" si="144"/>
        <v/>
      </c>
      <c r="CQ1759" s="708" t="str">
        <f t="shared" si="145"/>
        <v/>
      </c>
      <c r="CR1759" s="708" t="str">
        <f t="shared" si="146"/>
        <v/>
      </c>
      <c r="CS1759" s="708" t="str">
        <f t="shared" si="147"/>
        <v/>
      </c>
      <c r="CT1759" s="708" t="str">
        <f t="shared" si="148"/>
        <v/>
      </c>
      <c r="CU1759" s="708" t="str">
        <f t="shared" si="149"/>
        <v/>
      </c>
      <c r="CV1759" s="708" t="str">
        <f t="shared" si="150"/>
        <v/>
      </c>
      <c r="CW1759" s="708" t="str">
        <f t="shared" si="151"/>
        <v/>
      </c>
      <c r="CX1759" s="708" t="str">
        <f t="shared" si="152"/>
        <v/>
      </c>
      <c r="CY1759" s="708" t="str">
        <f t="shared" si="153"/>
        <v/>
      </c>
      <c r="CZ1759" s="708" t="str">
        <f t="shared" si="154"/>
        <v/>
      </c>
      <c r="DA1759" s="708" t="str">
        <f t="shared" si="155"/>
        <v/>
      </c>
      <c r="DB1759" s="708" t="str">
        <f t="shared" si="156"/>
        <v/>
      </c>
      <c r="DC1759" s="708" t="str">
        <f t="shared" si="157"/>
        <v/>
      </c>
      <c r="DD1759" s="708" t="str">
        <f t="shared" si="158"/>
        <v/>
      </c>
      <c r="DE1759" s="708" t="str">
        <f t="shared" si="159"/>
        <v/>
      </c>
      <c r="DF1759" s="708" t="str">
        <f t="shared" si="160"/>
        <v/>
      </c>
      <c r="DG1759" s="708" t="str">
        <f t="shared" si="161"/>
        <v/>
      </c>
      <c r="DH1759" s="708" t="str">
        <f t="shared" si="162"/>
        <v/>
      </c>
      <c r="DI1759" s="708" t="str">
        <f t="shared" si="163"/>
        <v/>
      </c>
      <c r="DJ1759" s="708" t="str">
        <f t="shared" si="164"/>
        <v/>
      </c>
      <c r="DK1759" s="708" t="str">
        <f t="shared" si="165"/>
        <v/>
      </c>
      <c r="DL1759" s="708" t="str">
        <f t="shared" si="166"/>
        <v/>
      </c>
      <c r="DM1759" s="708" t="str">
        <f t="shared" si="167"/>
        <v/>
      </c>
      <c r="DN1759" s="708" t="str">
        <f t="shared" si="168"/>
        <v/>
      </c>
      <c r="DO1759" s="708" t="str">
        <f t="shared" si="169"/>
        <v/>
      </c>
      <c r="DP1759" s="708" t="str">
        <f t="shared" si="170"/>
        <v/>
      </c>
      <c r="DQ1759" s="708" t="str">
        <f t="shared" si="171"/>
        <v/>
      </c>
      <c r="DR1759" s="708" t="str">
        <f t="shared" si="172"/>
        <v/>
      </c>
      <c r="DS1759" s="708" t="str">
        <f t="shared" si="173"/>
        <v/>
      </c>
      <c r="DT1759" s="708" t="str">
        <f t="shared" si="174"/>
        <v/>
      </c>
      <c r="DU1759" s="708" t="str">
        <f t="shared" si="175"/>
        <v/>
      </c>
      <c r="DV1759" s="708" t="str">
        <f t="shared" si="176"/>
        <v/>
      </c>
      <c r="DW1759" s="708" t="str">
        <f t="shared" si="177"/>
        <v/>
      </c>
      <c r="DX1759" s="708" t="str">
        <f t="shared" si="178"/>
        <v/>
      </c>
      <c r="DY1759" s="708" t="str">
        <f t="shared" si="179"/>
        <v/>
      </c>
      <c r="DZ1759" s="708" t="str">
        <f t="shared" si="180"/>
        <v/>
      </c>
      <c r="EA1759" s="708" t="str">
        <f t="shared" si="181"/>
        <v/>
      </c>
      <c r="EB1759" s="708" t="str">
        <f t="shared" si="182"/>
        <v/>
      </c>
      <c r="EC1759" s="708" t="str">
        <f t="shared" si="183"/>
        <v/>
      </c>
      <c r="ED1759" s="708" t="str">
        <f t="shared" si="184"/>
        <v/>
      </c>
      <c r="EE1759" s="708" t="str">
        <f t="shared" si="185"/>
        <v/>
      </c>
      <c r="EF1759" s="708" t="str">
        <f t="shared" si="186"/>
        <v/>
      </c>
      <c r="EG1759" s="708" t="str">
        <f t="shared" si="187"/>
        <v/>
      </c>
      <c r="EH1759" s="708" t="str">
        <f t="shared" si="188"/>
        <v/>
      </c>
      <c r="EI1759" s="708" t="str">
        <f t="shared" si="189"/>
        <v/>
      </c>
      <c r="EJ1759" s="708" t="str">
        <f t="shared" si="190"/>
        <v/>
      </c>
      <c r="EK1759" s="708" t="str">
        <f t="shared" si="191"/>
        <v/>
      </c>
      <c r="EL1759" s="708" t="str">
        <f t="shared" si="192"/>
        <v/>
      </c>
      <c r="EM1759" s="708" t="str">
        <f t="shared" si="193"/>
        <v/>
      </c>
      <c r="EN1759" s="708" t="str">
        <f t="shared" si="194"/>
        <v/>
      </c>
      <c r="EO1759" s="708" t="str">
        <f t="shared" si="195"/>
        <v/>
      </c>
      <c r="EP1759" s="708" t="str">
        <f t="shared" si="196"/>
        <v/>
      </c>
      <c r="EQ1759" s="708" t="str">
        <f t="shared" si="197"/>
        <v/>
      </c>
      <c r="ER1759" s="708" t="str">
        <f t="shared" si="198"/>
        <v/>
      </c>
      <c r="ES1759" s="708" t="str">
        <f t="shared" si="199"/>
        <v/>
      </c>
      <c r="ET1759" s="708" t="str">
        <f t="shared" si="200"/>
        <v/>
      </c>
      <c r="EU1759" s="708" t="str">
        <f t="shared" si="201"/>
        <v/>
      </c>
      <c r="EV1759" s="708" t="str">
        <f t="shared" si="202"/>
        <v/>
      </c>
      <c r="EW1759" s="708" t="str">
        <f t="shared" si="203"/>
        <v/>
      </c>
      <c r="EX1759" s="708" t="str">
        <f t="shared" si="204"/>
        <v/>
      </c>
      <c r="EY1759" s="708" t="str">
        <f t="shared" si="205"/>
        <v/>
      </c>
      <c r="EZ1759" s="708" t="str">
        <f t="shared" si="206"/>
        <v/>
      </c>
      <c r="FA1759" s="708" t="str">
        <f t="shared" si="207"/>
        <v/>
      </c>
      <c r="FB1759" s="708" t="str">
        <f t="shared" si="208"/>
        <v/>
      </c>
      <c r="FC1759" s="708" t="str">
        <f t="shared" si="209"/>
        <v/>
      </c>
      <c r="FD1759" s="708" t="str">
        <f t="shared" si="210"/>
        <v/>
      </c>
      <c r="FE1759" s="708" t="str">
        <f t="shared" si="211"/>
        <v/>
      </c>
      <c r="FF1759" s="708" t="str">
        <f t="shared" si="212"/>
        <v/>
      </c>
      <c r="FG1759" s="708" t="str">
        <f t="shared" si="213"/>
        <v/>
      </c>
      <c r="FH1759" s="708" t="str">
        <f t="shared" si="214"/>
        <v/>
      </c>
      <c r="FI1759" s="708" t="str">
        <f t="shared" si="215"/>
        <v/>
      </c>
      <c r="FJ1759" s="708" t="str">
        <f t="shared" si="216"/>
        <v/>
      </c>
      <c r="FK1759" s="708" t="str">
        <f t="shared" si="217"/>
        <v/>
      </c>
      <c r="FL1759" s="708" t="str">
        <f t="shared" si="218"/>
        <v/>
      </c>
      <c r="FM1759" s="708" t="str">
        <f t="shared" si="219"/>
        <v/>
      </c>
      <c r="FN1759" s="708" t="str">
        <f t="shared" si="220"/>
        <v/>
      </c>
      <c r="FO1759" s="708" t="str">
        <f t="shared" si="221"/>
        <v/>
      </c>
      <c r="FP1759" s="708" t="str">
        <f t="shared" si="222"/>
        <v/>
      </c>
      <c r="FQ1759" s="708" t="str">
        <f t="shared" si="223"/>
        <v/>
      </c>
      <c r="FR1759" s="708" t="str">
        <f t="shared" si="224"/>
        <v/>
      </c>
      <c r="FS1759" s="708" t="str">
        <f t="shared" si="225"/>
        <v/>
      </c>
      <c r="FT1759" s="708" t="str">
        <f t="shared" si="226"/>
        <v/>
      </c>
      <c r="FU1759" s="708" t="str">
        <f t="shared" si="227"/>
        <v/>
      </c>
      <c r="FV1759" s="708" t="str">
        <f t="shared" si="228"/>
        <v/>
      </c>
      <c r="FW1759" s="708" t="str">
        <f t="shared" si="229"/>
        <v/>
      </c>
      <c r="FX1759" s="708" t="str">
        <f t="shared" si="230"/>
        <v/>
      </c>
      <c r="FY1759" s="708" t="str">
        <f t="shared" si="231"/>
        <v/>
      </c>
      <c r="FZ1759" s="708" t="str">
        <f t="shared" si="232"/>
        <v/>
      </c>
      <c r="GA1759" s="708" t="str">
        <f t="shared" si="233"/>
        <v/>
      </c>
      <c r="GB1759" s="708" t="str">
        <f t="shared" si="234"/>
        <v/>
      </c>
      <c r="GC1759" s="708" t="str">
        <f t="shared" si="235"/>
        <v/>
      </c>
      <c r="GD1759" s="708" t="str">
        <f t="shared" si="236"/>
        <v/>
      </c>
      <c r="GE1759" s="708" t="str">
        <f t="shared" si="237"/>
        <v/>
      </c>
      <c r="GF1759" s="708" t="str">
        <f t="shared" si="238"/>
        <v/>
      </c>
      <c r="GG1759" s="708" t="str">
        <f t="shared" si="239"/>
        <v/>
      </c>
      <c r="GH1759" s="708" t="str">
        <f t="shared" si="240"/>
        <v/>
      </c>
      <c r="GI1759" s="708" t="str">
        <f t="shared" si="241"/>
        <v/>
      </c>
      <c r="GJ1759" s="708" t="str">
        <f t="shared" si="242"/>
        <v/>
      </c>
      <c r="GK1759" s="708" t="str">
        <f t="shared" si="243"/>
        <v/>
      </c>
      <c r="GL1759" s="708" t="str">
        <f t="shared" si="244"/>
        <v/>
      </c>
      <c r="GM1759" s="708" t="str">
        <f t="shared" si="245"/>
        <v/>
      </c>
      <c r="GN1759" s="708" t="str">
        <f t="shared" si="246"/>
        <v/>
      </c>
      <c r="GO1759" s="708" t="str">
        <f t="shared" si="247"/>
        <v/>
      </c>
      <c r="GP1759" s="708" t="str">
        <f t="shared" si="248"/>
        <v/>
      </c>
      <c r="GQ1759" s="708" t="str">
        <f t="shared" si="249"/>
        <v/>
      </c>
      <c r="GR1759" s="708" t="str">
        <f t="shared" si="250"/>
        <v/>
      </c>
      <c r="GS1759" s="708" t="str">
        <f t="shared" si="251"/>
        <v/>
      </c>
      <c r="GT1759" s="708" t="str">
        <f t="shared" si="252"/>
        <v/>
      </c>
      <c r="GU1759" s="708" t="str">
        <f t="shared" si="253"/>
        <v/>
      </c>
      <c r="GV1759" s="708" t="str">
        <f t="shared" si="254"/>
        <v/>
      </c>
      <c r="GW1759" s="708" t="str">
        <f t="shared" si="255"/>
        <v/>
      </c>
      <c r="GX1759" s="708" t="str">
        <f t="shared" si="256"/>
        <v/>
      </c>
      <c r="GY1759" s="708" t="str">
        <f t="shared" si="257"/>
        <v/>
      </c>
      <c r="GZ1759" s="708" t="str">
        <f t="shared" si="258"/>
        <v/>
      </c>
      <c r="HA1759" s="708" t="str">
        <f t="shared" si="259"/>
        <v/>
      </c>
      <c r="HB1759" s="708" t="str">
        <f t="shared" si="260"/>
        <v/>
      </c>
      <c r="HC1759" s="708" t="str">
        <f t="shared" si="261"/>
        <v/>
      </c>
      <c r="HD1759" s="708" t="str">
        <f t="shared" si="262"/>
        <v/>
      </c>
      <c r="HE1759" s="708" t="str">
        <f t="shared" si="263"/>
        <v/>
      </c>
      <c r="HF1759" s="708" t="str">
        <f t="shared" si="264"/>
        <v/>
      </c>
      <c r="HG1759" s="708" t="str">
        <f t="shared" si="265"/>
        <v/>
      </c>
      <c r="HH1759" s="708" t="str">
        <f t="shared" si="266"/>
        <v/>
      </c>
      <c r="HI1759" s="708" t="str">
        <f t="shared" si="267"/>
        <v/>
      </c>
      <c r="HJ1759" s="708" t="str">
        <f t="shared" si="268"/>
        <v/>
      </c>
      <c r="HK1759" s="708" t="str">
        <f t="shared" si="269"/>
        <v/>
      </c>
    </row>
    <row r="1760" spans="1:219" ht="13.15" customHeight="1">
      <c r="A1760" s="708" t="str">
        <f t="shared" si="270"/>
        <v/>
      </c>
      <c r="B1760" s="708">
        <f>'Part VI-Revenues &amp; Expenses'!B45</f>
        <v>0</v>
      </c>
      <c r="C1760" s="708">
        <f>'Part VI-Revenues &amp; Expenses'!C45</f>
        <v>0</v>
      </c>
      <c r="D1760" s="708">
        <f>'Part VI-Revenues &amp; Expenses'!D45</f>
        <v>0</v>
      </c>
      <c r="E1760" s="708">
        <f>'Part VI-Revenues &amp; Expenses'!E45</f>
        <v>0</v>
      </c>
      <c r="F1760" s="708">
        <f>'Part VI-Revenues &amp; Expenses'!F45</f>
        <v>0</v>
      </c>
      <c r="G1760" s="708">
        <f>'Part VI-Revenues &amp; Expenses'!G45</f>
        <v>0</v>
      </c>
      <c r="H1760" s="708">
        <f>'Part VI-Revenues &amp; Expenses'!H45</f>
        <v>0</v>
      </c>
      <c r="I1760" s="708">
        <f>'Part VI-Revenues &amp; Expenses'!I45</f>
        <v>0</v>
      </c>
      <c r="J1760" s="708">
        <f>'Part VI-Revenues &amp; Expenses'!J45</f>
        <v>0</v>
      </c>
      <c r="K1760" s="708">
        <f t="shared" si="303"/>
        <v>0</v>
      </c>
      <c r="L1760" s="708">
        <f t="shared" si="99"/>
        <v>0</v>
      </c>
      <c r="M1760" s="708">
        <f>'Part VI-Revenues &amp; Expenses'!M45</f>
        <v>0</v>
      </c>
      <c r="N1760" s="708">
        <f>'Part VI-Revenues &amp; Expenses'!N45</f>
        <v>0</v>
      </c>
      <c r="O1760" s="708">
        <f>'Part VI-Revenues &amp; Expenses'!O45</f>
        <v>0</v>
      </c>
      <c r="P1760" s="708" t="str">
        <f>'Part VI-Revenues &amp; Expenses'!P45</f>
        <v/>
      </c>
      <c r="Q1760" s="708" t="str">
        <f>'Part VI-Revenues &amp; Expenses'!Q45</f>
        <v/>
      </c>
      <c r="R1760" s="708">
        <f>'Part VI-Revenues &amp; Expenses'!R45</f>
        <v>0</v>
      </c>
      <c r="T1760" s="708" t="str">
        <f t="shared" si="100"/>
        <v/>
      </c>
      <c r="U1760" s="708" t="str">
        <f t="shared" si="101"/>
        <v/>
      </c>
      <c r="V1760" s="708" t="str">
        <f t="shared" si="102"/>
        <v/>
      </c>
      <c r="W1760" s="708" t="str">
        <f t="shared" si="103"/>
        <v/>
      </c>
      <c r="X1760" s="708" t="str">
        <f t="shared" si="104"/>
        <v/>
      </c>
      <c r="Y1760" s="708" t="str">
        <f t="shared" si="105"/>
        <v/>
      </c>
      <c r="Z1760" s="708" t="str">
        <f t="shared" si="106"/>
        <v/>
      </c>
      <c r="AA1760" s="708" t="str">
        <f t="shared" si="107"/>
        <v/>
      </c>
      <c r="AB1760" s="708" t="str">
        <f t="shared" si="108"/>
        <v/>
      </c>
      <c r="AC1760" s="708" t="str">
        <f t="shared" si="109"/>
        <v/>
      </c>
      <c r="AD1760" s="708" t="str">
        <f t="shared" si="110"/>
        <v/>
      </c>
      <c r="AE1760" s="708" t="str">
        <f t="shared" si="111"/>
        <v/>
      </c>
      <c r="AF1760" s="708" t="str">
        <f t="shared" si="112"/>
        <v/>
      </c>
      <c r="AG1760" s="708" t="str">
        <f t="shared" si="113"/>
        <v/>
      </c>
      <c r="AH1760" s="708" t="str">
        <f t="shared" si="114"/>
        <v/>
      </c>
      <c r="AI1760" s="708" t="str">
        <f t="shared" si="115"/>
        <v/>
      </c>
      <c r="AJ1760" s="708" t="str">
        <f t="shared" si="116"/>
        <v/>
      </c>
      <c r="AK1760" s="708" t="str">
        <f t="shared" si="117"/>
        <v/>
      </c>
      <c r="AL1760" s="708" t="str">
        <f t="shared" si="118"/>
        <v/>
      </c>
      <c r="AM1760" s="708" t="str">
        <f t="shared" si="119"/>
        <v/>
      </c>
      <c r="AN1760" s="708" t="str">
        <f t="shared" si="272"/>
        <v/>
      </c>
      <c r="AO1760" s="708" t="str">
        <f t="shared" si="273"/>
        <v/>
      </c>
      <c r="AP1760" s="708" t="str">
        <f t="shared" si="274"/>
        <v/>
      </c>
      <c r="AQ1760" s="708" t="str">
        <f t="shared" si="275"/>
        <v/>
      </c>
      <c r="AR1760" s="708" t="str">
        <f t="shared" si="276"/>
        <v/>
      </c>
      <c r="AS1760" s="708" t="str">
        <f t="shared" si="277"/>
        <v/>
      </c>
      <c r="AT1760" s="708" t="str">
        <f t="shared" si="278"/>
        <v/>
      </c>
      <c r="AU1760" s="708" t="str">
        <f t="shared" si="279"/>
        <v/>
      </c>
      <c r="AV1760" s="708" t="str">
        <f t="shared" si="280"/>
        <v/>
      </c>
      <c r="AW1760" s="708" t="str">
        <f t="shared" si="281"/>
        <v/>
      </c>
      <c r="AX1760" s="708" t="str">
        <f t="shared" si="282"/>
        <v/>
      </c>
      <c r="AY1760" s="708" t="str">
        <f t="shared" si="283"/>
        <v/>
      </c>
      <c r="AZ1760" s="708" t="str">
        <f t="shared" si="284"/>
        <v/>
      </c>
      <c r="BA1760" s="708" t="str">
        <f t="shared" si="285"/>
        <v/>
      </c>
      <c r="BB1760" s="708" t="str">
        <f t="shared" si="286"/>
        <v/>
      </c>
      <c r="BC1760" s="708" t="str">
        <f t="shared" si="287"/>
        <v/>
      </c>
      <c r="BD1760" s="708" t="str">
        <f t="shared" si="288"/>
        <v/>
      </c>
      <c r="BE1760" s="708" t="str">
        <f t="shared" si="289"/>
        <v/>
      </c>
      <c r="BF1760" s="708" t="str">
        <f t="shared" si="290"/>
        <v/>
      </c>
      <c r="BG1760" s="708" t="str">
        <f t="shared" si="291"/>
        <v/>
      </c>
      <c r="BH1760" s="708" t="str">
        <f t="shared" si="292"/>
        <v/>
      </c>
      <c r="BI1760" s="708" t="str">
        <f t="shared" si="293"/>
        <v/>
      </c>
      <c r="BJ1760" s="708" t="str">
        <f t="shared" si="294"/>
        <v/>
      </c>
      <c r="BK1760" s="708" t="str">
        <f t="shared" si="295"/>
        <v/>
      </c>
      <c r="BL1760" s="708" t="str">
        <f t="shared" si="296"/>
        <v/>
      </c>
      <c r="BM1760" s="708" t="str">
        <f t="shared" si="297"/>
        <v/>
      </c>
      <c r="BN1760" s="708" t="str">
        <f t="shared" si="298"/>
        <v/>
      </c>
      <c r="BO1760" s="708" t="str">
        <f t="shared" si="299"/>
        <v/>
      </c>
      <c r="BP1760" s="708" t="str">
        <f t="shared" si="300"/>
        <v/>
      </c>
      <c r="BQ1760" s="708" t="str">
        <f t="shared" si="301"/>
        <v/>
      </c>
      <c r="BR1760" s="708" t="str">
        <f t="shared" si="120"/>
        <v/>
      </c>
      <c r="BS1760" s="708" t="str">
        <f t="shared" si="121"/>
        <v/>
      </c>
      <c r="BT1760" s="708" t="str">
        <f t="shared" si="122"/>
        <v/>
      </c>
      <c r="BU1760" s="708" t="str">
        <f t="shared" si="123"/>
        <v/>
      </c>
      <c r="BV1760" s="708" t="str">
        <f t="shared" si="124"/>
        <v/>
      </c>
      <c r="BW1760" s="708" t="str">
        <f t="shared" si="125"/>
        <v/>
      </c>
      <c r="BX1760" s="708" t="str">
        <f t="shared" si="126"/>
        <v/>
      </c>
      <c r="BY1760" s="708" t="str">
        <f t="shared" si="127"/>
        <v/>
      </c>
      <c r="BZ1760" s="708" t="str">
        <f t="shared" si="128"/>
        <v/>
      </c>
      <c r="CA1760" s="708" t="str">
        <f t="shared" si="129"/>
        <v/>
      </c>
      <c r="CB1760" s="708" t="str">
        <f t="shared" si="130"/>
        <v/>
      </c>
      <c r="CC1760" s="708" t="str">
        <f t="shared" si="131"/>
        <v/>
      </c>
      <c r="CD1760" s="708" t="str">
        <f t="shared" si="132"/>
        <v/>
      </c>
      <c r="CE1760" s="708" t="str">
        <f t="shared" si="133"/>
        <v/>
      </c>
      <c r="CF1760" s="708" t="str">
        <f t="shared" si="134"/>
        <v/>
      </c>
      <c r="CG1760" s="708" t="str">
        <f t="shared" si="135"/>
        <v/>
      </c>
      <c r="CH1760" s="708" t="str">
        <f t="shared" si="136"/>
        <v/>
      </c>
      <c r="CI1760" s="708" t="str">
        <f t="shared" si="137"/>
        <v/>
      </c>
      <c r="CJ1760" s="708" t="str">
        <f t="shared" si="138"/>
        <v/>
      </c>
      <c r="CK1760" s="708" t="str">
        <f t="shared" si="139"/>
        <v/>
      </c>
      <c r="CL1760" s="708" t="str">
        <f t="shared" si="140"/>
        <v/>
      </c>
      <c r="CM1760" s="708" t="str">
        <f t="shared" si="141"/>
        <v/>
      </c>
      <c r="CN1760" s="708" t="str">
        <f t="shared" si="142"/>
        <v/>
      </c>
      <c r="CO1760" s="708" t="str">
        <f t="shared" si="143"/>
        <v/>
      </c>
      <c r="CP1760" s="708" t="str">
        <f t="shared" si="144"/>
        <v/>
      </c>
      <c r="CQ1760" s="708" t="str">
        <f t="shared" si="145"/>
        <v/>
      </c>
      <c r="CR1760" s="708" t="str">
        <f t="shared" si="146"/>
        <v/>
      </c>
      <c r="CS1760" s="708" t="str">
        <f t="shared" si="147"/>
        <v/>
      </c>
      <c r="CT1760" s="708" t="str">
        <f t="shared" si="148"/>
        <v/>
      </c>
      <c r="CU1760" s="708" t="str">
        <f t="shared" si="149"/>
        <v/>
      </c>
      <c r="CV1760" s="708" t="str">
        <f t="shared" si="150"/>
        <v/>
      </c>
      <c r="CW1760" s="708" t="str">
        <f t="shared" si="151"/>
        <v/>
      </c>
      <c r="CX1760" s="708" t="str">
        <f t="shared" si="152"/>
        <v/>
      </c>
      <c r="CY1760" s="708" t="str">
        <f t="shared" si="153"/>
        <v/>
      </c>
      <c r="CZ1760" s="708" t="str">
        <f t="shared" si="154"/>
        <v/>
      </c>
      <c r="DA1760" s="708" t="str">
        <f t="shared" si="155"/>
        <v/>
      </c>
      <c r="DB1760" s="708" t="str">
        <f t="shared" si="156"/>
        <v/>
      </c>
      <c r="DC1760" s="708" t="str">
        <f t="shared" si="157"/>
        <v/>
      </c>
      <c r="DD1760" s="708" t="str">
        <f t="shared" si="158"/>
        <v/>
      </c>
      <c r="DE1760" s="708" t="str">
        <f t="shared" si="159"/>
        <v/>
      </c>
      <c r="DF1760" s="708" t="str">
        <f t="shared" si="160"/>
        <v/>
      </c>
      <c r="DG1760" s="708" t="str">
        <f t="shared" si="161"/>
        <v/>
      </c>
      <c r="DH1760" s="708" t="str">
        <f t="shared" si="162"/>
        <v/>
      </c>
      <c r="DI1760" s="708" t="str">
        <f t="shared" si="163"/>
        <v/>
      </c>
      <c r="DJ1760" s="708" t="str">
        <f t="shared" si="164"/>
        <v/>
      </c>
      <c r="DK1760" s="708" t="str">
        <f t="shared" si="165"/>
        <v/>
      </c>
      <c r="DL1760" s="708" t="str">
        <f t="shared" si="166"/>
        <v/>
      </c>
      <c r="DM1760" s="708" t="str">
        <f t="shared" si="167"/>
        <v/>
      </c>
      <c r="DN1760" s="708" t="str">
        <f t="shared" si="168"/>
        <v/>
      </c>
      <c r="DO1760" s="708" t="str">
        <f t="shared" si="169"/>
        <v/>
      </c>
      <c r="DP1760" s="708" t="str">
        <f t="shared" si="170"/>
        <v/>
      </c>
      <c r="DQ1760" s="708" t="str">
        <f t="shared" si="171"/>
        <v/>
      </c>
      <c r="DR1760" s="708" t="str">
        <f t="shared" si="172"/>
        <v/>
      </c>
      <c r="DS1760" s="708" t="str">
        <f t="shared" si="173"/>
        <v/>
      </c>
      <c r="DT1760" s="708" t="str">
        <f t="shared" si="174"/>
        <v/>
      </c>
      <c r="DU1760" s="708" t="str">
        <f t="shared" si="175"/>
        <v/>
      </c>
      <c r="DV1760" s="708" t="str">
        <f t="shared" si="176"/>
        <v/>
      </c>
      <c r="DW1760" s="708" t="str">
        <f t="shared" si="177"/>
        <v/>
      </c>
      <c r="DX1760" s="708" t="str">
        <f t="shared" si="178"/>
        <v/>
      </c>
      <c r="DY1760" s="708" t="str">
        <f t="shared" si="179"/>
        <v/>
      </c>
      <c r="DZ1760" s="708" t="str">
        <f t="shared" si="180"/>
        <v/>
      </c>
      <c r="EA1760" s="708" t="str">
        <f t="shared" si="181"/>
        <v/>
      </c>
      <c r="EB1760" s="708" t="str">
        <f t="shared" si="182"/>
        <v/>
      </c>
      <c r="EC1760" s="708" t="str">
        <f t="shared" si="183"/>
        <v/>
      </c>
      <c r="ED1760" s="708" t="str">
        <f t="shared" si="184"/>
        <v/>
      </c>
      <c r="EE1760" s="708" t="str">
        <f t="shared" si="185"/>
        <v/>
      </c>
      <c r="EF1760" s="708" t="str">
        <f t="shared" si="186"/>
        <v/>
      </c>
      <c r="EG1760" s="708" t="str">
        <f t="shared" si="187"/>
        <v/>
      </c>
      <c r="EH1760" s="708" t="str">
        <f t="shared" si="188"/>
        <v/>
      </c>
      <c r="EI1760" s="708" t="str">
        <f t="shared" si="189"/>
        <v/>
      </c>
      <c r="EJ1760" s="708" t="str">
        <f t="shared" si="190"/>
        <v/>
      </c>
      <c r="EK1760" s="708" t="str">
        <f t="shared" si="191"/>
        <v/>
      </c>
      <c r="EL1760" s="708" t="str">
        <f t="shared" si="192"/>
        <v/>
      </c>
      <c r="EM1760" s="708" t="str">
        <f t="shared" si="193"/>
        <v/>
      </c>
      <c r="EN1760" s="708" t="str">
        <f t="shared" si="194"/>
        <v/>
      </c>
      <c r="EO1760" s="708" t="str">
        <f t="shared" si="195"/>
        <v/>
      </c>
      <c r="EP1760" s="708" t="str">
        <f t="shared" si="196"/>
        <v/>
      </c>
      <c r="EQ1760" s="708" t="str">
        <f t="shared" si="197"/>
        <v/>
      </c>
      <c r="ER1760" s="708" t="str">
        <f t="shared" si="198"/>
        <v/>
      </c>
      <c r="ES1760" s="708" t="str">
        <f t="shared" si="199"/>
        <v/>
      </c>
      <c r="ET1760" s="708" t="str">
        <f t="shared" si="200"/>
        <v/>
      </c>
      <c r="EU1760" s="708" t="str">
        <f t="shared" si="201"/>
        <v/>
      </c>
      <c r="EV1760" s="708" t="str">
        <f t="shared" si="202"/>
        <v/>
      </c>
      <c r="EW1760" s="708" t="str">
        <f t="shared" si="203"/>
        <v/>
      </c>
      <c r="EX1760" s="708" t="str">
        <f t="shared" si="204"/>
        <v/>
      </c>
      <c r="EY1760" s="708" t="str">
        <f t="shared" si="205"/>
        <v/>
      </c>
      <c r="EZ1760" s="708" t="str">
        <f t="shared" si="206"/>
        <v/>
      </c>
      <c r="FA1760" s="708" t="str">
        <f t="shared" si="207"/>
        <v/>
      </c>
      <c r="FB1760" s="708" t="str">
        <f t="shared" si="208"/>
        <v/>
      </c>
      <c r="FC1760" s="708" t="str">
        <f t="shared" si="209"/>
        <v/>
      </c>
      <c r="FD1760" s="708" t="str">
        <f t="shared" si="210"/>
        <v/>
      </c>
      <c r="FE1760" s="708" t="str">
        <f t="shared" si="211"/>
        <v/>
      </c>
      <c r="FF1760" s="708" t="str">
        <f t="shared" si="212"/>
        <v/>
      </c>
      <c r="FG1760" s="708" t="str">
        <f t="shared" si="213"/>
        <v/>
      </c>
      <c r="FH1760" s="708" t="str">
        <f t="shared" si="214"/>
        <v/>
      </c>
      <c r="FI1760" s="708" t="str">
        <f t="shared" si="215"/>
        <v/>
      </c>
      <c r="FJ1760" s="708" t="str">
        <f t="shared" si="216"/>
        <v/>
      </c>
      <c r="FK1760" s="708" t="str">
        <f t="shared" si="217"/>
        <v/>
      </c>
      <c r="FL1760" s="708" t="str">
        <f t="shared" si="218"/>
        <v/>
      </c>
      <c r="FM1760" s="708" t="str">
        <f t="shared" si="219"/>
        <v/>
      </c>
      <c r="FN1760" s="708" t="str">
        <f t="shared" si="220"/>
        <v/>
      </c>
      <c r="FO1760" s="708" t="str">
        <f t="shared" si="221"/>
        <v/>
      </c>
      <c r="FP1760" s="708" t="str">
        <f t="shared" si="222"/>
        <v/>
      </c>
      <c r="FQ1760" s="708" t="str">
        <f t="shared" si="223"/>
        <v/>
      </c>
      <c r="FR1760" s="708" t="str">
        <f t="shared" si="224"/>
        <v/>
      </c>
      <c r="FS1760" s="708" t="str">
        <f t="shared" si="225"/>
        <v/>
      </c>
      <c r="FT1760" s="708" t="str">
        <f t="shared" si="226"/>
        <v/>
      </c>
      <c r="FU1760" s="708" t="str">
        <f t="shared" si="227"/>
        <v/>
      </c>
      <c r="FV1760" s="708" t="str">
        <f t="shared" si="228"/>
        <v/>
      </c>
      <c r="FW1760" s="708" t="str">
        <f t="shared" si="229"/>
        <v/>
      </c>
      <c r="FX1760" s="708" t="str">
        <f t="shared" si="230"/>
        <v/>
      </c>
      <c r="FY1760" s="708" t="str">
        <f t="shared" si="231"/>
        <v/>
      </c>
      <c r="FZ1760" s="708" t="str">
        <f t="shared" si="232"/>
        <v/>
      </c>
      <c r="GA1760" s="708" t="str">
        <f t="shared" si="233"/>
        <v/>
      </c>
      <c r="GB1760" s="708" t="str">
        <f t="shared" si="234"/>
        <v/>
      </c>
      <c r="GC1760" s="708" t="str">
        <f t="shared" si="235"/>
        <v/>
      </c>
      <c r="GD1760" s="708" t="str">
        <f t="shared" si="236"/>
        <v/>
      </c>
      <c r="GE1760" s="708" t="str">
        <f t="shared" si="237"/>
        <v/>
      </c>
      <c r="GF1760" s="708" t="str">
        <f t="shared" si="238"/>
        <v/>
      </c>
      <c r="GG1760" s="708" t="str">
        <f t="shared" si="239"/>
        <v/>
      </c>
      <c r="GH1760" s="708" t="str">
        <f t="shared" si="240"/>
        <v/>
      </c>
      <c r="GI1760" s="708" t="str">
        <f t="shared" si="241"/>
        <v/>
      </c>
      <c r="GJ1760" s="708" t="str">
        <f t="shared" si="242"/>
        <v/>
      </c>
      <c r="GK1760" s="708" t="str">
        <f t="shared" si="243"/>
        <v/>
      </c>
      <c r="GL1760" s="708" t="str">
        <f t="shared" si="244"/>
        <v/>
      </c>
      <c r="GM1760" s="708" t="str">
        <f t="shared" si="245"/>
        <v/>
      </c>
      <c r="GN1760" s="708" t="str">
        <f t="shared" si="246"/>
        <v/>
      </c>
      <c r="GO1760" s="708" t="str">
        <f t="shared" si="247"/>
        <v/>
      </c>
      <c r="GP1760" s="708" t="str">
        <f t="shared" si="248"/>
        <v/>
      </c>
      <c r="GQ1760" s="708" t="str">
        <f t="shared" si="249"/>
        <v/>
      </c>
      <c r="GR1760" s="708" t="str">
        <f t="shared" si="250"/>
        <v/>
      </c>
      <c r="GS1760" s="708" t="str">
        <f t="shared" si="251"/>
        <v/>
      </c>
      <c r="GT1760" s="708" t="str">
        <f t="shared" si="252"/>
        <v/>
      </c>
      <c r="GU1760" s="708" t="str">
        <f t="shared" si="253"/>
        <v/>
      </c>
      <c r="GV1760" s="708" t="str">
        <f t="shared" si="254"/>
        <v/>
      </c>
      <c r="GW1760" s="708" t="str">
        <f t="shared" si="255"/>
        <v/>
      </c>
      <c r="GX1760" s="708" t="str">
        <f t="shared" si="256"/>
        <v/>
      </c>
      <c r="GY1760" s="708" t="str">
        <f t="shared" si="257"/>
        <v/>
      </c>
      <c r="GZ1760" s="708" t="str">
        <f t="shared" si="258"/>
        <v/>
      </c>
      <c r="HA1760" s="708" t="str">
        <f t="shared" si="259"/>
        <v/>
      </c>
      <c r="HB1760" s="708" t="str">
        <f t="shared" si="260"/>
        <v/>
      </c>
      <c r="HC1760" s="708" t="str">
        <f t="shared" si="261"/>
        <v/>
      </c>
      <c r="HD1760" s="708" t="str">
        <f t="shared" si="262"/>
        <v/>
      </c>
      <c r="HE1760" s="708" t="str">
        <f t="shared" si="263"/>
        <v/>
      </c>
      <c r="HF1760" s="708" t="str">
        <f t="shared" si="264"/>
        <v/>
      </c>
      <c r="HG1760" s="708" t="str">
        <f t="shared" si="265"/>
        <v/>
      </c>
      <c r="HH1760" s="708" t="str">
        <f t="shared" si="266"/>
        <v/>
      </c>
      <c r="HI1760" s="708" t="str">
        <f t="shared" si="267"/>
        <v/>
      </c>
      <c r="HJ1760" s="708" t="str">
        <f t="shared" si="268"/>
        <v/>
      </c>
      <c r="HK1760" s="708" t="str">
        <f t="shared" si="269"/>
        <v/>
      </c>
    </row>
    <row r="1761" spans="1:219" ht="13.15" customHeight="1">
      <c r="A1761" s="708" t="str">
        <f t="shared" si="270"/>
        <v/>
      </c>
      <c r="B1761" s="708">
        <f>'Part VI-Revenues &amp; Expenses'!B46</f>
        <v>0</v>
      </c>
      <c r="C1761" s="708">
        <f>'Part VI-Revenues &amp; Expenses'!C46</f>
        <v>0</v>
      </c>
      <c r="D1761" s="708">
        <f>'Part VI-Revenues &amp; Expenses'!D46</f>
        <v>0</v>
      </c>
      <c r="E1761" s="708">
        <f>'Part VI-Revenues &amp; Expenses'!E46</f>
        <v>0</v>
      </c>
      <c r="F1761" s="708">
        <f>'Part VI-Revenues &amp; Expenses'!F46</f>
        <v>0</v>
      </c>
      <c r="G1761" s="708">
        <f>'Part VI-Revenues &amp; Expenses'!G46</f>
        <v>0</v>
      </c>
      <c r="H1761" s="708">
        <f>'Part VI-Revenues &amp; Expenses'!H46</f>
        <v>0</v>
      </c>
      <c r="I1761" s="708">
        <f>'Part VI-Revenues &amp; Expenses'!I46</f>
        <v>0</v>
      </c>
      <c r="J1761" s="708">
        <f>'Part VI-Revenues &amp; Expenses'!J46</f>
        <v>0</v>
      </c>
      <c r="K1761" s="708">
        <f t="shared" si="303"/>
        <v>0</v>
      </c>
      <c r="L1761" s="708">
        <f t="shared" si="99"/>
        <v>0</v>
      </c>
      <c r="M1761" s="708">
        <f>'Part VI-Revenues &amp; Expenses'!M46</f>
        <v>0</v>
      </c>
      <c r="N1761" s="708">
        <f>'Part VI-Revenues &amp; Expenses'!N46</f>
        <v>0</v>
      </c>
      <c r="O1761" s="708">
        <f>'Part VI-Revenues &amp; Expenses'!O46</f>
        <v>0</v>
      </c>
      <c r="P1761" s="708" t="str">
        <f>'Part VI-Revenues &amp; Expenses'!P46</f>
        <v/>
      </c>
      <c r="Q1761" s="708" t="str">
        <f>'Part VI-Revenues &amp; Expenses'!Q46</f>
        <v/>
      </c>
      <c r="R1761" s="708">
        <f>'Part VI-Revenues &amp; Expenses'!R46</f>
        <v>0</v>
      </c>
      <c r="T1761" s="708" t="str">
        <f t="shared" si="100"/>
        <v/>
      </c>
      <c r="U1761" s="708" t="str">
        <f t="shared" si="101"/>
        <v/>
      </c>
      <c r="V1761" s="708" t="str">
        <f t="shared" si="102"/>
        <v/>
      </c>
      <c r="W1761" s="708" t="str">
        <f t="shared" si="103"/>
        <v/>
      </c>
      <c r="X1761" s="708" t="str">
        <f t="shared" si="104"/>
        <v/>
      </c>
      <c r="Y1761" s="708" t="str">
        <f t="shared" si="105"/>
        <v/>
      </c>
      <c r="Z1761" s="708" t="str">
        <f t="shared" si="106"/>
        <v/>
      </c>
      <c r="AA1761" s="708" t="str">
        <f t="shared" si="107"/>
        <v/>
      </c>
      <c r="AB1761" s="708" t="str">
        <f t="shared" si="108"/>
        <v/>
      </c>
      <c r="AC1761" s="708" t="str">
        <f t="shared" si="109"/>
        <v/>
      </c>
      <c r="AD1761" s="708" t="str">
        <f t="shared" si="110"/>
        <v/>
      </c>
      <c r="AE1761" s="708" t="str">
        <f t="shared" si="111"/>
        <v/>
      </c>
      <c r="AF1761" s="708" t="str">
        <f t="shared" si="112"/>
        <v/>
      </c>
      <c r="AG1761" s="708" t="str">
        <f t="shared" si="113"/>
        <v/>
      </c>
      <c r="AH1761" s="708" t="str">
        <f t="shared" si="114"/>
        <v/>
      </c>
      <c r="AI1761" s="708" t="str">
        <f t="shared" si="115"/>
        <v/>
      </c>
      <c r="AJ1761" s="708" t="str">
        <f t="shared" si="116"/>
        <v/>
      </c>
      <c r="AK1761" s="708" t="str">
        <f t="shared" si="117"/>
        <v/>
      </c>
      <c r="AL1761" s="708" t="str">
        <f t="shared" si="118"/>
        <v/>
      </c>
      <c r="AM1761" s="708" t="str">
        <f t="shared" si="119"/>
        <v/>
      </c>
      <c r="AN1761" s="708" t="str">
        <f t="shared" si="272"/>
        <v/>
      </c>
      <c r="AO1761" s="708" t="str">
        <f t="shared" si="273"/>
        <v/>
      </c>
      <c r="AP1761" s="708" t="str">
        <f t="shared" si="274"/>
        <v/>
      </c>
      <c r="AQ1761" s="708" t="str">
        <f t="shared" si="275"/>
        <v/>
      </c>
      <c r="AR1761" s="708" t="str">
        <f t="shared" si="276"/>
        <v/>
      </c>
      <c r="AS1761" s="708" t="str">
        <f t="shared" si="277"/>
        <v/>
      </c>
      <c r="AT1761" s="708" t="str">
        <f t="shared" si="278"/>
        <v/>
      </c>
      <c r="AU1761" s="708" t="str">
        <f t="shared" si="279"/>
        <v/>
      </c>
      <c r="AV1761" s="708" t="str">
        <f t="shared" si="280"/>
        <v/>
      </c>
      <c r="AW1761" s="708" t="str">
        <f t="shared" si="281"/>
        <v/>
      </c>
      <c r="AX1761" s="708" t="str">
        <f t="shared" si="282"/>
        <v/>
      </c>
      <c r="AY1761" s="708" t="str">
        <f t="shared" si="283"/>
        <v/>
      </c>
      <c r="AZ1761" s="708" t="str">
        <f t="shared" si="284"/>
        <v/>
      </c>
      <c r="BA1761" s="708" t="str">
        <f t="shared" si="285"/>
        <v/>
      </c>
      <c r="BB1761" s="708" t="str">
        <f t="shared" si="286"/>
        <v/>
      </c>
      <c r="BC1761" s="708" t="str">
        <f t="shared" si="287"/>
        <v/>
      </c>
      <c r="BD1761" s="708" t="str">
        <f t="shared" si="288"/>
        <v/>
      </c>
      <c r="BE1761" s="708" t="str">
        <f t="shared" si="289"/>
        <v/>
      </c>
      <c r="BF1761" s="708" t="str">
        <f t="shared" si="290"/>
        <v/>
      </c>
      <c r="BG1761" s="708" t="str">
        <f t="shared" si="291"/>
        <v/>
      </c>
      <c r="BH1761" s="708" t="str">
        <f t="shared" si="292"/>
        <v/>
      </c>
      <c r="BI1761" s="708" t="str">
        <f t="shared" si="293"/>
        <v/>
      </c>
      <c r="BJ1761" s="708" t="str">
        <f t="shared" si="294"/>
        <v/>
      </c>
      <c r="BK1761" s="708" t="str">
        <f t="shared" si="295"/>
        <v/>
      </c>
      <c r="BL1761" s="708" t="str">
        <f t="shared" si="296"/>
        <v/>
      </c>
      <c r="BM1761" s="708" t="str">
        <f t="shared" si="297"/>
        <v/>
      </c>
      <c r="BN1761" s="708" t="str">
        <f t="shared" si="298"/>
        <v/>
      </c>
      <c r="BO1761" s="708" t="str">
        <f t="shared" si="299"/>
        <v/>
      </c>
      <c r="BP1761" s="708" t="str">
        <f t="shared" si="300"/>
        <v/>
      </c>
      <c r="BQ1761" s="708" t="str">
        <f t="shared" si="301"/>
        <v/>
      </c>
      <c r="BR1761" s="708" t="str">
        <f t="shared" si="120"/>
        <v/>
      </c>
      <c r="BS1761" s="708" t="str">
        <f t="shared" si="121"/>
        <v/>
      </c>
      <c r="BT1761" s="708" t="str">
        <f t="shared" si="122"/>
        <v/>
      </c>
      <c r="BU1761" s="708" t="str">
        <f t="shared" si="123"/>
        <v/>
      </c>
      <c r="BV1761" s="708" t="str">
        <f t="shared" si="124"/>
        <v/>
      </c>
      <c r="BW1761" s="708" t="str">
        <f t="shared" si="125"/>
        <v/>
      </c>
      <c r="BX1761" s="708" t="str">
        <f t="shared" si="126"/>
        <v/>
      </c>
      <c r="BY1761" s="708" t="str">
        <f t="shared" si="127"/>
        <v/>
      </c>
      <c r="BZ1761" s="708" t="str">
        <f t="shared" si="128"/>
        <v/>
      </c>
      <c r="CA1761" s="708" t="str">
        <f t="shared" si="129"/>
        <v/>
      </c>
      <c r="CB1761" s="708" t="str">
        <f t="shared" si="130"/>
        <v/>
      </c>
      <c r="CC1761" s="708" t="str">
        <f t="shared" si="131"/>
        <v/>
      </c>
      <c r="CD1761" s="708" t="str">
        <f t="shared" si="132"/>
        <v/>
      </c>
      <c r="CE1761" s="708" t="str">
        <f t="shared" si="133"/>
        <v/>
      </c>
      <c r="CF1761" s="708" t="str">
        <f t="shared" si="134"/>
        <v/>
      </c>
      <c r="CG1761" s="708" t="str">
        <f t="shared" si="135"/>
        <v/>
      </c>
      <c r="CH1761" s="708" t="str">
        <f t="shared" si="136"/>
        <v/>
      </c>
      <c r="CI1761" s="708" t="str">
        <f t="shared" si="137"/>
        <v/>
      </c>
      <c r="CJ1761" s="708" t="str">
        <f t="shared" si="138"/>
        <v/>
      </c>
      <c r="CK1761" s="708" t="str">
        <f t="shared" si="139"/>
        <v/>
      </c>
      <c r="CL1761" s="708" t="str">
        <f t="shared" si="140"/>
        <v/>
      </c>
      <c r="CM1761" s="708" t="str">
        <f t="shared" si="141"/>
        <v/>
      </c>
      <c r="CN1761" s="708" t="str">
        <f t="shared" si="142"/>
        <v/>
      </c>
      <c r="CO1761" s="708" t="str">
        <f t="shared" si="143"/>
        <v/>
      </c>
      <c r="CP1761" s="708" t="str">
        <f t="shared" si="144"/>
        <v/>
      </c>
      <c r="CQ1761" s="708" t="str">
        <f t="shared" si="145"/>
        <v/>
      </c>
      <c r="CR1761" s="708" t="str">
        <f t="shared" si="146"/>
        <v/>
      </c>
      <c r="CS1761" s="708" t="str">
        <f t="shared" si="147"/>
        <v/>
      </c>
      <c r="CT1761" s="708" t="str">
        <f t="shared" si="148"/>
        <v/>
      </c>
      <c r="CU1761" s="708" t="str">
        <f t="shared" si="149"/>
        <v/>
      </c>
      <c r="CV1761" s="708" t="str">
        <f t="shared" si="150"/>
        <v/>
      </c>
      <c r="CW1761" s="708" t="str">
        <f t="shared" si="151"/>
        <v/>
      </c>
      <c r="CX1761" s="708" t="str">
        <f t="shared" si="152"/>
        <v/>
      </c>
      <c r="CY1761" s="708" t="str">
        <f t="shared" si="153"/>
        <v/>
      </c>
      <c r="CZ1761" s="708" t="str">
        <f t="shared" si="154"/>
        <v/>
      </c>
      <c r="DA1761" s="708" t="str">
        <f t="shared" si="155"/>
        <v/>
      </c>
      <c r="DB1761" s="708" t="str">
        <f t="shared" si="156"/>
        <v/>
      </c>
      <c r="DC1761" s="708" t="str">
        <f t="shared" si="157"/>
        <v/>
      </c>
      <c r="DD1761" s="708" t="str">
        <f t="shared" si="158"/>
        <v/>
      </c>
      <c r="DE1761" s="708" t="str">
        <f t="shared" si="159"/>
        <v/>
      </c>
      <c r="DF1761" s="708" t="str">
        <f t="shared" si="160"/>
        <v/>
      </c>
      <c r="DG1761" s="708" t="str">
        <f t="shared" si="161"/>
        <v/>
      </c>
      <c r="DH1761" s="708" t="str">
        <f t="shared" si="162"/>
        <v/>
      </c>
      <c r="DI1761" s="708" t="str">
        <f t="shared" si="163"/>
        <v/>
      </c>
      <c r="DJ1761" s="708" t="str">
        <f t="shared" si="164"/>
        <v/>
      </c>
      <c r="DK1761" s="708" t="str">
        <f t="shared" si="165"/>
        <v/>
      </c>
      <c r="DL1761" s="708" t="str">
        <f t="shared" si="166"/>
        <v/>
      </c>
      <c r="DM1761" s="708" t="str">
        <f t="shared" si="167"/>
        <v/>
      </c>
      <c r="DN1761" s="708" t="str">
        <f t="shared" si="168"/>
        <v/>
      </c>
      <c r="DO1761" s="708" t="str">
        <f t="shared" si="169"/>
        <v/>
      </c>
      <c r="DP1761" s="708" t="str">
        <f t="shared" si="170"/>
        <v/>
      </c>
      <c r="DQ1761" s="708" t="str">
        <f t="shared" si="171"/>
        <v/>
      </c>
      <c r="DR1761" s="708" t="str">
        <f t="shared" si="172"/>
        <v/>
      </c>
      <c r="DS1761" s="708" t="str">
        <f t="shared" si="173"/>
        <v/>
      </c>
      <c r="DT1761" s="708" t="str">
        <f t="shared" si="174"/>
        <v/>
      </c>
      <c r="DU1761" s="708" t="str">
        <f t="shared" si="175"/>
        <v/>
      </c>
      <c r="DV1761" s="708" t="str">
        <f t="shared" si="176"/>
        <v/>
      </c>
      <c r="DW1761" s="708" t="str">
        <f t="shared" si="177"/>
        <v/>
      </c>
      <c r="DX1761" s="708" t="str">
        <f t="shared" si="178"/>
        <v/>
      </c>
      <c r="DY1761" s="708" t="str">
        <f t="shared" si="179"/>
        <v/>
      </c>
      <c r="DZ1761" s="708" t="str">
        <f t="shared" si="180"/>
        <v/>
      </c>
      <c r="EA1761" s="708" t="str">
        <f t="shared" si="181"/>
        <v/>
      </c>
      <c r="EB1761" s="708" t="str">
        <f t="shared" si="182"/>
        <v/>
      </c>
      <c r="EC1761" s="708" t="str">
        <f t="shared" si="183"/>
        <v/>
      </c>
      <c r="ED1761" s="708" t="str">
        <f t="shared" si="184"/>
        <v/>
      </c>
      <c r="EE1761" s="708" t="str">
        <f t="shared" si="185"/>
        <v/>
      </c>
      <c r="EF1761" s="708" t="str">
        <f t="shared" si="186"/>
        <v/>
      </c>
      <c r="EG1761" s="708" t="str">
        <f t="shared" si="187"/>
        <v/>
      </c>
      <c r="EH1761" s="708" t="str">
        <f t="shared" si="188"/>
        <v/>
      </c>
      <c r="EI1761" s="708" t="str">
        <f t="shared" si="189"/>
        <v/>
      </c>
      <c r="EJ1761" s="708" t="str">
        <f t="shared" si="190"/>
        <v/>
      </c>
      <c r="EK1761" s="708" t="str">
        <f t="shared" si="191"/>
        <v/>
      </c>
      <c r="EL1761" s="708" t="str">
        <f t="shared" si="192"/>
        <v/>
      </c>
      <c r="EM1761" s="708" t="str">
        <f t="shared" si="193"/>
        <v/>
      </c>
      <c r="EN1761" s="708" t="str">
        <f t="shared" si="194"/>
        <v/>
      </c>
      <c r="EO1761" s="708" t="str">
        <f t="shared" si="195"/>
        <v/>
      </c>
      <c r="EP1761" s="708" t="str">
        <f t="shared" si="196"/>
        <v/>
      </c>
      <c r="EQ1761" s="708" t="str">
        <f t="shared" si="197"/>
        <v/>
      </c>
      <c r="ER1761" s="708" t="str">
        <f t="shared" si="198"/>
        <v/>
      </c>
      <c r="ES1761" s="708" t="str">
        <f t="shared" si="199"/>
        <v/>
      </c>
      <c r="ET1761" s="708" t="str">
        <f t="shared" si="200"/>
        <v/>
      </c>
      <c r="EU1761" s="708" t="str">
        <f t="shared" si="201"/>
        <v/>
      </c>
      <c r="EV1761" s="708" t="str">
        <f t="shared" si="202"/>
        <v/>
      </c>
      <c r="EW1761" s="708" t="str">
        <f t="shared" si="203"/>
        <v/>
      </c>
      <c r="EX1761" s="708" t="str">
        <f t="shared" si="204"/>
        <v/>
      </c>
      <c r="EY1761" s="708" t="str">
        <f t="shared" si="205"/>
        <v/>
      </c>
      <c r="EZ1761" s="708" t="str">
        <f t="shared" si="206"/>
        <v/>
      </c>
      <c r="FA1761" s="708" t="str">
        <f t="shared" si="207"/>
        <v/>
      </c>
      <c r="FB1761" s="708" t="str">
        <f t="shared" si="208"/>
        <v/>
      </c>
      <c r="FC1761" s="708" t="str">
        <f t="shared" si="209"/>
        <v/>
      </c>
      <c r="FD1761" s="708" t="str">
        <f t="shared" si="210"/>
        <v/>
      </c>
      <c r="FE1761" s="708" t="str">
        <f t="shared" si="211"/>
        <v/>
      </c>
      <c r="FF1761" s="708" t="str">
        <f t="shared" si="212"/>
        <v/>
      </c>
      <c r="FG1761" s="708" t="str">
        <f t="shared" si="213"/>
        <v/>
      </c>
      <c r="FH1761" s="708" t="str">
        <f t="shared" si="214"/>
        <v/>
      </c>
      <c r="FI1761" s="708" t="str">
        <f t="shared" si="215"/>
        <v/>
      </c>
      <c r="FJ1761" s="708" t="str">
        <f t="shared" si="216"/>
        <v/>
      </c>
      <c r="FK1761" s="708" t="str">
        <f t="shared" si="217"/>
        <v/>
      </c>
      <c r="FL1761" s="708" t="str">
        <f t="shared" si="218"/>
        <v/>
      </c>
      <c r="FM1761" s="708" t="str">
        <f t="shared" si="219"/>
        <v/>
      </c>
      <c r="FN1761" s="708" t="str">
        <f t="shared" si="220"/>
        <v/>
      </c>
      <c r="FO1761" s="708" t="str">
        <f t="shared" si="221"/>
        <v/>
      </c>
      <c r="FP1761" s="708" t="str">
        <f t="shared" si="222"/>
        <v/>
      </c>
      <c r="FQ1761" s="708" t="str">
        <f t="shared" si="223"/>
        <v/>
      </c>
      <c r="FR1761" s="708" t="str">
        <f t="shared" si="224"/>
        <v/>
      </c>
      <c r="FS1761" s="708" t="str">
        <f t="shared" si="225"/>
        <v/>
      </c>
      <c r="FT1761" s="708" t="str">
        <f t="shared" si="226"/>
        <v/>
      </c>
      <c r="FU1761" s="708" t="str">
        <f t="shared" si="227"/>
        <v/>
      </c>
      <c r="FV1761" s="708" t="str">
        <f t="shared" si="228"/>
        <v/>
      </c>
      <c r="FW1761" s="708" t="str">
        <f t="shared" si="229"/>
        <v/>
      </c>
      <c r="FX1761" s="708" t="str">
        <f t="shared" si="230"/>
        <v/>
      </c>
      <c r="FY1761" s="708" t="str">
        <f t="shared" si="231"/>
        <v/>
      </c>
      <c r="FZ1761" s="708" t="str">
        <f t="shared" si="232"/>
        <v/>
      </c>
      <c r="GA1761" s="708" t="str">
        <f t="shared" si="233"/>
        <v/>
      </c>
      <c r="GB1761" s="708" t="str">
        <f t="shared" si="234"/>
        <v/>
      </c>
      <c r="GC1761" s="708" t="str">
        <f t="shared" si="235"/>
        <v/>
      </c>
      <c r="GD1761" s="708" t="str">
        <f t="shared" si="236"/>
        <v/>
      </c>
      <c r="GE1761" s="708" t="str">
        <f t="shared" si="237"/>
        <v/>
      </c>
      <c r="GF1761" s="708" t="str">
        <f t="shared" si="238"/>
        <v/>
      </c>
      <c r="GG1761" s="708" t="str">
        <f t="shared" si="239"/>
        <v/>
      </c>
      <c r="GH1761" s="708" t="str">
        <f t="shared" si="240"/>
        <v/>
      </c>
      <c r="GI1761" s="708" t="str">
        <f t="shared" si="241"/>
        <v/>
      </c>
      <c r="GJ1761" s="708" t="str">
        <f t="shared" si="242"/>
        <v/>
      </c>
      <c r="GK1761" s="708" t="str">
        <f t="shared" si="243"/>
        <v/>
      </c>
      <c r="GL1761" s="708" t="str">
        <f t="shared" si="244"/>
        <v/>
      </c>
      <c r="GM1761" s="708" t="str">
        <f t="shared" si="245"/>
        <v/>
      </c>
      <c r="GN1761" s="708" t="str">
        <f t="shared" si="246"/>
        <v/>
      </c>
      <c r="GO1761" s="708" t="str">
        <f t="shared" si="247"/>
        <v/>
      </c>
      <c r="GP1761" s="708" t="str">
        <f t="shared" si="248"/>
        <v/>
      </c>
      <c r="GQ1761" s="708" t="str">
        <f t="shared" si="249"/>
        <v/>
      </c>
      <c r="GR1761" s="708" t="str">
        <f t="shared" si="250"/>
        <v/>
      </c>
      <c r="GS1761" s="708" t="str">
        <f t="shared" si="251"/>
        <v/>
      </c>
      <c r="GT1761" s="708" t="str">
        <f t="shared" si="252"/>
        <v/>
      </c>
      <c r="GU1761" s="708" t="str">
        <f t="shared" si="253"/>
        <v/>
      </c>
      <c r="GV1761" s="708" t="str">
        <f t="shared" si="254"/>
        <v/>
      </c>
      <c r="GW1761" s="708" t="str">
        <f t="shared" si="255"/>
        <v/>
      </c>
      <c r="GX1761" s="708" t="str">
        <f t="shared" si="256"/>
        <v/>
      </c>
      <c r="GY1761" s="708" t="str">
        <f t="shared" si="257"/>
        <v/>
      </c>
      <c r="GZ1761" s="708" t="str">
        <f t="shared" si="258"/>
        <v/>
      </c>
      <c r="HA1761" s="708" t="str">
        <f t="shared" si="259"/>
        <v/>
      </c>
      <c r="HB1761" s="708" t="str">
        <f t="shared" si="260"/>
        <v/>
      </c>
      <c r="HC1761" s="708" t="str">
        <f t="shared" si="261"/>
        <v/>
      </c>
      <c r="HD1761" s="708" t="str">
        <f t="shared" si="262"/>
        <v/>
      </c>
      <c r="HE1761" s="708" t="str">
        <f t="shared" si="263"/>
        <v/>
      </c>
      <c r="HF1761" s="708" t="str">
        <f t="shared" si="264"/>
        <v/>
      </c>
      <c r="HG1761" s="708" t="str">
        <f t="shared" si="265"/>
        <v/>
      </c>
      <c r="HH1761" s="708" t="str">
        <f t="shared" si="266"/>
        <v/>
      </c>
      <c r="HI1761" s="708" t="str">
        <f t="shared" si="267"/>
        <v/>
      </c>
      <c r="HJ1761" s="708" t="str">
        <f t="shared" si="268"/>
        <v/>
      </c>
      <c r="HK1761" s="708" t="str">
        <f t="shared" si="269"/>
        <v/>
      </c>
    </row>
    <row r="1762" spans="1:219" ht="13.15" customHeight="1">
      <c r="A1762" s="708" t="str">
        <f t="shared" si="270"/>
        <v/>
      </c>
      <c r="B1762" s="708">
        <f>'Part VI-Revenues &amp; Expenses'!B47</f>
        <v>0</v>
      </c>
      <c r="C1762" s="708">
        <f>'Part VI-Revenues &amp; Expenses'!C47</f>
        <v>0</v>
      </c>
      <c r="D1762" s="708">
        <f>'Part VI-Revenues &amp; Expenses'!D47</f>
        <v>0</v>
      </c>
      <c r="E1762" s="708">
        <f>'Part VI-Revenues &amp; Expenses'!E47</f>
        <v>0</v>
      </c>
      <c r="F1762" s="708">
        <f>'Part VI-Revenues &amp; Expenses'!F47</f>
        <v>0</v>
      </c>
      <c r="G1762" s="708">
        <f>'Part VI-Revenues &amp; Expenses'!G47</f>
        <v>0</v>
      </c>
      <c r="H1762" s="708">
        <f>'Part VI-Revenues &amp; Expenses'!H47</f>
        <v>0</v>
      </c>
      <c r="I1762" s="708">
        <f>'Part VI-Revenues &amp; Expenses'!I47</f>
        <v>0</v>
      </c>
      <c r="J1762" s="708">
        <f>'Part VI-Revenues &amp; Expenses'!J47</f>
        <v>0</v>
      </c>
      <c r="K1762" s="708">
        <f t="shared" si="302"/>
        <v>0</v>
      </c>
      <c r="L1762" s="708">
        <f t="shared" si="99"/>
        <v>0</v>
      </c>
      <c r="M1762" s="708">
        <f>'Part VI-Revenues &amp; Expenses'!M47</f>
        <v>0</v>
      </c>
      <c r="N1762" s="708">
        <f>'Part VI-Revenues &amp; Expenses'!N47</f>
        <v>0</v>
      </c>
      <c r="O1762" s="708">
        <f>'Part VI-Revenues &amp; Expenses'!O47</f>
        <v>0</v>
      </c>
      <c r="P1762" s="708" t="str">
        <f>'Part VI-Revenues &amp; Expenses'!P47</f>
        <v/>
      </c>
      <c r="Q1762" s="708" t="str">
        <f>'Part VI-Revenues &amp; Expenses'!Q47</f>
        <v/>
      </c>
      <c r="R1762" s="708">
        <f>'Part VI-Revenues &amp; Expenses'!R47</f>
        <v>0</v>
      </c>
      <c r="T1762" s="708" t="str">
        <f t="shared" si="100"/>
        <v/>
      </c>
      <c r="U1762" s="708" t="str">
        <f t="shared" si="101"/>
        <v/>
      </c>
      <c r="V1762" s="708" t="str">
        <f t="shared" si="102"/>
        <v/>
      </c>
      <c r="W1762" s="708" t="str">
        <f t="shared" si="103"/>
        <v/>
      </c>
      <c r="X1762" s="708" t="str">
        <f t="shared" si="104"/>
        <v/>
      </c>
      <c r="Y1762" s="708" t="str">
        <f t="shared" si="105"/>
        <v/>
      </c>
      <c r="Z1762" s="708" t="str">
        <f t="shared" si="106"/>
        <v/>
      </c>
      <c r="AA1762" s="708" t="str">
        <f t="shared" si="107"/>
        <v/>
      </c>
      <c r="AB1762" s="708" t="str">
        <f t="shared" si="108"/>
        <v/>
      </c>
      <c r="AC1762" s="708" t="str">
        <f t="shared" si="109"/>
        <v/>
      </c>
      <c r="AD1762" s="708" t="str">
        <f t="shared" si="110"/>
        <v/>
      </c>
      <c r="AE1762" s="708" t="str">
        <f t="shared" si="111"/>
        <v/>
      </c>
      <c r="AF1762" s="708" t="str">
        <f t="shared" si="112"/>
        <v/>
      </c>
      <c r="AG1762" s="708" t="str">
        <f t="shared" si="113"/>
        <v/>
      </c>
      <c r="AH1762" s="708" t="str">
        <f t="shared" si="114"/>
        <v/>
      </c>
      <c r="AI1762" s="708" t="str">
        <f t="shared" si="115"/>
        <v/>
      </c>
      <c r="AJ1762" s="708" t="str">
        <f t="shared" si="116"/>
        <v/>
      </c>
      <c r="AK1762" s="708" t="str">
        <f t="shared" si="117"/>
        <v/>
      </c>
      <c r="AL1762" s="708" t="str">
        <f t="shared" si="118"/>
        <v/>
      </c>
      <c r="AM1762" s="708" t="str">
        <f t="shared" si="119"/>
        <v/>
      </c>
      <c r="AN1762" s="708" t="str">
        <f t="shared" si="272"/>
        <v/>
      </c>
      <c r="AO1762" s="708" t="str">
        <f t="shared" si="273"/>
        <v/>
      </c>
      <c r="AP1762" s="708" t="str">
        <f t="shared" si="274"/>
        <v/>
      </c>
      <c r="AQ1762" s="708" t="str">
        <f t="shared" si="275"/>
        <v/>
      </c>
      <c r="AR1762" s="708" t="str">
        <f t="shared" si="276"/>
        <v/>
      </c>
      <c r="AS1762" s="708" t="str">
        <f t="shared" si="277"/>
        <v/>
      </c>
      <c r="AT1762" s="708" t="str">
        <f t="shared" si="278"/>
        <v/>
      </c>
      <c r="AU1762" s="708" t="str">
        <f t="shared" si="279"/>
        <v/>
      </c>
      <c r="AV1762" s="708" t="str">
        <f t="shared" si="280"/>
        <v/>
      </c>
      <c r="AW1762" s="708" t="str">
        <f t="shared" si="281"/>
        <v/>
      </c>
      <c r="AX1762" s="708" t="str">
        <f t="shared" si="282"/>
        <v/>
      </c>
      <c r="AY1762" s="708" t="str">
        <f t="shared" si="283"/>
        <v/>
      </c>
      <c r="AZ1762" s="708" t="str">
        <f t="shared" si="284"/>
        <v/>
      </c>
      <c r="BA1762" s="708" t="str">
        <f t="shared" si="285"/>
        <v/>
      </c>
      <c r="BB1762" s="708" t="str">
        <f t="shared" si="286"/>
        <v/>
      </c>
      <c r="BC1762" s="708" t="str">
        <f t="shared" si="287"/>
        <v/>
      </c>
      <c r="BD1762" s="708" t="str">
        <f t="shared" si="288"/>
        <v/>
      </c>
      <c r="BE1762" s="708" t="str">
        <f t="shared" si="289"/>
        <v/>
      </c>
      <c r="BF1762" s="708" t="str">
        <f t="shared" si="290"/>
        <v/>
      </c>
      <c r="BG1762" s="708" t="str">
        <f t="shared" si="291"/>
        <v/>
      </c>
      <c r="BH1762" s="708" t="str">
        <f t="shared" si="292"/>
        <v/>
      </c>
      <c r="BI1762" s="708" t="str">
        <f t="shared" si="293"/>
        <v/>
      </c>
      <c r="BJ1762" s="708" t="str">
        <f t="shared" si="294"/>
        <v/>
      </c>
      <c r="BK1762" s="708" t="str">
        <f t="shared" si="295"/>
        <v/>
      </c>
      <c r="BL1762" s="708" t="str">
        <f t="shared" si="296"/>
        <v/>
      </c>
      <c r="BM1762" s="708" t="str">
        <f t="shared" si="297"/>
        <v/>
      </c>
      <c r="BN1762" s="708" t="str">
        <f t="shared" si="298"/>
        <v/>
      </c>
      <c r="BO1762" s="708" t="str">
        <f t="shared" si="299"/>
        <v/>
      </c>
      <c r="BP1762" s="708" t="str">
        <f t="shared" si="300"/>
        <v/>
      </c>
      <c r="BQ1762" s="708" t="str">
        <f t="shared" si="301"/>
        <v/>
      </c>
      <c r="BR1762" s="708" t="str">
        <f t="shared" si="120"/>
        <v/>
      </c>
      <c r="BS1762" s="708" t="str">
        <f t="shared" si="121"/>
        <v/>
      </c>
      <c r="BT1762" s="708" t="str">
        <f t="shared" si="122"/>
        <v/>
      </c>
      <c r="BU1762" s="708" t="str">
        <f t="shared" si="123"/>
        <v/>
      </c>
      <c r="BV1762" s="708" t="str">
        <f t="shared" si="124"/>
        <v/>
      </c>
      <c r="BW1762" s="708" t="str">
        <f t="shared" si="125"/>
        <v/>
      </c>
      <c r="BX1762" s="708" t="str">
        <f t="shared" si="126"/>
        <v/>
      </c>
      <c r="BY1762" s="708" t="str">
        <f t="shared" si="127"/>
        <v/>
      </c>
      <c r="BZ1762" s="708" t="str">
        <f t="shared" si="128"/>
        <v/>
      </c>
      <c r="CA1762" s="708" t="str">
        <f t="shared" si="129"/>
        <v/>
      </c>
      <c r="CB1762" s="708" t="str">
        <f t="shared" si="130"/>
        <v/>
      </c>
      <c r="CC1762" s="708" t="str">
        <f t="shared" si="131"/>
        <v/>
      </c>
      <c r="CD1762" s="708" t="str">
        <f t="shared" si="132"/>
        <v/>
      </c>
      <c r="CE1762" s="708" t="str">
        <f t="shared" si="133"/>
        <v/>
      </c>
      <c r="CF1762" s="708" t="str">
        <f t="shared" si="134"/>
        <v/>
      </c>
      <c r="CG1762" s="708" t="str">
        <f t="shared" si="135"/>
        <v/>
      </c>
      <c r="CH1762" s="708" t="str">
        <f t="shared" si="136"/>
        <v/>
      </c>
      <c r="CI1762" s="708" t="str">
        <f t="shared" si="137"/>
        <v/>
      </c>
      <c r="CJ1762" s="708" t="str">
        <f t="shared" si="138"/>
        <v/>
      </c>
      <c r="CK1762" s="708" t="str">
        <f t="shared" si="139"/>
        <v/>
      </c>
      <c r="CL1762" s="708" t="str">
        <f t="shared" si="140"/>
        <v/>
      </c>
      <c r="CM1762" s="708" t="str">
        <f t="shared" si="141"/>
        <v/>
      </c>
      <c r="CN1762" s="708" t="str">
        <f t="shared" si="142"/>
        <v/>
      </c>
      <c r="CO1762" s="708" t="str">
        <f t="shared" si="143"/>
        <v/>
      </c>
      <c r="CP1762" s="708" t="str">
        <f t="shared" si="144"/>
        <v/>
      </c>
      <c r="CQ1762" s="708" t="str">
        <f t="shared" si="145"/>
        <v/>
      </c>
      <c r="CR1762" s="708" t="str">
        <f t="shared" si="146"/>
        <v/>
      </c>
      <c r="CS1762" s="708" t="str">
        <f t="shared" si="147"/>
        <v/>
      </c>
      <c r="CT1762" s="708" t="str">
        <f t="shared" si="148"/>
        <v/>
      </c>
      <c r="CU1762" s="708" t="str">
        <f t="shared" si="149"/>
        <v/>
      </c>
      <c r="CV1762" s="708" t="str">
        <f t="shared" si="150"/>
        <v/>
      </c>
      <c r="CW1762" s="708" t="str">
        <f t="shared" si="151"/>
        <v/>
      </c>
      <c r="CX1762" s="708" t="str">
        <f t="shared" si="152"/>
        <v/>
      </c>
      <c r="CY1762" s="708" t="str">
        <f t="shared" si="153"/>
        <v/>
      </c>
      <c r="CZ1762" s="708" t="str">
        <f t="shared" si="154"/>
        <v/>
      </c>
      <c r="DA1762" s="708" t="str">
        <f t="shared" si="155"/>
        <v/>
      </c>
      <c r="DB1762" s="708" t="str">
        <f t="shared" si="156"/>
        <v/>
      </c>
      <c r="DC1762" s="708" t="str">
        <f t="shared" si="157"/>
        <v/>
      </c>
      <c r="DD1762" s="708" t="str">
        <f t="shared" si="158"/>
        <v/>
      </c>
      <c r="DE1762" s="708" t="str">
        <f t="shared" si="159"/>
        <v/>
      </c>
      <c r="DF1762" s="708" t="str">
        <f t="shared" si="160"/>
        <v/>
      </c>
      <c r="DG1762" s="708" t="str">
        <f t="shared" si="161"/>
        <v/>
      </c>
      <c r="DH1762" s="708" t="str">
        <f t="shared" si="162"/>
        <v/>
      </c>
      <c r="DI1762" s="708" t="str">
        <f t="shared" si="163"/>
        <v/>
      </c>
      <c r="DJ1762" s="708" t="str">
        <f t="shared" si="164"/>
        <v/>
      </c>
      <c r="DK1762" s="708" t="str">
        <f t="shared" si="165"/>
        <v/>
      </c>
      <c r="DL1762" s="708" t="str">
        <f t="shared" si="166"/>
        <v/>
      </c>
      <c r="DM1762" s="708" t="str">
        <f t="shared" si="167"/>
        <v/>
      </c>
      <c r="DN1762" s="708" t="str">
        <f t="shared" si="168"/>
        <v/>
      </c>
      <c r="DO1762" s="708" t="str">
        <f t="shared" si="169"/>
        <v/>
      </c>
      <c r="DP1762" s="708" t="str">
        <f t="shared" si="170"/>
        <v/>
      </c>
      <c r="DQ1762" s="708" t="str">
        <f t="shared" si="171"/>
        <v/>
      </c>
      <c r="DR1762" s="708" t="str">
        <f t="shared" si="172"/>
        <v/>
      </c>
      <c r="DS1762" s="708" t="str">
        <f t="shared" si="173"/>
        <v/>
      </c>
      <c r="DT1762" s="708" t="str">
        <f t="shared" si="174"/>
        <v/>
      </c>
      <c r="DU1762" s="708" t="str">
        <f t="shared" si="175"/>
        <v/>
      </c>
      <c r="DV1762" s="708" t="str">
        <f t="shared" si="176"/>
        <v/>
      </c>
      <c r="DW1762" s="708" t="str">
        <f t="shared" si="177"/>
        <v/>
      </c>
      <c r="DX1762" s="708" t="str">
        <f t="shared" si="178"/>
        <v/>
      </c>
      <c r="DY1762" s="708" t="str">
        <f t="shared" si="179"/>
        <v/>
      </c>
      <c r="DZ1762" s="708" t="str">
        <f t="shared" si="180"/>
        <v/>
      </c>
      <c r="EA1762" s="708" t="str">
        <f t="shared" si="181"/>
        <v/>
      </c>
      <c r="EB1762" s="708" t="str">
        <f t="shared" si="182"/>
        <v/>
      </c>
      <c r="EC1762" s="708" t="str">
        <f t="shared" si="183"/>
        <v/>
      </c>
      <c r="ED1762" s="708" t="str">
        <f t="shared" si="184"/>
        <v/>
      </c>
      <c r="EE1762" s="708" t="str">
        <f t="shared" si="185"/>
        <v/>
      </c>
      <c r="EF1762" s="708" t="str">
        <f t="shared" si="186"/>
        <v/>
      </c>
      <c r="EG1762" s="708" t="str">
        <f t="shared" si="187"/>
        <v/>
      </c>
      <c r="EH1762" s="708" t="str">
        <f t="shared" si="188"/>
        <v/>
      </c>
      <c r="EI1762" s="708" t="str">
        <f t="shared" si="189"/>
        <v/>
      </c>
      <c r="EJ1762" s="708" t="str">
        <f t="shared" si="190"/>
        <v/>
      </c>
      <c r="EK1762" s="708" t="str">
        <f t="shared" si="191"/>
        <v/>
      </c>
      <c r="EL1762" s="708" t="str">
        <f t="shared" si="192"/>
        <v/>
      </c>
      <c r="EM1762" s="708" t="str">
        <f t="shared" si="193"/>
        <v/>
      </c>
      <c r="EN1762" s="708" t="str">
        <f t="shared" si="194"/>
        <v/>
      </c>
      <c r="EO1762" s="708" t="str">
        <f t="shared" si="195"/>
        <v/>
      </c>
      <c r="EP1762" s="708" t="str">
        <f t="shared" si="196"/>
        <v/>
      </c>
      <c r="EQ1762" s="708" t="str">
        <f t="shared" si="197"/>
        <v/>
      </c>
      <c r="ER1762" s="708" t="str">
        <f t="shared" si="198"/>
        <v/>
      </c>
      <c r="ES1762" s="708" t="str">
        <f t="shared" si="199"/>
        <v/>
      </c>
      <c r="ET1762" s="708" t="str">
        <f t="shared" si="200"/>
        <v/>
      </c>
      <c r="EU1762" s="708" t="str">
        <f t="shared" si="201"/>
        <v/>
      </c>
      <c r="EV1762" s="708" t="str">
        <f t="shared" si="202"/>
        <v/>
      </c>
      <c r="EW1762" s="708" t="str">
        <f t="shared" si="203"/>
        <v/>
      </c>
      <c r="EX1762" s="708" t="str">
        <f t="shared" si="204"/>
        <v/>
      </c>
      <c r="EY1762" s="708" t="str">
        <f t="shared" si="205"/>
        <v/>
      </c>
      <c r="EZ1762" s="708" t="str">
        <f t="shared" si="206"/>
        <v/>
      </c>
      <c r="FA1762" s="708" t="str">
        <f t="shared" si="207"/>
        <v/>
      </c>
      <c r="FB1762" s="708" t="str">
        <f t="shared" si="208"/>
        <v/>
      </c>
      <c r="FC1762" s="708" t="str">
        <f t="shared" si="209"/>
        <v/>
      </c>
      <c r="FD1762" s="708" t="str">
        <f t="shared" si="210"/>
        <v/>
      </c>
      <c r="FE1762" s="708" t="str">
        <f t="shared" si="211"/>
        <v/>
      </c>
      <c r="FF1762" s="708" t="str">
        <f t="shared" si="212"/>
        <v/>
      </c>
      <c r="FG1762" s="708" t="str">
        <f t="shared" si="213"/>
        <v/>
      </c>
      <c r="FH1762" s="708" t="str">
        <f t="shared" si="214"/>
        <v/>
      </c>
      <c r="FI1762" s="708" t="str">
        <f t="shared" si="215"/>
        <v/>
      </c>
      <c r="FJ1762" s="708" t="str">
        <f t="shared" si="216"/>
        <v/>
      </c>
      <c r="FK1762" s="708" t="str">
        <f t="shared" si="217"/>
        <v/>
      </c>
      <c r="FL1762" s="708" t="str">
        <f t="shared" si="218"/>
        <v/>
      </c>
      <c r="FM1762" s="708" t="str">
        <f t="shared" si="219"/>
        <v/>
      </c>
      <c r="FN1762" s="708" t="str">
        <f t="shared" si="220"/>
        <v/>
      </c>
      <c r="FO1762" s="708" t="str">
        <f t="shared" si="221"/>
        <v/>
      </c>
      <c r="FP1762" s="708" t="str">
        <f t="shared" si="222"/>
        <v/>
      </c>
      <c r="FQ1762" s="708" t="str">
        <f t="shared" si="223"/>
        <v/>
      </c>
      <c r="FR1762" s="708" t="str">
        <f t="shared" si="224"/>
        <v/>
      </c>
      <c r="FS1762" s="708" t="str">
        <f t="shared" si="225"/>
        <v/>
      </c>
      <c r="FT1762" s="708" t="str">
        <f t="shared" si="226"/>
        <v/>
      </c>
      <c r="FU1762" s="708" t="str">
        <f t="shared" si="227"/>
        <v/>
      </c>
      <c r="FV1762" s="708" t="str">
        <f t="shared" si="228"/>
        <v/>
      </c>
      <c r="FW1762" s="708" t="str">
        <f t="shared" si="229"/>
        <v/>
      </c>
      <c r="FX1762" s="708" t="str">
        <f t="shared" si="230"/>
        <v/>
      </c>
      <c r="FY1762" s="708" t="str">
        <f t="shared" si="231"/>
        <v/>
      </c>
      <c r="FZ1762" s="708" t="str">
        <f t="shared" si="232"/>
        <v/>
      </c>
      <c r="GA1762" s="708" t="str">
        <f t="shared" si="233"/>
        <v/>
      </c>
      <c r="GB1762" s="708" t="str">
        <f t="shared" si="234"/>
        <v/>
      </c>
      <c r="GC1762" s="708" t="str">
        <f t="shared" si="235"/>
        <v/>
      </c>
      <c r="GD1762" s="708" t="str">
        <f t="shared" si="236"/>
        <v/>
      </c>
      <c r="GE1762" s="708" t="str">
        <f t="shared" si="237"/>
        <v/>
      </c>
      <c r="GF1762" s="708" t="str">
        <f t="shared" si="238"/>
        <v/>
      </c>
      <c r="GG1762" s="708" t="str">
        <f t="shared" si="239"/>
        <v/>
      </c>
      <c r="GH1762" s="708" t="str">
        <f t="shared" si="240"/>
        <v/>
      </c>
      <c r="GI1762" s="708" t="str">
        <f t="shared" si="241"/>
        <v/>
      </c>
      <c r="GJ1762" s="708" t="str">
        <f t="shared" si="242"/>
        <v/>
      </c>
      <c r="GK1762" s="708" t="str">
        <f t="shared" si="243"/>
        <v/>
      </c>
      <c r="GL1762" s="708" t="str">
        <f t="shared" si="244"/>
        <v/>
      </c>
      <c r="GM1762" s="708" t="str">
        <f t="shared" si="245"/>
        <v/>
      </c>
      <c r="GN1762" s="708" t="str">
        <f t="shared" si="246"/>
        <v/>
      </c>
      <c r="GO1762" s="708" t="str">
        <f t="shared" si="247"/>
        <v/>
      </c>
      <c r="GP1762" s="708" t="str">
        <f t="shared" si="248"/>
        <v/>
      </c>
      <c r="GQ1762" s="708" t="str">
        <f t="shared" si="249"/>
        <v/>
      </c>
      <c r="GR1762" s="708" t="str">
        <f t="shared" si="250"/>
        <v/>
      </c>
      <c r="GS1762" s="708" t="str">
        <f t="shared" si="251"/>
        <v/>
      </c>
      <c r="GT1762" s="708" t="str">
        <f t="shared" si="252"/>
        <v/>
      </c>
      <c r="GU1762" s="708" t="str">
        <f t="shared" si="253"/>
        <v/>
      </c>
      <c r="GV1762" s="708" t="str">
        <f t="shared" si="254"/>
        <v/>
      </c>
      <c r="GW1762" s="708" t="str">
        <f t="shared" si="255"/>
        <v/>
      </c>
      <c r="GX1762" s="708" t="str">
        <f t="shared" si="256"/>
        <v/>
      </c>
      <c r="GY1762" s="708" t="str">
        <f t="shared" si="257"/>
        <v/>
      </c>
      <c r="GZ1762" s="708" t="str">
        <f t="shared" si="258"/>
        <v/>
      </c>
      <c r="HA1762" s="708" t="str">
        <f t="shared" si="259"/>
        <v/>
      </c>
      <c r="HB1762" s="708" t="str">
        <f t="shared" si="260"/>
        <v/>
      </c>
      <c r="HC1762" s="708" t="str">
        <f t="shared" si="261"/>
        <v/>
      </c>
      <c r="HD1762" s="708" t="str">
        <f t="shared" si="262"/>
        <v/>
      </c>
      <c r="HE1762" s="708" t="str">
        <f t="shared" si="263"/>
        <v/>
      </c>
      <c r="HF1762" s="708" t="str">
        <f t="shared" si="264"/>
        <v/>
      </c>
      <c r="HG1762" s="708" t="str">
        <f t="shared" si="265"/>
        <v/>
      </c>
      <c r="HH1762" s="708" t="str">
        <f t="shared" si="266"/>
        <v/>
      </c>
      <c r="HI1762" s="708" t="str">
        <f t="shared" si="267"/>
        <v/>
      </c>
      <c r="HJ1762" s="708" t="str">
        <f t="shared" si="268"/>
        <v/>
      </c>
      <c r="HK1762" s="708" t="str">
        <f t="shared" si="269"/>
        <v/>
      </c>
    </row>
    <row r="1763" spans="1:219" ht="14.45" customHeight="1">
      <c r="A1763" s="708">
        <f>COUNT(A1725,A1726,A1727,A1728,A1729,A1730,A1731,A1732,A1733,A1734,A1735,A1736,A1737,A1738,A1739,A1740,A1741,A1742,A1743,A1744,A1745,A1746,A1747,A1748,A1749,A1750,A1751,A1752,A1753,A1754)</f>
        <v>0</v>
      </c>
      <c r="D1763" s="708" t="s">
        <v>1635</v>
      </c>
      <c r="E1763" s="708">
        <f>SUM(E1725:E1762)</f>
        <v>79</v>
      </c>
      <c r="F1763" s="70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76250</v>
      </c>
      <c r="K1763" s="708" t="s">
        <v>2003</v>
      </c>
      <c r="L1763" s="708">
        <f>SUM(L1725:L1762)</f>
        <v>38660</v>
      </c>
      <c r="T1763" s="708">
        <f t="shared" ref="T1763:CE1763" si="304">SUM(T1725:T1762)</f>
        <v>0</v>
      </c>
      <c r="U1763" s="708">
        <f t="shared" si="304"/>
        <v>7</v>
      </c>
      <c r="V1763" s="708">
        <f t="shared" si="304"/>
        <v>40</v>
      </c>
      <c r="W1763" s="708">
        <f t="shared" si="304"/>
        <v>16</v>
      </c>
      <c r="X1763" s="708">
        <f t="shared" si="304"/>
        <v>0</v>
      </c>
      <c r="Y1763" s="708">
        <f t="shared" si="304"/>
        <v>0</v>
      </c>
      <c r="Z1763" s="708">
        <f t="shared" si="304"/>
        <v>2</v>
      </c>
      <c r="AA1763" s="708">
        <f t="shared" si="304"/>
        <v>10</v>
      </c>
      <c r="AB1763" s="708">
        <f t="shared" si="304"/>
        <v>4</v>
      </c>
      <c r="AC1763" s="708">
        <f t="shared" si="304"/>
        <v>0</v>
      </c>
      <c r="AD1763" s="708">
        <f t="shared" si="304"/>
        <v>0</v>
      </c>
      <c r="AE1763" s="708">
        <f t="shared" si="304"/>
        <v>0</v>
      </c>
      <c r="AF1763" s="708">
        <f t="shared" si="304"/>
        <v>0</v>
      </c>
      <c r="AG1763" s="708">
        <f t="shared" si="304"/>
        <v>0</v>
      </c>
      <c r="AH1763" s="708">
        <f t="shared" si="304"/>
        <v>0</v>
      </c>
      <c r="AI1763" s="708">
        <f t="shared" si="304"/>
        <v>0</v>
      </c>
      <c r="AJ1763" s="708">
        <f t="shared" si="304"/>
        <v>0</v>
      </c>
      <c r="AK1763" s="708">
        <f t="shared" si="304"/>
        <v>0</v>
      </c>
      <c r="AL1763" s="708">
        <f t="shared" si="304"/>
        <v>0</v>
      </c>
      <c r="AM1763" s="708">
        <f t="shared" si="304"/>
        <v>0</v>
      </c>
      <c r="AN1763" s="708">
        <f t="shared" si="304"/>
        <v>0</v>
      </c>
      <c r="AO1763" s="708">
        <f t="shared" si="304"/>
        <v>0</v>
      </c>
      <c r="AP1763" s="708">
        <f t="shared" si="304"/>
        <v>0</v>
      </c>
      <c r="AQ1763" s="708">
        <f t="shared" si="304"/>
        <v>0</v>
      </c>
      <c r="AR1763" s="708">
        <f t="shared" si="304"/>
        <v>0</v>
      </c>
      <c r="AS1763" s="708">
        <f t="shared" si="304"/>
        <v>0</v>
      </c>
      <c r="AT1763" s="708">
        <f t="shared" si="304"/>
        <v>0</v>
      </c>
      <c r="AU1763" s="708">
        <f t="shared" si="304"/>
        <v>0</v>
      </c>
      <c r="AV1763" s="708">
        <f t="shared" si="304"/>
        <v>0</v>
      </c>
      <c r="AW1763" s="708">
        <f t="shared" si="304"/>
        <v>0</v>
      </c>
      <c r="AX1763" s="708">
        <f t="shared" si="304"/>
        <v>0</v>
      </c>
      <c r="AY1763" s="708">
        <f t="shared" si="304"/>
        <v>0</v>
      </c>
      <c r="AZ1763" s="708">
        <f t="shared" si="304"/>
        <v>0</v>
      </c>
      <c r="BA1763" s="708">
        <f t="shared" si="304"/>
        <v>0</v>
      </c>
      <c r="BB1763" s="708">
        <f t="shared" si="304"/>
        <v>0</v>
      </c>
      <c r="BC1763" s="708">
        <f t="shared" si="304"/>
        <v>0</v>
      </c>
      <c r="BD1763" s="708">
        <f t="shared" si="304"/>
        <v>0</v>
      </c>
      <c r="BE1763" s="708">
        <f t="shared" si="304"/>
        <v>0</v>
      </c>
      <c r="BF1763" s="708">
        <f t="shared" si="304"/>
        <v>0</v>
      </c>
      <c r="BG1763" s="708">
        <f t="shared" si="304"/>
        <v>0</v>
      </c>
      <c r="BH1763" s="708">
        <f t="shared" si="304"/>
        <v>0</v>
      </c>
      <c r="BI1763" s="708">
        <f t="shared" si="304"/>
        <v>0</v>
      </c>
      <c r="BJ1763" s="708">
        <f t="shared" si="304"/>
        <v>0</v>
      </c>
      <c r="BK1763" s="708">
        <f t="shared" si="304"/>
        <v>0</v>
      </c>
      <c r="BL1763" s="708">
        <f t="shared" si="304"/>
        <v>0</v>
      </c>
      <c r="BM1763" s="708">
        <f t="shared" si="304"/>
        <v>0</v>
      </c>
      <c r="BN1763" s="708">
        <f t="shared" si="304"/>
        <v>0</v>
      </c>
      <c r="BO1763" s="708">
        <f t="shared" si="304"/>
        <v>0</v>
      </c>
      <c r="BP1763" s="708">
        <f t="shared" si="304"/>
        <v>0</v>
      </c>
      <c r="BQ1763" s="708">
        <f t="shared" si="304"/>
        <v>0</v>
      </c>
      <c r="BR1763" s="708">
        <f t="shared" si="304"/>
        <v>0</v>
      </c>
      <c r="BS1763" s="708">
        <f t="shared" si="304"/>
        <v>0</v>
      </c>
      <c r="BT1763" s="708">
        <f t="shared" si="304"/>
        <v>0</v>
      </c>
      <c r="BU1763" s="708">
        <f t="shared" si="304"/>
        <v>0</v>
      </c>
      <c r="BV1763" s="708">
        <f t="shared" si="304"/>
        <v>0</v>
      </c>
      <c r="BW1763" s="708">
        <f t="shared" si="304"/>
        <v>0</v>
      </c>
      <c r="BX1763" s="708">
        <f t="shared" si="304"/>
        <v>5250</v>
      </c>
      <c r="BY1763" s="708">
        <f t="shared" si="304"/>
        <v>38000</v>
      </c>
      <c r="BZ1763" s="708">
        <f t="shared" si="304"/>
        <v>17600</v>
      </c>
      <c r="CA1763" s="708">
        <f t="shared" si="304"/>
        <v>0</v>
      </c>
      <c r="CB1763" s="708">
        <f t="shared" si="304"/>
        <v>0</v>
      </c>
      <c r="CC1763" s="708">
        <f t="shared" si="304"/>
        <v>1500</v>
      </c>
      <c r="CD1763" s="708">
        <f t="shared" si="304"/>
        <v>9500</v>
      </c>
      <c r="CE1763" s="708">
        <f t="shared" si="304"/>
        <v>4400</v>
      </c>
      <c r="CF1763" s="708">
        <f t="shared" ref="CF1763:EN1763" si="305">SUM(CF1725:CF1762)</f>
        <v>0</v>
      </c>
      <c r="CG1763" s="708">
        <f t="shared" si="305"/>
        <v>0</v>
      </c>
      <c r="CH1763" s="708">
        <f t="shared" si="305"/>
        <v>0</v>
      </c>
      <c r="CI1763" s="708">
        <f t="shared" si="305"/>
        <v>0</v>
      </c>
      <c r="CJ1763" s="708">
        <f t="shared" si="305"/>
        <v>0</v>
      </c>
      <c r="CK1763" s="708">
        <f t="shared" si="305"/>
        <v>0</v>
      </c>
      <c r="CL1763" s="708">
        <f t="shared" si="305"/>
        <v>0</v>
      </c>
      <c r="CM1763" s="708">
        <f t="shared" si="305"/>
        <v>0</v>
      </c>
      <c r="CN1763" s="708">
        <f t="shared" si="305"/>
        <v>0</v>
      </c>
      <c r="CO1763" s="708">
        <f t="shared" si="305"/>
        <v>0</v>
      </c>
      <c r="CP1763" s="708">
        <f t="shared" si="305"/>
        <v>0</v>
      </c>
      <c r="CQ1763" s="708">
        <f t="shared" si="305"/>
        <v>0</v>
      </c>
      <c r="CR1763" s="708">
        <f t="shared" si="305"/>
        <v>0</v>
      </c>
      <c r="CS1763" s="708">
        <f t="shared" si="305"/>
        <v>0</v>
      </c>
      <c r="CT1763" s="708">
        <f t="shared" si="305"/>
        <v>0</v>
      </c>
      <c r="CU1763" s="708">
        <f t="shared" si="305"/>
        <v>0</v>
      </c>
      <c r="CV1763" s="708">
        <f t="shared" si="305"/>
        <v>0</v>
      </c>
      <c r="CW1763" s="708">
        <f t="shared" si="305"/>
        <v>0</v>
      </c>
      <c r="CX1763" s="708">
        <f t="shared" si="305"/>
        <v>0</v>
      </c>
      <c r="CY1763" s="708">
        <f t="shared" si="305"/>
        <v>0</v>
      </c>
      <c r="CZ1763" s="708">
        <f t="shared" si="305"/>
        <v>0</v>
      </c>
      <c r="DA1763" s="708">
        <f t="shared" si="305"/>
        <v>0</v>
      </c>
      <c r="DB1763" s="708">
        <f t="shared" si="305"/>
        <v>9</v>
      </c>
      <c r="DC1763" s="708">
        <f t="shared" si="305"/>
        <v>50</v>
      </c>
      <c r="DD1763" s="708">
        <f t="shared" si="305"/>
        <v>20</v>
      </c>
      <c r="DE1763" s="708">
        <f t="shared" si="305"/>
        <v>0</v>
      </c>
      <c r="DF1763" s="708">
        <f t="shared" si="305"/>
        <v>0</v>
      </c>
      <c r="DG1763" s="708">
        <f t="shared" si="305"/>
        <v>0</v>
      </c>
      <c r="DH1763" s="708">
        <f t="shared" si="305"/>
        <v>0</v>
      </c>
      <c r="DI1763" s="708">
        <f t="shared" si="305"/>
        <v>0</v>
      </c>
      <c r="DJ1763" s="708">
        <f t="shared" si="305"/>
        <v>0</v>
      </c>
      <c r="DK1763" s="708">
        <f>SUM(DK1725:DK1762)</f>
        <v>0</v>
      </c>
      <c r="DL1763" s="708">
        <f>SUM(DL1725:DL1762)</f>
        <v>0</v>
      </c>
      <c r="DM1763" s="708">
        <f>SUM(DM1725:DM1762)</f>
        <v>0</v>
      </c>
      <c r="DN1763" s="708">
        <f>SUM(DN1725:DN1762)</f>
        <v>0</v>
      </c>
      <c r="DO1763" s="708">
        <f>SUM(DO1725:DO1762)</f>
        <v>0</v>
      </c>
      <c r="DP1763" s="708">
        <f t="shared" si="305"/>
        <v>0</v>
      </c>
      <c r="DQ1763" s="708">
        <f t="shared" si="305"/>
        <v>0</v>
      </c>
      <c r="DR1763" s="708">
        <f t="shared" si="305"/>
        <v>0</v>
      </c>
      <c r="DS1763" s="708">
        <f t="shared" si="305"/>
        <v>0</v>
      </c>
      <c r="DT1763" s="708">
        <f t="shared" si="305"/>
        <v>0</v>
      </c>
      <c r="DU1763" s="708">
        <f t="shared" si="305"/>
        <v>0</v>
      </c>
      <c r="DV1763" s="708">
        <f t="shared" si="305"/>
        <v>0</v>
      </c>
      <c r="DW1763" s="708">
        <f t="shared" si="305"/>
        <v>0</v>
      </c>
      <c r="DX1763" s="708">
        <f t="shared" si="305"/>
        <v>0</v>
      </c>
      <c r="DY1763" s="708">
        <f t="shared" si="305"/>
        <v>0</v>
      </c>
      <c r="DZ1763" s="708">
        <f>SUM(DZ1725:DZ1762)</f>
        <v>0</v>
      </c>
      <c r="EA1763" s="708">
        <f>SUM(EA1725:EA1762)</f>
        <v>0</v>
      </c>
      <c r="EB1763" s="708">
        <f>SUM(EB1725:EB1762)</f>
        <v>0</v>
      </c>
      <c r="EC1763" s="708">
        <f>SUM(EC1725:EC1762)</f>
        <v>0</v>
      </c>
      <c r="ED1763" s="708">
        <f>SUM(ED1725:ED1762)</f>
        <v>0</v>
      </c>
      <c r="EE1763" s="708">
        <f t="shared" si="305"/>
        <v>0</v>
      </c>
      <c r="EF1763" s="708">
        <f t="shared" si="305"/>
        <v>0</v>
      </c>
      <c r="EG1763" s="708">
        <f t="shared" si="305"/>
        <v>0</v>
      </c>
      <c r="EH1763" s="708">
        <f t="shared" si="305"/>
        <v>0</v>
      </c>
      <c r="EI1763" s="708">
        <f t="shared" si="305"/>
        <v>0</v>
      </c>
      <c r="EJ1763" s="708">
        <f t="shared" si="305"/>
        <v>0</v>
      </c>
      <c r="EK1763" s="708">
        <f t="shared" si="305"/>
        <v>0</v>
      </c>
      <c r="EL1763" s="708">
        <f t="shared" si="305"/>
        <v>0</v>
      </c>
      <c r="EM1763" s="708">
        <f t="shared" si="305"/>
        <v>0</v>
      </c>
      <c r="EN1763" s="708">
        <f t="shared" si="305"/>
        <v>0</v>
      </c>
      <c r="EO1763" s="708">
        <f>SUM(EO1725:EO1762)</f>
        <v>0</v>
      </c>
      <c r="EP1763" s="708">
        <f>SUM(EP1725:EP1762)</f>
        <v>0</v>
      </c>
      <c r="EQ1763" s="708">
        <f>SUM(EQ1725:EQ1762)</f>
        <v>0</v>
      </c>
      <c r="ER1763" s="708">
        <f>SUM(ER1725:ER1762)</f>
        <v>0</v>
      </c>
      <c r="ES1763" s="708">
        <f>SUM(ES1725:ES1762)</f>
        <v>0</v>
      </c>
      <c r="ET1763" s="708">
        <f t="shared" ref="ET1763:GL1763" si="306">SUM(ET1725:ET1762)</f>
        <v>0</v>
      </c>
      <c r="EU1763" s="708">
        <f t="shared" si="306"/>
        <v>9</v>
      </c>
      <c r="EV1763" s="708">
        <f t="shared" si="306"/>
        <v>50</v>
      </c>
      <c r="EW1763" s="708">
        <f t="shared" si="306"/>
        <v>20</v>
      </c>
      <c r="EX1763" s="708">
        <f t="shared" si="306"/>
        <v>0</v>
      </c>
      <c r="EY1763" s="708">
        <f t="shared" si="306"/>
        <v>0</v>
      </c>
      <c r="EZ1763" s="708">
        <f t="shared" si="306"/>
        <v>0</v>
      </c>
      <c r="FA1763" s="708">
        <f t="shared" si="306"/>
        <v>0</v>
      </c>
      <c r="FB1763" s="708">
        <f t="shared" si="306"/>
        <v>0</v>
      </c>
      <c r="FC1763" s="708">
        <f t="shared" si="306"/>
        <v>0</v>
      </c>
      <c r="FD1763" s="708">
        <f t="shared" si="306"/>
        <v>0</v>
      </c>
      <c r="FE1763" s="708">
        <f t="shared" si="306"/>
        <v>0</v>
      </c>
      <c r="FF1763" s="708">
        <f t="shared" si="306"/>
        <v>0</v>
      </c>
      <c r="FG1763" s="708">
        <f t="shared" si="306"/>
        <v>0</v>
      </c>
      <c r="FH1763" s="708">
        <f t="shared" si="306"/>
        <v>0</v>
      </c>
      <c r="FI1763" s="708">
        <f t="shared" si="306"/>
        <v>0</v>
      </c>
      <c r="FJ1763" s="708">
        <f t="shared" si="306"/>
        <v>0</v>
      </c>
      <c r="FK1763" s="708">
        <f t="shared" si="306"/>
        <v>0</v>
      </c>
      <c r="FL1763" s="708">
        <f t="shared" si="306"/>
        <v>0</v>
      </c>
      <c r="FM1763" s="708">
        <f t="shared" si="306"/>
        <v>0</v>
      </c>
      <c r="FN1763" s="708">
        <f t="shared" si="306"/>
        <v>0</v>
      </c>
      <c r="FO1763" s="708">
        <f t="shared" si="306"/>
        <v>0</v>
      </c>
      <c r="FP1763" s="708">
        <f t="shared" si="306"/>
        <v>0</v>
      </c>
      <c r="FQ1763" s="708">
        <f t="shared" si="306"/>
        <v>0</v>
      </c>
      <c r="FR1763" s="708">
        <f t="shared" si="306"/>
        <v>0</v>
      </c>
      <c r="FS1763" s="708">
        <f t="shared" si="306"/>
        <v>0</v>
      </c>
      <c r="FT1763" s="708">
        <f t="shared" si="306"/>
        <v>2</v>
      </c>
      <c r="FU1763" s="708">
        <f t="shared" si="306"/>
        <v>2</v>
      </c>
      <c r="FV1763" s="708">
        <f t="shared" si="306"/>
        <v>2</v>
      </c>
      <c r="FW1763" s="708">
        <f t="shared" si="306"/>
        <v>0</v>
      </c>
      <c r="FX1763" s="708">
        <f t="shared" si="306"/>
        <v>0</v>
      </c>
      <c r="FY1763" s="708">
        <f t="shared" si="306"/>
        <v>0</v>
      </c>
      <c r="FZ1763" s="708">
        <f t="shared" si="306"/>
        <v>0</v>
      </c>
      <c r="GA1763" s="708">
        <f t="shared" si="306"/>
        <v>0</v>
      </c>
      <c r="GB1763" s="708">
        <f t="shared" si="306"/>
        <v>0</v>
      </c>
      <c r="GC1763" s="708">
        <f t="shared" si="306"/>
        <v>0</v>
      </c>
      <c r="GD1763" s="708">
        <f t="shared" si="306"/>
        <v>0</v>
      </c>
      <c r="GE1763" s="708">
        <f t="shared" si="306"/>
        <v>0</v>
      </c>
      <c r="GF1763" s="708">
        <f t="shared" si="306"/>
        <v>0</v>
      </c>
      <c r="GG1763" s="708">
        <f t="shared" si="306"/>
        <v>0</v>
      </c>
      <c r="GH1763" s="708">
        <f t="shared" si="306"/>
        <v>0</v>
      </c>
      <c r="GI1763" s="708">
        <f t="shared" si="306"/>
        <v>7</v>
      </c>
      <c r="GJ1763" s="708">
        <f t="shared" si="306"/>
        <v>48</v>
      </c>
      <c r="GK1763" s="708">
        <f t="shared" si="306"/>
        <v>18</v>
      </c>
      <c r="GL1763" s="708">
        <f t="shared" si="306"/>
        <v>0</v>
      </c>
      <c r="GM1763" s="708">
        <f t="shared" ref="GM1763:HK1763" si="307">SUM(GM1725:GM1762)</f>
        <v>0</v>
      </c>
      <c r="GN1763" s="708">
        <f t="shared" si="307"/>
        <v>0</v>
      </c>
      <c r="GO1763" s="708">
        <f t="shared" si="307"/>
        <v>0</v>
      </c>
      <c r="GP1763" s="708">
        <f t="shared" si="307"/>
        <v>0</v>
      </c>
      <c r="GQ1763" s="708">
        <f t="shared" si="307"/>
        <v>0</v>
      </c>
      <c r="GR1763" s="708">
        <f t="shared" si="307"/>
        <v>0</v>
      </c>
      <c r="GS1763" s="708">
        <f t="shared" si="307"/>
        <v>0</v>
      </c>
      <c r="GT1763" s="708">
        <f t="shared" si="307"/>
        <v>0</v>
      </c>
      <c r="GU1763" s="708">
        <f t="shared" si="307"/>
        <v>0</v>
      </c>
      <c r="GV1763" s="708">
        <f t="shared" si="307"/>
        <v>0</v>
      </c>
      <c r="GW1763" s="708">
        <f t="shared" si="307"/>
        <v>0</v>
      </c>
      <c r="GX1763" s="708">
        <f t="shared" si="307"/>
        <v>0</v>
      </c>
      <c r="GY1763" s="708">
        <f t="shared" si="307"/>
        <v>0</v>
      </c>
      <c r="GZ1763" s="708">
        <f t="shared" si="307"/>
        <v>0</v>
      </c>
      <c r="HA1763" s="708">
        <f t="shared" si="307"/>
        <v>0</v>
      </c>
      <c r="HB1763" s="708">
        <f t="shared" si="307"/>
        <v>0</v>
      </c>
      <c r="HC1763" s="708">
        <f t="shared" si="307"/>
        <v>0</v>
      </c>
      <c r="HD1763" s="708">
        <f t="shared" si="307"/>
        <v>0</v>
      </c>
      <c r="HE1763" s="708">
        <f t="shared" si="307"/>
        <v>0</v>
      </c>
      <c r="HF1763" s="708">
        <f t="shared" si="307"/>
        <v>0</v>
      </c>
      <c r="HG1763" s="708">
        <f t="shared" si="307"/>
        <v>0</v>
      </c>
      <c r="HH1763" s="708">
        <f t="shared" si="307"/>
        <v>0</v>
      </c>
      <c r="HI1763" s="708">
        <f t="shared" si="307"/>
        <v>0</v>
      </c>
      <c r="HJ1763" s="708">
        <f t="shared" si="307"/>
        <v>0</v>
      </c>
      <c r="HK1763" s="708">
        <f t="shared" si="307"/>
        <v>0</v>
      </c>
    </row>
    <row r="1764" spans="1:219" ht="14.45" customHeight="1">
      <c r="K1764" s="708" t="s">
        <v>1397</v>
      </c>
      <c r="L1764" s="708">
        <f>L1763*12</f>
        <v>463920</v>
      </c>
    </row>
    <row r="1765" spans="1:219" ht="6" customHeight="1"/>
    <row r="1766" spans="1:219" ht="14.45" customHeight="1">
      <c r="A1766" s="708" t="s">
        <v>4096</v>
      </c>
    </row>
    <row r="1767" spans="1:219" ht="14.45" customHeight="1"/>
    <row r="1768" spans="1:219" ht="2.4500000000000002" customHeight="1"/>
    <row r="1769" spans="1:219" ht="14.45" customHeight="1">
      <c r="A1769" s="708" t="s">
        <v>1230</v>
      </c>
      <c r="B1769" s="708" t="s">
        <v>828</v>
      </c>
      <c r="Q1769" s="708" t="str">
        <f>IF(SUM(Q1772:Q1813)&gt;0,"ERROR Between Rent Schedule &amp; Unit Summary:", "")</f>
        <v/>
      </c>
      <c r="R1769" s="708" t="s">
        <v>1230</v>
      </c>
      <c r="S1769" s="708" t="s">
        <v>828</v>
      </c>
    </row>
    <row r="1770" spans="1:219" ht="3.4" customHeight="1"/>
    <row r="1771" spans="1:219" ht="14.45" customHeight="1">
      <c r="B1771" s="708" t="s">
        <v>1777</v>
      </c>
      <c r="H1771" s="708" t="s">
        <v>866</v>
      </c>
      <c r="I1771" s="708" t="s">
        <v>829</v>
      </c>
      <c r="J1771" s="708" t="s">
        <v>830</v>
      </c>
      <c r="K1771" s="708" t="s">
        <v>831</v>
      </c>
      <c r="L1771" s="708" t="s">
        <v>832</v>
      </c>
      <c r="M1771" s="708" t="s">
        <v>833</v>
      </c>
      <c r="S1771" s="708" t="s">
        <v>1777</v>
      </c>
      <c r="Y1771" s="708" t="s">
        <v>866</v>
      </c>
      <c r="Z1771" s="708" t="s">
        <v>829</v>
      </c>
      <c r="AA1771" s="708" t="s">
        <v>830</v>
      </c>
      <c r="AB1771" s="708" t="s">
        <v>831</v>
      </c>
      <c r="AC1771" s="708" t="s">
        <v>832</v>
      </c>
      <c r="AD1771" s="708" t="s">
        <v>833</v>
      </c>
    </row>
    <row r="1772" spans="1:219" ht="15" customHeight="1">
      <c r="C1772" s="708" t="s">
        <v>1779</v>
      </c>
      <c r="G1772" s="708" t="s">
        <v>1792</v>
      </c>
      <c r="H1772" s="708">
        <f>T1763</f>
        <v>0</v>
      </c>
      <c r="I1772" s="708">
        <f>U1763</f>
        <v>7</v>
      </c>
      <c r="J1772" s="708">
        <f>V1763</f>
        <v>40</v>
      </c>
      <c r="K1772" s="708">
        <f>W1763</f>
        <v>16</v>
      </c>
      <c r="L1772" s="708">
        <f>X1763</f>
        <v>0</v>
      </c>
      <c r="M1772" s="708">
        <f t="shared" ref="M1772:M1778" si="308">SUM(H1772:L1772)</f>
        <v>63</v>
      </c>
      <c r="N1772" s="708" t="s">
        <v>1484</v>
      </c>
      <c r="Q1772" s="708">
        <f t="shared" ref="Q1772:Q1778" si="309">ABS(M1772-AD1772)</f>
        <v>0</v>
      </c>
      <c r="T1772" s="708" t="s">
        <v>1779</v>
      </c>
      <c r="X1772" s="708" t="s">
        <v>1792</v>
      </c>
      <c r="Y1772" s="708">
        <f>T1763</f>
        <v>0</v>
      </c>
      <c r="Z1772" s="708">
        <f>U1763</f>
        <v>7</v>
      </c>
      <c r="AA1772" s="708">
        <f>V1763</f>
        <v>40</v>
      </c>
      <c r="AB1772" s="708">
        <f>W1763</f>
        <v>16</v>
      </c>
      <c r="AC1772" s="708">
        <f>X1763</f>
        <v>0</v>
      </c>
      <c r="AD1772" s="708">
        <f t="shared" ref="AD1772:AD1778" si="310">SUM(Y1772:AC1772)</f>
        <v>63</v>
      </c>
      <c r="AE1772" s="708" t="s">
        <v>1556</v>
      </c>
    </row>
    <row r="1773" spans="1:219" ht="15" customHeight="1">
      <c r="A1773" s="708" t="s">
        <v>653</v>
      </c>
      <c r="G1773" s="708" t="s">
        <v>133</v>
      </c>
      <c r="H1773" s="708">
        <f>Y1763</f>
        <v>0</v>
      </c>
      <c r="I1773" s="708">
        <f>Z1763</f>
        <v>2</v>
      </c>
      <c r="J1773" s="708">
        <f>AA1763</f>
        <v>10</v>
      </c>
      <c r="K1773" s="708">
        <f>AB1763</f>
        <v>4</v>
      </c>
      <c r="L1773" s="708">
        <f>AC1763</f>
        <v>0</v>
      </c>
      <c r="M1773" s="708">
        <f t="shared" si="308"/>
        <v>16</v>
      </c>
      <c r="Q1773" s="708">
        <f t="shared" si="309"/>
        <v>0</v>
      </c>
      <c r="X1773" s="708" t="s">
        <v>133</v>
      </c>
      <c r="Y1773" s="708">
        <f>Y1763</f>
        <v>0</v>
      </c>
      <c r="Z1773" s="708">
        <f>Z1763</f>
        <v>2</v>
      </c>
      <c r="AA1773" s="708">
        <f>AA1763</f>
        <v>10</v>
      </c>
      <c r="AB1773" s="708">
        <f>AB1763</f>
        <v>4</v>
      </c>
      <c r="AC1773" s="708">
        <f>AC1763</f>
        <v>0</v>
      </c>
      <c r="AD1773" s="708">
        <f t="shared" si="310"/>
        <v>16</v>
      </c>
    </row>
    <row r="1774" spans="1:219" ht="15" customHeight="1">
      <c r="G1774" s="708" t="s">
        <v>833</v>
      </c>
      <c r="H1774" s="708">
        <f>SUM(H1772:H1773)</f>
        <v>0</v>
      </c>
      <c r="I1774" s="708">
        <f>SUM(I1772:I1773)</f>
        <v>9</v>
      </c>
      <c r="J1774" s="708">
        <f>SUM(J1772:J1773)</f>
        <v>50</v>
      </c>
      <c r="K1774" s="708">
        <f>SUM(K1772:K1773)</f>
        <v>20</v>
      </c>
      <c r="L1774" s="708">
        <f>SUM(L1772:L1773)</f>
        <v>0</v>
      </c>
      <c r="M1774" s="708">
        <f t="shared" si="308"/>
        <v>79</v>
      </c>
      <c r="Q1774" s="708">
        <f t="shared" si="309"/>
        <v>0</v>
      </c>
      <c r="X1774" s="708" t="s">
        <v>833</v>
      </c>
      <c r="Y1774" s="708">
        <f>SUM(Y1772:Y1773)</f>
        <v>0</v>
      </c>
      <c r="Z1774" s="708">
        <f>SUM(Z1772:Z1773)</f>
        <v>9</v>
      </c>
      <c r="AA1774" s="708">
        <f>SUM(AA1772:AA1773)</f>
        <v>50</v>
      </c>
      <c r="AB1774" s="708">
        <f>SUM(AB1772:AB1773)</f>
        <v>20</v>
      </c>
      <c r="AC1774" s="708">
        <f>SUM(AC1772:AC1773)</f>
        <v>0</v>
      </c>
      <c r="AD1774" s="708">
        <f t="shared" si="310"/>
        <v>79</v>
      </c>
    </row>
    <row r="1775" spans="1:219" ht="15" customHeight="1">
      <c r="C1775" s="708" t="s">
        <v>397</v>
      </c>
      <c r="H1775" s="708">
        <f>AI1763</f>
        <v>0</v>
      </c>
      <c r="I1775" s="708">
        <f>AJ1763</f>
        <v>0</v>
      </c>
      <c r="J1775" s="708">
        <f>AK1763</f>
        <v>0</v>
      </c>
      <c r="K1775" s="708">
        <f>AL1763</f>
        <v>0</v>
      </c>
      <c r="L1775" s="708">
        <f>AM1763</f>
        <v>0</v>
      </c>
      <c r="M1775" s="708">
        <f t="shared" si="308"/>
        <v>0</v>
      </c>
      <c r="Q1775" s="708">
        <f t="shared" si="309"/>
        <v>0</v>
      </c>
      <c r="T1775" s="708" t="s">
        <v>397</v>
      </c>
      <c r="Y1775" s="708">
        <f>AI1763</f>
        <v>0</v>
      </c>
      <c r="Z1775" s="708">
        <f>AJ1763</f>
        <v>0</v>
      </c>
      <c r="AA1775" s="708">
        <f>AK1763</f>
        <v>0</v>
      </c>
      <c r="AB1775" s="708">
        <f>AL1763</f>
        <v>0</v>
      </c>
      <c r="AC1775" s="708">
        <f>AM1763</f>
        <v>0</v>
      </c>
      <c r="AD1775" s="708">
        <f t="shared" si="310"/>
        <v>0</v>
      </c>
    </row>
    <row r="1776" spans="1:219" ht="15" customHeight="1">
      <c r="C1776" s="708" t="s">
        <v>1780</v>
      </c>
      <c r="H1776" s="708">
        <f>SUM(H1774:H1775)</f>
        <v>0</v>
      </c>
      <c r="I1776" s="708">
        <f>SUM(I1774:I1775)</f>
        <v>9</v>
      </c>
      <c r="J1776" s="708">
        <f>SUM(J1774:J1775)</f>
        <v>50</v>
      </c>
      <c r="K1776" s="708">
        <f>SUM(K1774:K1775)</f>
        <v>20</v>
      </c>
      <c r="L1776" s="708">
        <f>SUM(L1774:L1775)</f>
        <v>0</v>
      </c>
      <c r="M1776" s="708">
        <f t="shared" si="308"/>
        <v>79</v>
      </c>
      <c r="Q1776" s="708">
        <f t="shared" si="309"/>
        <v>0</v>
      </c>
      <c r="T1776" s="708" t="s">
        <v>1780</v>
      </c>
      <c r="Y1776" s="708">
        <f>SUM(Y1774:Y1775)</f>
        <v>0</v>
      </c>
      <c r="Z1776" s="708">
        <f>SUM(Z1774:Z1775)</f>
        <v>9</v>
      </c>
      <c r="AA1776" s="708">
        <f>SUM(AA1774:AA1775)</f>
        <v>50</v>
      </c>
      <c r="AB1776" s="708">
        <f>SUM(AB1774:AB1775)</f>
        <v>20</v>
      </c>
      <c r="AC1776" s="708">
        <f>SUM(AC1774:AC1775)</f>
        <v>0</v>
      </c>
      <c r="AD1776" s="708">
        <f t="shared" si="310"/>
        <v>79</v>
      </c>
    </row>
    <row r="1777" spans="3:31" ht="15" customHeight="1">
      <c r="C1777" s="708" t="s">
        <v>3797</v>
      </c>
      <c r="H1777" s="708">
        <f>BR1763</f>
        <v>0</v>
      </c>
      <c r="I1777" s="708">
        <f>BS1763</f>
        <v>0</v>
      </c>
      <c r="J1777" s="708">
        <f>BT1763</f>
        <v>0</v>
      </c>
      <c r="K1777" s="708">
        <f>BU1763</f>
        <v>0</v>
      </c>
      <c r="L1777" s="708">
        <f>BV1763</f>
        <v>0</v>
      </c>
      <c r="M1777" s="708">
        <f t="shared" si="308"/>
        <v>0</v>
      </c>
      <c r="N1777" s="708" t="s">
        <v>3329</v>
      </c>
      <c r="Q1777" s="708">
        <f t="shared" si="309"/>
        <v>0</v>
      </c>
      <c r="T1777" s="708" t="s">
        <v>3797</v>
      </c>
      <c r="Y1777" s="708">
        <f>BR1763</f>
        <v>0</v>
      </c>
      <c r="Z1777" s="708">
        <f>BS1763</f>
        <v>0</v>
      </c>
      <c r="AA1777" s="708">
        <f>BT1763</f>
        <v>0</v>
      </c>
      <c r="AB1777" s="708">
        <f>BU1763</f>
        <v>0</v>
      </c>
      <c r="AC1777" s="708">
        <f>BV1763</f>
        <v>0</v>
      </c>
      <c r="AD1777" s="708">
        <f t="shared" si="310"/>
        <v>0</v>
      </c>
      <c r="AE1777" s="708" t="s">
        <v>841</v>
      </c>
    </row>
    <row r="1778" spans="3:31" ht="15" customHeight="1">
      <c r="C1778" s="708" t="s">
        <v>833</v>
      </c>
      <c r="H1778" s="708">
        <f>SUM(H1776:H1777)</f>
        <v>0</v>
      </c>
      <c r="I1778" s="708">
        <f>SUM(I1776:I1777)</f>
        <v>9</v>
      </c>
      <c r="J1778" s="708">
        <f>SUM(J1776:J1777)</f>
        <v>50</v>
      </c>
      <c r="K1778" s="708">
        <f>SUM(K1776:K1777)</f>
        <v>20</v>
      </c>
      <c r="L1778" s="708">
        <f>SUM(L1776:L1777)</f>
        <v>0</v>
      </c>
      <c r="M1778" s="708">
        <f t="shared" si="308"/>
        <v>79</v>
      </c>
      <c r="Q1778" s="708">
        <f t="shared" si="309"/>
        <v>0</v>
      </c>
      <c r="T1778" s="708" t="s">
        <v>833</v>
      </c>
      <c r="Y1778" s="708">
        <f>SUM(Y1776:Y1777)</f>
        <v>0</v>
      </c>
      <c r="Z1778" s="708">
        <f>SUM(Z1776:Z1777)</f>
        <v>9</v>
      </c>
      <c r="AA1778" s="708">
        <f>SUM(AA1776:AA1777)</f>
        <v>50</v>
      </c>
      <c r="AB1778" s="708">
        <f>SUM(AB1776:AB1777)</f>
        <v>20</v>
      </c>
      <c r="AC1778" s="708">
        <f>SUM(AC1776:AC1777)</f>
        <v>0</v>
      </c>
      <c r="AD1778" s="708">
        <f t="shared" si="310"/>
        <v>79</v>
      </c>
    </row>
    <row r="1779" spans="3:31" ht="14.45" customHeight="1"/>
    <row r="1780" spans="3:31" ht="15" customHeight="1">
      <c r="C1780" s="708" t="s">
        <v>1530</v>
      </c>
      <c r="G1780" s="708" t="s">
        <v>1792</v>
      </c>
      <c r="H1780" s="708">
        <f>AX1763</f>
        <v>0</v>
      </c>
      <c r="I1780" s="708">
        <f>AY1763</f>
        <v>0</v>
      </c>
      <c r="J1780" s="708">
        <f>AZ1763</f>
        <v>0</v>
      </c>
      <c r="K1780" s="708">
        <f>BA1763</f>
        <v>0</v>
      </c>
      <c r="L1780" s="708">
        <f>BB1763</f>
        <v>0</v>
      </c>
      <c r="M1780" s="708">
        <f>SUM(H1780:L1780)</f>
        <v>0</v>
      </c>
      <c r="Q1780" s="708">
        <f>ABS(M1780-AD1780)</f>
        <v>0</v>
      </c>
      <c r="T1780" s="708" t="s">
        <v>1530</v>
      </c>
      <c r="X1780" s="708" t="s">
        <v>1792</v>
      </c>
      <c r="Y1780" s="708">
        <f>AX1763</f>
        <v>0</v>
      </c>
      <c r="Z1780" s="708">
        <f>AY1763</f>
        <v>0</v>
      </c>
      <c r="AA1780" s="708">
        <f>AZ1763</f>
        <v>0</v>
      </c>
      <c r="AB1780" s="708">
        <f>BA1763</f>
        <v>0</v>
      </c>
      <c r="AC1780" s="708">
        <f>BB1763</f>
        <v>0</v>
      </c>
      <c r="AD1780" s="708">
        <f>SUM(Y1780:AC1780)</f>
        <v>0</v>
      </c>
    </row>
    <row r="1781" spans="3:31" ht="15" customHeight="1">
      <c r="C1781" s="708" t="s">
        <v>3798</v>
      </c>
      <c r="G1781" s="708" t="s">
        <v>133</v>
      </c>
      <c r="H1781" s="708">
        <f>AS1763</f>
        <v>0</v>
      </c>
      <c r="I1781" s="708">
        <f>AT1763</f>
        <v>0</v>
      </c>
      <c r="J1781" s="708">
        <f>AU1763</f>
        <v>0</v>
      </c>
      <c r="K1781" s="708">
        <f>AV1763</f>
        <v>0</v>
      </c>
      <c r="L1781" s="708">
        <f>AW1763</f>
        <v>0</v>
      </c>
      <c r="M1781" s="708">
        <f>SUM(H1781:L1781)</f>
        <v>0</v>
      </c>
      <c r="Q1781" s="708">
        <f>ABS(M1781-AD1781)</f>
        <v>0</v>
      </c>
      <c r="T1781" s="708" t="s">
        <v>3798</v>
      </c>
      <c r="X1781" s="708" t="s">
        <v>133</v>
      </c>
      <c r="Y1781" s="708">
        <f>AS1763</f>
        <v>0</v>
      </c>
      <c r="Z1781" s="708">
        <f>AT1763</f>
        <v>0</v>
      </c>
      <c r="AA1781" s="708">
        <f>AU1763</f>
        <v>0</v>
      </c>
      <c r="AB1781" s="708">
        <f>AV1763</f>
        <v>0</v>
      </c>
      <c r="AC1781" s="708">
        <f>AW1763</f>
        <v>0</v>
      </c>
      <c r="AD1781" s="708">
        <f>SUM(Y1781:AC1781)</f>
        <v>0</v>
      </c>
    </row>
    <row r="1782" spans="3:31" ht="15" customHeight="1">
      <c r="G1782" s="708" t="s">
        <v>833</v>
      </c>
      <c r="H1782" s="708">
        <f>SUM(H1780:H1781)</f>
        <v>0</v>
      </c>
      <c r="I1782" s="708">
        <f>SUM(I1780:I1781)</f>
        <v>0</v>
      </c>
      <c r="J1782" s="708">
        <f>SUM(J1780:J1781)</f>
        <v>0</v>
      </c>
      <c r="K1782" s="708">
        <f>SUM(K1780:K1781)</f>
        <v>0</v>
      </c>
      <c r="L1782" s="708">
        <f>SUM(L1780:L1781)</f>
        <v>0</v>
      </c>
      <c r="M1782" s="708">
        <f>SUM(H1782:L1782)</f>
        <v>0</v>
      </c>
      <c r="Q1782" s="708">
        <f>ABS(M1782-AD1782)</f>
        <v>0</v>
      </c>
      <c r="X1782" s="708" t="s">
        <v>833</v>
      </c>
      <c r="Y1782" s="708">
        <f>SUM(Y1780:Y1781)</f>
        <v>0</v>
      </c>
      <c r="Z1782" s="708">
        <f>SUM(Z1780:Z1781)</f>
        <v>0</v>
      </c>
      <c r="AA1782" s="708">
        <f>SUM(AA1780:AA1781)</f>
        <v>0</v>
      </c>
      <c r="AB1782" s="708">
        <f>SUM(AB1780:AB1781)</f>
        <v>0</v>
      </c>
      <c r="AC1782" s="708">
        <f>SUM(AC1780:AC1781)</f>
        <v>0</v>
      </c>
      <c r="AD1782" s="708">
        <f>SUM(Y1782:AC1782)</f>
        <v>0</v>
      </c>
    </row>
    <row r="1783" spans="3:31" ht="14.45" customHeight="1"/>
    <row r="1784" spans="3:31" ht="15" customHeight="1">
      <c r="C1784" s="708" t="s">
        <v>1483</v>
      </c>
      <c r="G1784" s="708" t="s">
        <v>1792</v>
      </c>
      <c r="H1784" s="708">
        <f>BM1763</f>
        <v>0</v>
      </c>
      <c r="I1784" s="708">
        <f>BN1763</f>
        <v>0</v>
      </c>
      <c r="J1784" s="708">
        <f>BO1763</f>
        <v>0</v>
      </c>
      <c r="K1784" s="708">
        <f>BP1763</f>
        <v>0</v>
      </c>
      <c r="L1784" s="708">
        <f>BQ1763</f>
        <v>0</v>
      </c>
      <c r="M1784" s="708">
        <f>SUM(H1784:L1784)</f>
        <v>0</v>
      </c>
      <c r="Q1784" s="708">
        <f>ABS(M1784-AD1784)</f>
        <v>0</v>
      </c>
      <c r="T1784" s="708" t="s">
        <v>1483</v>
      </c>
      <c r="X1784" s="708" t="s">
        <v>1792</v>
      </c>
      <c r="Y1784" s="708">
        <f>BM1763</f>
        <v>0</v>
      </c>
      <c r="Z1784" s="708">
        <f>BN1763</f>
        <v>0</v>
      </c>
      <c r="AA1784" s="708">
        <f>BO1763</f>
        <v>0</v>
      </c>
      <c r="AB1784" s="708">
        <f>BP1763</f>
        <v>0</v>
      </c>
      <c r="AC1784" s="708">
        <f>BQ1763</f>
        <v>0</v>
      </c>
      <c r="AD1784" s="708">
        <f>SUM(Y1784:AC1784)</f>
        <v>0</v>
      </c>
    </row>
    <row r="1785" spans="3:31" ht="15" customHeight="1">
      <c r="C1785" s="708" t="s">
        <v>3798</v>
      </c>
      <c r="G1785" s="708" t="s">
        <v>133</v>
      </c>
      <c r="H1785" s="708">
        <f>BH1763</f>
        <v>0</v>
      </c>
      <c r="I1785" s="708">
        <f>BI1763</f>
        <v>0</v>
      </c>
      <c r="J1785" s="708">
        <f>BJ1763</f>
        <v>0</v>
      </c>
      <c r="K1785" s="708">
        <f>BK1763</f>
        <v>0</v>
      </c>
      <c r="L1785" s="708">
        <f>BL1763</f>
        <v>0</v>
      </c>
      <c r="M1785" s="708">
        <f>SUM(H1785:L1785)</f>
        <v>0</v>
      </c>
      <c r="Q1785" s="708">
        <f>ABS(M1785-AD1785)</f>
        <v>0</v>
      </c>
      <c r="T1785" s="708" t="s">
        <v>3798</v>
      </c>
      <c r="X1785" s="708" t="s">
        <v>133</v>
      </c>
      <c r="Y1785" s="708">
        <f>BH1763</f>
        <v>0</v>
      </c>
      <c r="Z1785" s="708">
        <f>BI1763</f>
        <v>0</v>
      </c>
      <c r="AA1785" s="708">
        <f>BJ1763</f>
        <v>0</v>
      </c>
      <c r="AB1785" s="708">
        <f>BK1763</f>
        <v>0</v>
      </c>
      <c r="AC1785" s="708">
        <f>BL1763</f>
        <v>0</v>
      </c>
      <c r="AD1785" s="708">
        <f>SUM(Y1785:AC1785)</f>
        <v>0</v>
      </c>
    </row>
    <row r="1786" spans="3:31" ht="15" customHeight="1">
      <c r="G1786" s="708" t="s">
        <v>833</v>
      </c>
      <c r="H1786" s="708">
        <f>SUM(H1784:H1785)</f>
        <v>0</v>
      </c>
      <c r="I1786" s="708">
        <f>SUM(I1784:I1785)</f>
        <v>0</v>
      </c>
      <c r="J1786" s="708">
        <f>SUM(J1784:J1785)</f>
        <v>0</v>
      </c>
      <c r="K1786" s="708">
        <f>SUM(K1784:K1785)</f>
        <v>0</v>
      </c>
      <c r="L1786" s="708">
        <f>SUM(L1784:L1785)</f>
        <v>0</v>
      </c>
      <c r="M1786" s="708">
        <f>SUM(H1786:L1786)</f>
        <v>0</v>
      </c>
      <c r="Q1786" s="708">
        <f>ABS(M1786-AD1786)</f>
        <v>0</v>
      </c>
      <c r="X1786" s="708" t="s">
        <v>833</v>
      </c>
      <c r="Y1786" s="708">
        <f>SUM(Y1784:Y1785)</f>
        <v>0</v>
      </c>
      <c r="Z1786" s="708">
        <f>SUM(Z1784:Z1785)</f>
        <v>0</v>
      </c>
      <c r="AA1786" s="708">
        <f>SUM(AA1784:AA1785)</f>
        <v>0</v>
      </c>
      <c r="AB1786" s="708">
        <f>SUM(AB1784:AB1785)</f>
        <v>0</v>
      </c>
      <c r="AC1786" s="708">
        <f>SUM(AC1784:AC1785)</f>
        <v>0</v>
      </c>
      <c r="AD1786" s="708">
        <f>SUM(Y1786:AC1786)</f>
        <v>0</v>
      </c>
    </row>
    <row r="1787" spans="3:31" ht="14.45" customHeight="1">
      <c r="C1787" s="708" t="s">
        <v>44</v>
      </c>
      <c r="T1787" s="708" t="s">
        <v>3236</v>
      </c>
    </row>
    <row r="1788" spans="3:31" ht="15" customHeight="1">
      <c r="E1788" s="708" t="s">
        <v>3436</v>
      </c>
      <c r="G1788" s="708" t="s">
        <v>2155</v>
      </c>
      <c r="H1788" s="708">
        <f>DA1763</f>
        <v>0</v>
      </c>
      <c r="I1788" s="708">
        <f>DB1763</f>
        <v>9</v>
      </c>
      <c r="J1788" s="708">
        <f>DC1763</f>
        <v>50</v>
      </c>
      <c r="K1788" s="708">
        <f>DD1763</f>
        <v>20</v>
      </c>
      <c r="L1788" s="708">
        <f>DE1763</f>
        <v>0</v>
      </c>
      <c r="M1788" s="708">
        <f t="shared" ref="M1788:M1798" si="311">SUM(H1788:L1788)</f>
        <v>79</v>
      </c>
      <c r="Q1788" s="708">
        <f t="shared" ref="Q1788:Q1796" si="312">ABS(M1788-AD1788)</f>
        <v>0</v>
      </c>
      <c r="V1788" s="708" t="s">
        <v>3436</v>
      </c>
      <c r="X1788" s="708" t="s">
        <v>2155</v>
      </c>
      <c r="Y1788" s="708">
        <f>DA1763</f>
        <v>0</v>
      </c>
      <c r="Z1788" s="708">
        <f>DB1763</f>
        <v>9</v>
      </c>
      <c r="AA1788" s="708">
        <f>DC1763</f>
        <v>50</v>
      </c>
      <c r="AB1788" s="708">
        <f>DD1763</f>
        <v>20</v>
      </c>
      <c r="AC1788" s="708">
        <f>DE1763</f>
        <v>0</v>
      </c>
      <c r="AD1788" s="708">
        <f t="shared" ref="AD1788:AD1796" si="313">SUM(Y1788:AC1788)</f>
        <v>79</v>
      </c>
    </row>
    <row r="1789" spans="3:31" ht="15" customHeight="1">
      <c r="G1789" s="708" t="s">
        <v>397</v>
      </c>
      <c r="H1789" s="708">
        <f>DF1763</f>
        <v>0</v>
      </c>
      <c r="I1789" s="708">
        <f>DG1763</f>
        <v>0</v>
      </c>
      <c r="J1789" s="708">
        <f>DH1763</f>
        <v>0</v>
      </c>
      <c r="K1789" s="708">
        <f>DI1763</f>
        <v>0</v>
      </c>
      <c r="L1789" s="708">
        <f>DJ1763</f>
        <v>0</v>
      </c>
      <c r="M1789" s="708">
        <f t="shared" si="311"/>
        <v>0</v>
      </c>
      <c r="Q1789" s="708">
        <f t="shared" si="312"/>
        <v>0</v>
      </c>
      <c r="X1789" s="708" t="s">
        <v>2154</v>
      </c>
      <c r="Y1789" s="708">
        <f>DF1763</f>
        <v>0</v>
      </c>
      <c r="Z1789" s="708">
        <f>DG1763</f>
        <v>0</v>
      </c>
      <c r="AA1789" s="708">
        <f>DH1763</f>
        <v>0</v>
      </c>
      <c r="AB1789" s="708">
        <f>DI1763</f>
        <v>0</v>
      </c>
      <c r="AC1789" s="708">
        <f>DJ1763</f>
        <v>0</v>
      </c>
      <c r="AD1789" s="708">
        <f t="shared" si="313"/>
        <v>0</v>
      </c>
    </row>
    <row r="1790" spans="3:31" ht="15" customHeight="1">
      <c r="G1790" s="708" t="s">
        <v>34</v>
      </c>
      <c r="H1790" s="708">
        <f>SUM(H1788:H1789)+DK1763</f>
        <v>0</v>
      </c>
      <c r="I1790" s="708">
        <f>SUM(I1788:I1789)+DL1763</f>
        <v>9</v>
      </c>
      <c r="J1790" s="708">
        <f>SUM(J1788:J1789)+DM1763</f>
        <v>50</v>
      </c>
      <c r="K1790" s="708">
        <f>SUM(K1788:K1789)+DN1763</f>
        <v>20</v>
      </c>
      <c r="L1790" s="708">
        <f>SUM(L1788:L1789)+DO1763</f>
        <v>0</v>
      </c>
      <c r="M1790" s="708">
        <f t="shared" si="311"/>
        <v>79</v>
      </c>
      <c r="Q1790" s="708">
        <f t="shared" si="312"/>
        <v>0</v>
      </c>
      <c r="X1790" s="708" t="s">
        <v>34</v>
      </c>
      <c r="Y1790" s="708">
        <f>SUM(Y1788:Y1789)+DK1763</f>
        <v>0</v>
      </c>
      <c r="Z1790" s="708">
        <f>SUM(Z1788:Z1789)+DL1763</f>
        <v>9</v>
      </c>
      <c r="AA1790" s="708">
        <f>SUM(AA1788:AA1789)+DM1763</f>
        <v>50</v>
      </c>
      <c r="AB1790" s="708">
        <f>SUM(AB1788:AB1789)+DN1763</f>
        <v>20</v>
      </c>
      <c r="AC1790" s="708">
        <f>SUM(AC1788:AC1789)+DO1763</f>
        <v>0</v>
      </c>
      <c r="AD1790" s="708">
        <f t="shared" si="313"/>
        <v>79</v>
      </c>
    </row>
    <row r="1791" spans="3:31" ht="15" customHeight="1">
      <c r="E1791" s="708" t="s">
        <v>3238</v>
      </c>
      <c r="G1791" s="708" t="s">
        <v>2155</v>
      </c>
      <c r="H1791" s="708">
        <f>DP1763</f>
        <v>0</v>
      </c>
      <c r="I1791" s="708">
        <f>DQ1763</f>
        <v>0</v>
      </c>
      <c r="J1791" s="708">
        <f>DR1763</f>
        <v>0</v>
      </c>
      <c r="K1791" s="708">
        <f>DS1763</f>
        <v>0</v>
      </c>
      <c r="L1791" s="708">
        <f>DT1763</f>
        <v>0</v>
      </c>
      <c r="M1791" s="708">
        <f t="shared" si="311"/>
        <v>0</v>
      </c>
      <c r="Q1791" s="708">
        <f t="shared" si="312"/>
        <v>0</v>
      </c>
      <c r="V1791" s="708" t="s">
        <v>3238</v>
      </c>
      <c r="X1791" s="708" t="s">
        <v>2155</v>
      </c>
      <c r="Y1791" s="708">
        <f>DP1763</f>
        <v>0</v>
      </c>
      <c r="Z1791" s="708">
        <f>DQ1763</f>
        <v>0</v>
      </c>
      <c r="AA1791" s="708">
        <f>DR1763</f>
        <v>0</v>
      </c>
      <c r="AB1791" s="708">
        <f>DS1763</f>
        <v>0</v>
      </c>
      <c r="AC1791" s="708">
        <f>DT1763</f>
        <v>0</v>
      </c>
      <c r="AD1791" s="708">
        <f t="shared" si="313"/>
        <v>0</v>
      </c>
    </row>
    <row r="1792" spans="3:31" ht="15" customHeight="1">
      <c r="G1792" s="708" t="s">
        <v>397</v>
      </c>
      <c r="H1792" s="708">
        <f>DU1763</f>
        <v>0</v>
      </c>
      <c r="I1792" s="708">
        <f>DV1763</f>
        <v>0</v>
      </c>
      <c r="J1792" s="708">
        <f>DW1763</f>
        <v>0</v>
      </c>
      <c r="K1792" s="708">
        <f>DX1763</f>
        <v>0</v>
      </c>
      <c r="L1792" s="708">
        <f>DY1763</f>
        <v>0</v>
      </c>
      <c r="M1792" s="708">
        <f t="shared" si="311"/>
        <v>0</v>
      </c>
      <c r="Q1792" s="708">
        <f t="shared" si="312"/>
        <v>0</v>
      </c>
      <c r="X1792" s="708" t="s">
        <v>2154</v>
      </c>
      <c r="Y1792" s="708">
        <f>DU1763</f>
        <v>0</v>
      </c>
      <c r="Z1792" s="708">
        <f>DV1763</f>
        <v>0</v>
      </c>
      <c r="AA1792" s="708">
        <f>DW1763</f>
        <v>0</v>
      </c>
      <c r="AB1792" s="708">
        <f>DX1763</f>
        <v>0</v>
      </c>
      <c r="AC1792" s="708">
        <f>DY1763</f>
        <v>0</v>
      </c>
      <c r="AD1792" s="708">
        <f t="shared" si="313"/>
        <v>0</v>
      </c>
    </row>
    <row r="1793" spans="2:30" ht="15" customHeight="1">
      <c r="G1793" s="708" t="s">
        <v>34</v>
      </c>
      <c r="H1793" s="708">
        <f>SUM(H1791:H1792)+DZ1763</f>
        <v>0</v>
      </c>
      <c r="I1793" s="708">
        <f>SUM(I1791:I1792)+EA1763</f>
        <v>0</v>
      </c>
      <c r="J1793" s="708">
        <f>SUM(J1791:J1792)+EB1763</f>
        <v>0</v>
      </c>
      <c r="K1793" s="708">
        <f>SUM(K1791:K1792)+EC1763</f>
        <v>0</v>
      </c>
      <c r="L1793" s="708">
        <f>SUM(L1791:L1792)+ED1763</f>
        <v>0</v>
      </c>
      <c r="M1793" s="708">
        <f t="shared" si="311"/>
        <v>0</v>
      </c>
      <c r="Q1793" s="708">
        <f t="shared" si="312"/>
        <v>0</v>
      </c>
      <c r="X1793" s="708" t="s">
        <v>34</v>
      </c>
      <c r="Y1793" s="708">
        <f>SUM(Y1791:Y1792)+DZ1763</f>
        <v>0</v>
      </c>
      <c r="Z1793" s="708">
        <f>SUM(Z1791:Z1792)+EA1763</f>
        <v>0</v>
      </c>
      <c r="AA1793" s="708">
        <f>SUM(AA1791:AA1792)+EB1763</f>
        <v>0</v>
      </c>
      <c r="AB1793" s="708">
        <f>SUM(AB1791:AB1792)+EC1763</f>
        <v>0</v>
      </c>
      <c r="AC1793" s="708">
        <f>SUM(AC1791:AC1792)+ED1763</f>
        <v>0</v>
      </c>
      <c r="AD1793" s="708">
        <f t="shared" si="313"/>
        <v>0</v>
      </c>
    </row>
    <row r="1794" spans="2:30" ht="15" customHeight="1">
      <c r="E1794" s="708" t="s">
        <v>2132</v>
      </c>
      <c r="G1794" s="708" t="s">
        <v>2155</v>
      </c>
      <c r="H1794" s="708">
        <f>EE1763</f>
        <v>0</v>
      </c>
      <c r="I1794" s="708">
        <f>EF1763</f>
        <v>0</v>
      </c>
      <c r="J1794" s="708">
        <f>EG1763</f>
        <v>0</v>
      </c>
      <c r="K1794" s="708">
        <f>EH1763</f>
        <v>0</v>
      </c>
      <c r="L1794" s="708">
        <f>EI1763</f>
        <v>0</v>
      </c>
      <c r="M1794" s="708">
        <f t="shared" si="311"/>
        <v>0</v>
      </c>
      <c r="Q1794" s="708">
        <f t="shared" si="312"/>
        <v>0</v>
      </c>
      <c r="V1794" s="708" t="s">
        <v>3142</v>
      </c>
      <c r="X1794" s="708" t="s">
        <v>2155</v>
      </c>
      <c r="Y1794" s="708">
        <f>EE1763</f>
        <v>0</v>
      </c>
      <c r="Z1794" s="708">
        <f>EF1763</f>
        <v>0</v>
      </c>
      <c r="AA1794" s="708">
        <f>EG1763</f>
        <v>0</v>
      </c>
      <c r="AB1794" s="708">
        <f>EH1763</f>
        <v>0</v>
      </c>
      <c r="AC1794" s="708">
        <f>EI1763</f>
        <v>0</v>
      </c>
      <c r="AD1794" s="708">
        <f t="shared" si="313"/>
        <v>0</v>
      </c>
    </row>
    <row r="1795" spans="2:30" ht="15" customHeight="1">
      <c r="G1795" s="708" t="s">
        <v>397</v>
      </c>
      <c r="H1795" s="708">
        <f>EJ1763</f>
        <v>0</v>
      </c>
      <c r="I1795" s="708">
        <f>EK1763</f>
        <v>0</v>
      </c>
      <c r="J1795" s="708">
        <f>EL1763</f>
        <v>0</v>
      </c>
      <c r="K1795" s="708">
        <f>EM1763</f>
        <v>0</v>
      </c>
      <c r="L1795" s="708">
        <f>EN1763</f>
        <v>0</v>
      </c>
      <c r="M1795" s="708">
        <f t="shared" si="311"/>
        <v>0</v>
      </c>
      <c r="Q1795" s="708">
        <f t="shared" si="312"/>
        <v>0</v>
      </c>
      <c r="X1795" s="708" t="s">
        <v>2154</v>
      </c>
      <c r="Y1795" s="708">
        <f>EJ1763</f>
        <v>0</v>
      </c>
      <c r="Z1795" s="708">
        <f>EK1763</f>
        <v>0</v>
      </c>
      <c r="AA1795" s="708">
        <f>EL1763</f>
        <v>0</v>
      </c>
      <c r="AB1795" s="708">
        <f>EM1763</f>
        <v>0</v>
      </c>
      <c r="AC1795" s="708">
        <f>EN1763</f>
        <v>0</v>
      </c>
      <c r="AD1795" s="708">
        <f t="shared" si="313"/>
        <v>0</v>
      </c>
    </row>
    <row r="1796" spans="2:30" ht="15" customHeight="1">
      <c r="G1796" s="708" t="s">
        <v>34</v>
      </c>
      <c r="H1796" s="708">
        <f>SUM(H1794:H1795)+EO1763</f>
        <v>0</v>
      </c>
      <c r="I1796" s="708">
        <f>SUM(I1794:I1795)+EP1763</f>
        <v>0</v>
      </c>
      <c r="J1796" s="708">
        <f>SUM(J1794:J1795)+EQ1763</f>
        <v>0</v>
      </c>
      <c r="K1796" s="708">
        <f>SUM(K1794:K1795)+ER1763</f>
        <v>0</v>
      </c>
      <c r="L1796" s="708">
        <f>SUM(L1794:L1795)+ES1763</f>
        <v>0</v>
      </c>
      <c r="M1796" s="708">
        <f t="shared" si="311"/>
        <v>0</v>
      </c>
      <c r="Q1796" s="708">
        <f t="shared" si="312"/>
        <v>0</v>
      </c>
      <c r="X1796" s="708" t="s">
        <v>34</v>
      </c>
      <c r="Y1796" s="708">
        <f>SUM(Y1794:Y1795)+EO1763</f>
        <v>0</v>
      </c>
      <c r="Z1796" s="708">
        <f>SUM(Z1794:Z1795)+EP1763</f>
        <v>0</v>
      </c>
      <c r="AA1796" s="708">
        <f>SUM(AA1794:AA1795)+EQ1763</f>
        <v>0</v>
      </c>
      <c r="AB1796" s="708">
        <f>SUM(AB1794:AB1795)+ER1763</f>
        <v>0</v>
      </c>
      <c r="AC1796" s="708">
        <f>SUM(AC1794:AC1795)+ES1763</f>
        <v>0</v>
      </c>
      <c r="AD1796" s="708">
        <f t="shared" si="313"/>
        <v>0</v>
      </c>
    </row>
    <row r="1797" spans="2:30" ht="15" customHeight="1">
      <c r="E1797" s="708" t="s">
        <v>469</v>
      </c>
      <c r="H1797" s="708">
        <f>'Part VI-Revenues &amp; Expenses'!H82</f>
        <v>0</v>
      </c>
      <c r="I1797" s="708">
        <f>'Part VI-Revenues &amp; Expenses'!I82</f>
        <v>0</v>
      </c>
      <c r="J1797" s="708">
        <f>'Part VI-Revenues &amp; Expenses'!J82</f>
        <v>0</v>
      </c>
      <c r="K1797" s="708">
        <f>'Part VI-Revenues &amp; Expenses'!K82</f>
        <v>0</v>
      </c>
      <c r="L1797" s="708">
        <f>'Part VI-Revenues &amp; Expenses'!L82</f>
        <v>0</v>
      </c>
      <c r="M1797" s="708">
        <f t="shared" si="311"/>
        <v>0</v>
      </c>
    </row>
    <row r="1798" spans="2:30" ht="15" customHeight="1">
      <c r="E1798" s="708" t="s">
        <v>470</v>
      </c>
      <c r="H1798" s="708">
        <f>'Part VI-Revenues &amp; Expenses'!H83</f>
        <v>0</v>
      </c>
      <c r="I1798" s="708">
        <f>'Part VI-Revenues &amp; Expenses'!I83</f>
        <v>0</v>
      </c>
      <c r="J1798" s="708">
        <f>'Part VI-Revenues &amp; Expenses'!J83</f>
        <v>0</v>
      </c>
      <c r="K1798" s="708">
        <f>'Part VI-Revenues &amp; Expenses'!K83</f>
        <v>0</v>
      </c>
      <c r="L1798" s="708">
        <f>'Part VI-Revenues &amp; Expenses'!L83</f>
        <v>0</v>
      </c>
      <c r="M1798" s="708">
        <f t="shared" si="311"/>
        <v>0</v>
      </c>
    </row>
    <row r="1799" spans="2:30" ht="14.45" customHeight="1">
      <c r="C1799" s="708" t="s">
        <v>45</v>
      </c>
      <c r="T1799" s="708" t="s">
        <v>45</v>
      </c>
    </row>
    <row r="1800" spans="2:30" ht="15" customHeight="1">
      <c r="E1800" s="708" t="s">
        <v>46</v>
      </c>
      <c r="H1800" s="708">
        <f>ET1763</f>
        <v>0</v>
      </c>
      <c r="I1800" s="708">
        <f>EU1763</f>
        <v>9</v>
      </c>
      <c r="J1800" s="708">
        <f>EV1763</f>
        <v>50</v>
      </c>
      <c r="K1800" s="708">
        <f>EW1763</f>
        <v>20</v>
      </c>
      <c r="L1800" s="708">
        <f>EX1763</f>
        <v>0</v>
      </c>
      <c r="M1800" s="708">
        <f>SUM(H1800:L1800)</f>
        <v>79</v>
      </c>
      <c r="Q1800" s="708">
        <f>ABS(M1800-AD1800)</f>
        <v>0</v>
      </c>
      <c r="V1800" s="708" t="s">
        <v>46</v>
      </c>
      <c r="Y1800" s="708">
        <f>ET1763</f>
        <v>0</v>
      </c>
      <c r="Z1800" s="708">
        <f>EU1763</f>
        <v>9</v>
      </c>
      <c r="AA1800" s="708">
        <f>EV1763</f>
        <v>50</v>
      </c>
      <c r="AB1800" s="708">
        <f>EW1763</f>
        <v>20</v>
      </c>
      <c r="AC1800" s="708">
        <f>EX1763</f>
        <v>0</v>
      </c>
      <c r="AD1800" s="708">
        <f>SUM(Y1800:AC1800)</f>
        <v>79</v>
      </c>
    </row>
    <row r="1801" spans="2:30" ht="15" customHeight="1">
      <c r="E1801" s="708" t="s">
        <v>47</v>
      </c>
      <c r="H1801" s="708">
        <f>EY1763</f>
        <v>0</v>
      </c>
      <c r="I1801" s="708">
        <f>EZ1763</f>
        <v>0</v>
      </c>
      <c r="J1801" s="708">
        <f>FA1763</f>
        <v>0</v>
      </c>
      <c r="K1801" s="708">
        <f>FB1763</f>
        <v>0</v>
      </c>
      <c r="L1801" s="708">
        <f>FC1763</f>
        <v>0</v>
      </c>
      <c r="M1801" s="708">
        <f>SUM(H1801:L1801)</f>
        <v>0</v>
      </c>
      <c r="Q1801" s="708">
        <f>ABS(M1801-AD1801)</f>
        <v>0</v>
      </c>
      <c r="V1801" s="708" t="s">
        <v>47</v>
      </c>
      <c r="Y1801" s="708">
        <f>EY1763</f>
        <v>0</v>
      </c>
      <c r="Z1801" s="708">
        <f>EZ1763</f>
        <v>0</v>
      </c>
      <c r="AA1801" s="708">
        <f>FA1763</f>
        <v>0</v>
      </c>
      <c r="AB1801" s="708">
        <f>FB1763</f>
        <v>0</v>
      </c>
      <c r="AC1801" s="708">
        <f>FC1763</f>
        <v>0</v>
      </c>
      <c r="AD1801" s="708">
        <f>SUM(Y1801:AC1801)</f>
        <v>0</v>
      </c>
    </row>
    <row r="1802" spans="2:30" ht="15" customHeight="1">
      <c r="E1802" s="708" t="s">
        <v>48</v>
      </c>
      <c r="H1802" s="708">
        <f>FN1763</f>
        <v>0</v>
      </c>
      <c r="I1802" s="708">
        <f>FO1763</f>
        <v>0</v>
      </c>
      <c r="J1802" s="708">
        <f>FP1763</f>
        <v>0</v>
      </c>
      <c r="K1802" s="708">
        <f>FQ1763</f>
        <v>0</v>
      </c>
      <c r="L1802" s="708">
        <f>FR1763</f>
        <v>0</v>
      </c>
      <c r="M1802" s="708">
        <f>SUM(H1802:L1802)</f>
        <v>0</v>
      </c>
      <c r="Q1802" s="708">
        <f>ABS(M1802-AD1802)</f>
        <v>0</v>
      </c>
      <c r="V1802" s="708" t="s">
        <v>48</v>
      </c>
      <c r="Y1802" s="708">
        <f>FN1763</f>
        <v>0</v>
      </c>
      <c r="Z1802" s="708">
        <f>FO1763</f>
        <v>0</v>
      </c>
      <c r="AA1802" s="708">
        <f>FP1763</f>
        <v>0</v>
      </c>
      <c r="AB1802" s="708">
        <f>FQ1763</f>
        <v>0</v>
      </c>
      <c r="AC1802" s="708">
        <f>FR1763</f>
        <v>0</v>
      </c>
      <c r="AD1802" s="708">
        <f>SUM(Y1802:AC1802)</f>
        <v>0</v>
      </c>
    </row>
    <row r="1803" spans="2:30" ht="15" customHeight="1">
      <c r="E1803" s="708" t="s">
        <v>863</v>
      </c>
      <c r="H1803" s="708">
        <f>FI1763</f>
        <v>0</v>
      </c>
      <c r="I1803" s="708">
        <f>FJ1763</f>
        <v>0</v>
      </c>
      <c r="J1803" s="708">
        <f>FK1763</f>
        <v>0</v>
      </c>
      <c r="K1803" s="708">
        <f>FL1763</f>
        <v>0</v>
      </c>
      <c r="L1803" s="708">
        <f>FM1763</f>
        <v>0</v>
      </c>
      <c r="M1803" s="708">
        <f>SUM(H1803:L1803)</f>
        <v>0</v>
      </c>
      <c r="Q1803" s="708">
        <f>ABS(M1803-AD1803)</f>
        <v>0</v>
      </c>
      <c r="V1803" s="708" t="s">
        <v>863</v>
      </c>
      <c r="Y1803" s="708">
        <f>FI1763</f>
        <v>0</v>
      </c>
      <c r="Z1803" s="708">
        <f>FJ1763</f>
        <v>0</v>
      </c>
      <c r="AA1803" s="708">
        <f>FK1763</f>
        <v>0</v>
      </c>
      <c r="AB1803" s="708">
        <f>FL1763</f>
        <v>0</v>
      </c>
      <c r="AC1803" s="708">
        <f>FM1763</f>
        <v>0</v>
      </c>
      <c r="AD1803" s="708">
        <f>SUM(Y1803:AC1803)</f>
        <v>0</v>
      </c>
    </row>
    <row r="1804" spans="2:30" ht="15" customHeight="1">
      <c r="E1804" s="708" t="s">
        <v>864</v>
      </c>
      <c r="H1804" s="708">
        <f>FD1763</f>
        <v>0</v>
      </c>
      <c r="I1804" s="708">
        <f>FE1763</f>
        <v>0</v>
      </c>
      <c r="J1804" s="708">
        <f>FF1763</f>
        <v>0</v>
      </c>
      <c r="K1804" s="708">
        <f>FG1763</f>
        <v>0</v>
      </c>
      <c r="L1804" s="708">
        <f>FH1763</f>
        <v>0</v>
      </c>
      <c r="M1804" s="708">
        <f>SUM(H1804:L1804)</f>
        <v>0</v>
      </c>
      <c r="Q1804" s="708">
        <f>ABS(M1804-AD1804)</f>
        <v>0</v>
      </c>
      <c r="V1804" s="708" t="s">
        <v>864</v>
      </c>
      <c r="Y1804" s="708">
        <f>FD1763</f>
        <v>0</v>
      </c>
      <c r="Z1804" s="708">
        <f>FE1763</f>
        <v>0</v>
      </c>
      <c r="AA1804" s="708">
        <f>FF1763</f>
        <v>0</v>
      </c>
      <c r="AB1804" s="708">
        <f>FG1763</f>
        <v>0</v>
      </c>
      <c r="AC1804" s="708">
        <f>FH1763</f>
        <v>0</v>
      </c>
      <c r="AD1804" s="708">
        <f>SUM(Y1804:AC1804)</f>
        <v>0</v>
      </c>
    </row>
    <row r="1805" spans="2:30" ht="4.9000000000000004" customHeight="1"/>
    <row r="1806" spans="2:30" ht="14.45" customHeight="1">
      <c r="B1806" s="708" t="s">
        <v>3270</v>
      </c>
      <c r="S1806" s="708" t="s">
        <v>1778</v>
      </c>
    </row>
    <row r="1807" spans="2:30" ht="15" customHeight="1">
      <c r="C1807" s="708" t="s">
        <v>3237</v>
      </c>
      <c r="G1807" s="708" t="s">
        <v>1792</v>
      </c>
      <c r="H1807" s="708">
        <f>BW1763</f>
        <v>0</v>
      </c>
      <c r="I1807" s="708">
        <f>BX1763</f>
        <v>5250</v>
      </c>
      <c r="J1807" s="708">
        <f>BY1763</f>
        <v>38000</v>
      </c>
      <c r="K1807" s="708">
        <f>BZ1763</f>
        <v>17600</v>
      </c>
      <c r="L1807" s="708">
        <f>CA1763</f>
        <v>0</v>
      </c>
      <c r="M1807" s="708">
        <f t="shared" ref="M1807:M1813" si="314">SUM(H1807:L1807)</f>
        <v>60850</v>
      </c>
      <c r="Q1807" s="708">
        <f t="shared" ref="Q1807:Q1813" si="315">ABS(M1807-AD1807)</f>
        <v>0</v>
      </c>
      <c r="T1807" s="708" t="s">
        <v>3237</v>
      </c>
      <c r="X1807" s="708" t="s">
        <v>1792</v>
      </c>
      <c r="Y1807" s="708">
        <f>BW1763</f>
        <v>0</v>
      </c>
      <c r="Z1807" s="708">
        <f>BX1763</f>
        <v>5250</v>
      </c>
      <c r="AA1807" s="708">
        <f>BY1763</f>
        <v>38000</v>
      </c>
      <c r="AB1807" s="708">
        <f>BZ1763</f>
        <v>17600</v>
      </c>
      <c r="AC1807" s="708">
        <f>CA1763</f>
        <v>0</v>
      </c>
      <c r="AD1807" s="708">
        <f t="shared" ref="AD1807:AD1813" si="316">SUM(Y1807:AC1807)</f>
        <v>60850</v>
      </c>
    </row>
    <row r="1808" spans="2:30" ht="15" customHeight="1">
      <c r="G1808" s="708" t="s">
        <v>133</v>
      </c>
      <c r="H1808" s="708">
        <f>CB1763</f>
        <v>0</v>
      </c>
      <c r="I1808" s="708">
        <f>CC1763</f>
        <v>1500</v>
      </c>
      <c r="J1808" s="708">
        <f>CD1763</f>
        <v>9500</v>
      </c>
      <c r="K1808" s="708">
        <f>CE1763</f>
        <v>4400</v>
      </c>
      <c r="L1808" s="708">
        <f>CF1763</f>
        <v>0</v>
      </c>
      <c r="M1808" s="708">
        <f t="shared" si="314"/>
        <v>15400</v>
      </c>
      <c r="Q1808" s="708">
        <f t="shared" si="315"/>
        <v>0</v>
      </c>
      <c r="X1808" s="708" t="s">
        <v>133</v>
      </c>
      <c r="Y1808" s="708">
        <f>CB1763</f>
        <v>0</v>
      </c>
      <c r="Z1808" s="708">
        <f>CC1763</f>
        <v>1500</v>
      </c>
      <c r="AA1808" s="708">
        <f>CD1763</f>
        <v>9500</v>
      </c>
      <c r="AB1808" s="708">
        <f>CE1763</f>
        <v>4400</v>
      </c>
      <c r="AC1808" s="708">
        <f>CF1763</f>
        <v>0</v>
      </c>
      <c r="AD1808" s="708">
        <f t="shared" si="316"/>
        <v>15400</v>
      </c>
    </row>
    <row r="1809" spans="1:30" ht="15" customHeight="1">
      <c r="G1809" s="708" t="s">
        <v>833</v>
      </c>
      <c r="H1809" s="708">
        <f>SUM(H1807:H1808)</f>
        <v>0</v>
      </c>
      <c r="I1809" s="708">
        <f>SUM(I1807:I1808)</f>
        <v>6750</v>
      </c>
      <c r="J1809" s="708">
        <f>SUM(J1807:J1808)</f>
        <v>47500</v>
      </c>
      <c r="K1809" s="708">
        <f>SUM(K1807:K1808)</f>
        <v>22000</v>
      </c>
      <c r="L1809" s="708">
        <f>SUM(L1807:L1808)</f>
        <v>0</v>
      </c>
      <c r="M1809" s="708">
        <f t="shared" si="314"/>
        <v>76250</v>
      </c>
      <c r="Q1809" s="708">
        <f t="shared" si="315"/>
        <v>0</v>
      </c>
      <c r="X1809" s="708" t="s">
        <v>833</v>
      </c>
      <c r="Y1809" s="708">
        <f>SUM(Y1807:Y1808)</f>
        <v>0</v>
      </c>
      <c r="Z1809" s="708">
        <f>SUM(Z1807:Z1808)</f>
        <v>6750</v>
      </c>
      <c r="AA1809" s="708">
        <f>SUM(AA1807:AA1808)</f>
        <v>47500</v>
      </c>
      <c r="AB1809" s="708">
        <f>SUM(AB1807:AB1808)</f>
        <v>22000</v>
      </c>
      <c r="AC1809" s="708">
        <f>SUM(AC1807:AC1808)</f>
        <v>0</v>
      </c>
      <c r="AD1809" s="708">
        <f t="shared" si="316"/>
        <v>76250</v>
      </c>
    </row>
    <row r="1810" spans="1:30" ht="15" customHeight="1">
      <c r="C1810" s="708" t="s">
        <v>397</v>
      </c>
      <c r="H1810" s="708">
        <f>CL1763</f>
        <v>0</v>
      </c>
      <c r="I1810" s="708">
        <f>CM1763</f>
        <v>0</v>
      </c>
      <c r="J1810" s="708">
        <f>CN1763</f>
        <v>0</v>
      </c>
      <c r="K1810" s="708">
        <f>CO1763</f>
        <v>0</v>
      </c>
      <c r="L1810" s="708">
        <f>CP1763</f>
        <v>0</v>
      </c>
      <c r="M1810" s="708">
        <f t="shared" si="314"/>
        <v>0</v>
      </c>
      <c r="Q1810" s="708">
        <f t="shared" si="315"/>
        <v>0</v>
      </c>
      <c r="T1810" s="708" t="s">
        <v>397</v>
      </c>
      <c r="Y1810" s="708">
        <f>CL1763</f>
        <v>0</v>
      </c>
      <c r="Z1810" s="708">
        <f>CM1763</f>
        <v>0</v>
      </c>
      <c r="AA1810" s="708">
        <f>CN1763</f>
        <v>0</v>
      </c>
      <c r="AB1810" s="708">
        <f>CO1763</f>
        <v>0</v>
      </c>
      <c r="AC1810" s="708">
        <f>CP1763</f>
        <v>0</v>
      </c>
      <c r="AD1810" s="708">
        <f t="shared" si="316"/>
        <v>0</v>
      </c>
    </row>
    <row r="1811" spans="1:30" ht="15" customHeight="1">
      <c r="C1811" s="708" t="s">
        <v>1780</v>
      </c>
      <c r="H1811" s="708">
        <f>SUM(H1809:H1810)</f>
        <v>0</v>
      </c>
      <c r="I1811" s="708">
        <f>SUM(I1809:I1810)</f>
        <v>6750</v>
      </c>
      <c r="J1811" s="708">
        <f>SUM(J1809:J1810)</f>
        <v>47500</v>
      </c>
      <c r="K1811" s="708">
        <f>SUM(K1809:K1810)</f>
        <v>22000</v>
      </c>
      <c r="L1811" s="708">
        <f>SUM(L1809:L1810)</f>
        <v>0</v>
      </c>
      <c r="M1811" s="708">
        <f t="shared" si="314"/>
        <v>76250</v>
      </c>
      <c r="Q1811" s="708">
        <f t="shared" si="315"/>
        <v>0</v>
      </c>
      <c r="T1811" s="708" t="s">
        <v>1780</v>
      </c>
      <c r="Y1811" s="708">
        <f>SUM(Y1809:Y1810)</f>
        <v>0</v>
      </c>
      <c r="Z1811" s="708">
        <f>SUM(Z1809:Z1810)</f>
        <v>6750</v>
      </c>
      <c r="AA1811" s="708">
        <f>SUM(AA1809:AA1810)</f>
        <v>47500</v>
      </c>
      <c r="AB1811" s="708">
        <f>SUM(AB1809:AB1810)</f>
        <v>22000</v>
      </c>
      <c r="AC1811" s="708">
        <f>SUM(AC1809:AC1810)</f>
        <v>0</v>
      </c>
      <c r="AD1811" s="708">
        <f t="shared" si="316"/>
        <v>76250</v>
      </c>
    </row>
    <row r="1812" spans="1:30" ht="15" customHeight="1">
      <c r="C1812" s="708" t="s">
        <v>3797</v>
      </c>
      <c r="H1812" s="708">
        <f>CV1763</f>
        <v>0</v>
      </c>
      <c r="I1812" s="708">
        <f>CW1763</f>
        <v>0</v>
      </c>
      <c r="J1812" s="708">
        <f>CX1763</f>
        <v>0</v>
      </c>
      <c r="K1812" s="708">
        <f>CY1763</f>
        <v>0</v>
      </c>
      <c r="L1812" s="708">
        <f>CZ1763</f>
        <v>0</v>
      </c>
      <c r="M1812" s="708">
        <f t="shared" si="314"/>
        <v>0</v>
      </c>
      <c r="Q1812" s="708">
        <f t="shared" si="315"/>
        <v>0</v>
      </c>
      <c r="T1812" s="708" t="s">
        <v>3797</v>
      </c>
      <c r="Y1812" s="708">
        <f>CV1763</f>
        <v>0</v>
      </c>
      <c r="Z1812" s="708">
        <f>CW1763</f>
        <v>0</v>
      </c>
      <c r="AA1812" s="708">
        <f>CX1763</f>
        <v>0</v>
      </c>
      <c r="AB1812" s="708">
        <f>CY1763</f>
        <v>0</v>
      </c>
      <c r="AC1812" s="708">
        <f>CZ1763</f>
        <v>0</v>
      </c>
      <c r="AD1812" s="708">
        <f t="shared" si="316"/>
        <v>0</v>
      </c>
    </row>
    <row r="1813" spans="1:30" ht="15" customHeight="1">
      <c r="C1813" s="708" t="s">
        <v>833</v>
      </c>
      <c r="H1813" s="708">
        <f>SUM(H1811:H1812)</f>
        <v>0</v>
      </c>
      <c r="I1813" s="708">
        <f>SUM(I1811:I1812)</f>
        <v>6750</v>
      </c>
      <c r="J1813" s="708">
        <f>SUM(J1811:J1812)</f>
        <v>47500</v>
      </c>
      <c r="K1813" s="708">
        <f>SUM(K1811:K1812)</f>
        <v>22000</v>
      </c>
      <c r="L1813" s="708">
        <f>SUM(L1811:L1812)</f>
        <v>0</v>
      </c>
      <c r="M1813" s="708">
        <f t="shared" si="314"/>
        <v>76250</v>
      </c>
      <c r="Q1813" s="708">
        <f t="shared" si="315"/>
        <v>0</v>
      </c>
      <c r="T1813" s="708" t="s">
        <v>833</v>
      </c>
      <c r="Y1813" s="708">
        <f>SUM(Y1811:Y1812)</f>
        <v>0</v>
      </c>
      <c r="Z1813" s="708">
        <f>SUM(Z1811:Z1812)</f>
        <v>6750</v>
      </c>
      <c r="AA1813" s="708">
        <f>SUM(AA1811:AA1812)</f>
        <v>47500</v>
      </c>
      <c r="AB1813" s="708">
        <f>SUM(AB1811:AB1812)</f>
        <v>22000</v>
      </c>
      <c r="AC1813" s="708">
        <f>SUM(AC1811:AC1812)</f>
        <v>0</v>
      </c>
      <c r="AD1813" s="708">
        <f t="shared" si="316"/>
        <v>76250</v>
      </c>
    </row>
    <row r="1814" spans="1:30" ht="4.9000000000000004" customHeight="1"/>
    <row r="1815" spans="1:30" ht="13.9" customHeight="1">
      <c r="A1815" s="708" t="s">
        <v>1232</v>
      </c>
      <c r="B1815" s="708" t="s">
        <v>4097</v>
      </c>
    </row>
    <row r="1816" spans="1:30" ht="9" customHeight="1"/>
    <row r="1817" spans="1:30" ht="12.6" customHeight="1">
      <c r="B1817" s="708" t="s">
        <v>1633</v>
      </c>
      <c r="G1817" s="708">
        <f>0.02*L1764</f>
        <v>9278.4</v>
      </c>
      <c r="I1817" s="708" t="s">
        <v>3752</v>
      </c>
    </row>
    <row r="1818" spans="1:30" ht="15" customHeight="1"/>
    <row r="1819" spans="1:30" ht="13.9" customHeight="1">
      <c r="B1819" s="708" t="s">
        <v>2170</v>
      </c>
    </row>
    <row r="1820" spans="1:30" ht="15" customHeight="1"/>
    <row r="1821" spans="1:30" ht="13.9" customHeight="1">
      <c r="B1821" s="708" t="s">
        <v>3419</v>
      </c>
      <c r="G1821" s="708">
        <v>1</v>
      </c>
      <c r="H1821" s="708">
        <v>2</v>
      </c>
      <c r="I1821" s="708">
        <v>3</v>
      </c>
      <c r="J1821" s="708">
        <v>4</v>
      </c>
      <c r="K1821" s="708">
        <v>5</v>
      </c>
      <c r="L1821" s="708">
        <v>6</v>
      </c>
      <c r="M1821" s="708">
        <v>7</v>
      </c>
      <c r="N1821" s="708">
        <v>8</v>
      </c>
      <c r="O1821" s="708">
        <v>9</v>
      </c>
      <c r="P1821" s="708">
        <v>10</v>
      </c>
    </row>
    <row r="1822" spans="1:30" ht="15" customHeight="1">
      <c r="B1822" s="708" t="s">
        <v>1634</v>
      </c>
      <c r="G1822" s="708">
        <f>'Part VI-Revenues &amp; Expenses'!G107</f>
        <v>0</v>
      </c>
      <c r="H1822" s="708">
        <f>'Part VI-Revenues &amp; Expenses'!H107</f>
        <v>0</v>
      </c>
      <c r="I1822" s="708">
        <f>'Part VI-Revenues &amp; Expenses'!I107</f>
        <v>0</v>
      </c>
      <c r="J1822" s="708">
        <f>'Part VI-Revenues &amp; Expenses'!J107</f>
        <v>0</v>
      </c>
      <c r="K1822" s="708">
        <f>'Part VI-Revenues &amp; Expenses'!K107</f>
        <v>0</v>
      </c>
      <c r="L1822" s="708">
        <f>'Part VI-Revenues &amp; Expenses'!L107</f>
        <v>0</v>
      </c>
      <c r="M1822" s="708">
        <f>'Part VI-Revenues &amp; Expenses'!M107</f>
        <v>0</v>
      </c>
      <c r="N1822" s="708">
        <f>'Part VI-Revenues &amp; Expenses'!N107</f>
        <v>0</v>
      </c>
      <c r="O1822" s="708">
        <f>'Part VI-Revenues &amp; Expenses'!O107</f>
        <v>0</v>
      </c>
      <c r="P1822" s="708">
        <f>'Part VI-Revenues &amp; Expenses'!P107</f>
        <v>0</v>
      </c>
    </row>
    <row r="1823" spans="1:30" ht="15" customHeight="1">
      <c r="B1823" s="708" t="s">
        <v>1231</v>
      </c>
      <c r="C1823" s="708">
        <f>'Part VI-Revenues &amp; Expenses'!C108</f>
        <v>0</v>
      </c>
      <c r="G1823" s="708">
        <f>'Part VI-Revenues &amp; Expenses'!G108</f>
        <v>0</v>
      </c>
      <c r="H1823" s="708">
        <f>'Part VI-Revenues &amp; Expenses'!H108</f>
        <v>0</v>
      </c>
      <c r="I1823" s="708">
        <f>'Part VI-Revenues &amp; Expenses'!I108</f>
        <v>0</v>
      </c>
      <c r="J1823" s="708">
        <f>'Part VI-Revenues &amp; Expenses'!J108</f>
        <v>0</v>
      </c>
      <c r="K1823" s="708">
        <f>'Part VI-Revenues &amp; Expenses'!K108</f>
        <v>0</v>
      </c>
      <c r="L1823" s="708">
        <f>'Part VI-Revenues &amp; Expenses'!L108</f>
        <v>0</v>
      </c>
      <c r="M1823" s="708">
        <f>'Part VI-Revenues &amp; Expenses'!M108</f>
        <v>0</v>
      </c>
      <c r="N1823" s="708">
        <f>'Part VI-Revenues &amp; Expenses'!N108</f>
        <v>0</v>
      </c>
      <c r="O1823" s="708">
        <f>'Part VI-Revenues &amp; Expenses'!O108</f>
        <v>0</v>
      </c>
      <c r="P1823" s="708">
        <f>'Part VI-Revenues &amp; Expenses'!P108</f>
        <v>0</v>
      </c>
    </row>
    <row r="1824" spans="1:30" ht="15" customHeight="1">
      <c r="C1824" s="708" t="s">
        <v>1524</v>
      </c>
      <c r="G1824" s="708">
        <f t="shared" ref="G1824:P1824" si="317">SUM(G1822:G1823)</f>
        <v>0</v>
      </c>
      <c r="H1824" s="708">
        <f t="shared" si="317"/>
        <v>0</v>
      </c>
      <c r="I1824" s="708">
        <f t="shared" si="317"/>
        <v>0</v>
      </c>
      <c r="J1824" s="708">
        <f t="shared" si="317"/>
        <v>0</v>
      </c>
      <c r="K1824" s="708">
        <f t="shared" si="317"/>
        <v>0</v>
      </c>
      <c r="L1824" s="708">
        <f t="shared" si="317"/>
        <v>0</v>
      </c>
      <c r="M1824" s="708">
        <f t="shared" si="317"/>
        <v>0</v>
      </c>
      <c r="N1824" s="708">
        <f t="shared" si="317"/>
        <v>0</v>
      </c>
      <c r="O1824" s="708">
        <f t="shared" si="317"/>
        <v>0</v>
      </c>
      <c r="P1824" s="708">
        <f t="shared" si="317"/>
        <v>0</v>
      </c>
    </row>
    <row r="1825" spans="2:16" ht="6.6" customHeight="1"/>
    <row r="1826" spans="2:16" ht="15.6" customHeight="1">
      <c r="B1826" s="708" t="s">
        <v>4098</v>
      </c>
    </row>
    <row r="1827" spans="2:16" ht="15" customHeight="1">
      <c r="B1827" s="708" t="s">
        <v>3608</v>
      </c>
      <c r="G1827" s="708">
        <f>IF('Part III A-Sources of Funds'!$E$32= "USDA 538 Loan", 'Part III B-USDA 538 Loan'!$B1728,0)</f>
        <v>0</v>
      </c>
      <c r="H1827" s="708">
        <f>IF('Part III A-Sources of Funds'!$E$32= "USDA 538 Loan", 'Part III B-USDA 538 Loan'!$B1729,0)</f>
        <v>0</v>
      </c>
      <c r="I1827" s="708">
        <f>IF('Part III A-Sources of Funds'!$E$32= "USDA 538 Loan", 'Part III B-USDA 538 Loan'!$B1730,0)</f>
        <v>0</v>
      </c>
      <c r="J1827" s="708">
        <f>IF('Part III A-Sources of Funds'!$E$32= "USDA 538 Loan", 'Part III B-USDA 538 Loan'!$B1731,0)</f>
        <v>0</v>
      </c>
      <c r="K1827" s="708">
        <f>IF('Part III A-Sources of Funds'!$E$32= "USDA 538 Loan", 'Part III B-USDA 538 Loan'!$B1732,0)</f>
        <v>0</v>
      </c>
      <c r="L1827" s="708">
        <f>IF('Part III A-Sources of Funds'!$E$32= "USDA 538 Loan", 'Part III B-USDA 538 Loan'!$B1733,0)</f>
        <v>0</v>
      </c>
      <c r="M1827" s="708">
        <f>IF('Part III A-Sources of Funds'!$E$32= "USDA 538 Loan", 'Part III B-USDA 538 Loan'!$B1734,0)</f>
        <v>0</v>
      </c>
      <c r="N1827" s="708">
        <f>IF('Part III A-Sources of Funds'!$E$32= "USDA 538 Loan", 'Part III B-USDA 538 Loan'!$B1735,0)</f>
        <v>0</v>
      </c>
      <c r="O1827" s="708">
        <f>IF('Part III A-Sources of Funds'!$E$32= "USDA 538 Loan", 'Part III B-USDA 538 Loan'!$B1736,0)</f>
        <v>0</v>
      </c>
      <c r="P1827" s="708">
        <f>IF('Part III A-Sources of Funds'!$E$32= "USDA 538 Loan", 'Part III B-USDA 538 Loan'!$B1737,0)</f>
        <v>0</v>
      </c>
    </row>
    <row r="1828" spans="2:16" ht="15" customHeight="1">
      <c r="B1828" s="708" t="s">
        <v>827</v>
      </c>
      <c r="G1828" s="708">
        <f>'Part VI-Revenues &amp; Expenses'!G113</f>
        <v>0</v>
      </c>
      <c r="H1828" s="708">
        <f>'Part VI-Revenues &amp; Expenses'!H113</f>
        <v>0</v>
      </c>
      <c r="I1828" s="708">
        <f>'Part VI-Revenues &amp; Expenses'!I113</f>
        <v>0</v>
      </c>
      <c r="J1828" s="708">
        <f>'Part VI-Revenues &amp; Expenses'!J113</f>
        <v>0</v>
      </c>
      <c r="K1828" s="708">
        <f>'Part VI-Revenues &amp; Expenses'!K113</f>
        <v>0</v>
      </c>
      <c r="L1828" s="708">
        <f>'Part VI-Revenues &amp; Expenses'!L113</f>
        <v>0</v>
      </c>
      <c r="M1828" s="708">
        <f>'Part VI-Revenues &amp; Expenses'!M113</f>
        <v>0</v>
      </c>
      <c r="N1828" s="708">
        <f>'Part VI-Revenues &amp; Expenses'!N113</f>
        <v>0</v>
      </c>
      <c r="O1828" s="708">
        <f>'Part VI-Revenues &amp; Expenses'!O113</f>
        <v>0</v>
      </c>
      <c r="P1828" s="708">
        <f>'Part VI-Revenues &amp; Expenses'!P113</f>
        <v>0</v>
      </c>
    </row>
    <row r="1829" spans="2:16" ht="15" customHeight="1">
      <c r="B1829" s="708" t="s">
        <v>1231</v>
      </c>
      <c r="C1829" s="708">
        <f>'Part VI-Revenues &amp; Expenses'!C114</f>
        <v>0</v>
      </c>
      <c r="G1829" s="708">
        <f>'Part VI-Revenues &amp; Expenses'!G114</f>
        <v>0</v>
      </c>
      <c r="H1829" s="708">
        <f>'Part VI-Revenues &amp; Expenses'!H114</f>
        <v>0</v>
      </c>
      <c r="I1829" s="708">
        <f>'Part VI-Revenues &amp; Expenses'!I114</f>
        <v>0</v>
      </c>
      <c r="J1829" s="708">
        <f>'Part VI-Revenues &amp; Expenses'!J114</f>
        <v>0</v>
      </c>
      <c r="K1829" s="708">
        <f>'Part VI-Revenues &amp; Expenses'!K114</f>
        <v>0</v>
      </c>
      <c r="L1829" s="708">
        <f>'Part VI-Revenues &amp; Expenses'!L114</f>
        <v>0</v>
      </c>
      <c r="M1829" s="708">
        <f>'Part VI-Revenues &amp; Expenses'!M114</f>
        <v>0</v>
      </c>
      <c r="N1829" s="708">
        <f>'Part VI-Revenues &amp; Expenses'!N114</f>
        <v>0</v>
      </c>
      <c r="O1829" s="708">
        <f>'Part VI-Revenues &amp; Expenses'!O114</f>
        <v>0</v>
      </c>
      <c r="P1829" s="708">
        <f>'Part VI-Revenues &amp; Expenses'!P114</f>
        <v>0</v>
      </c>
    </row>
    <row r="1830" spans="2:16" ht="15" customHeight="1">
      <c r="C1830" s="708" t="s">
        <v>4099</v>
      </c>
      <c r="G1830" s="708">
        <f t="shared" ref="G1830:P1830" si="318">SUM(G1827:G1829)</f>
        <v>0</v>
      </c>
      <c r="H1830" s="708">
        <f t="shared" si="318"/>
        <v>0</v>
      </c>
      <c r="I1830" s="708">
        <f t="shared" si="318"/>
        <v>0</v>
      </c>
      <c r="J1830" s="708">
        <f t="shared" si="318"/>
        <v>0</v>
      </c>
      <c r="K1830" s="708">
        <f t="shared" si="318"/>
        <v>0</v>
      </c>
      <c r="L1830" s="708">
        <f t="shared" si="318"/>
        <v>0</v>
      </c>
      <c r="M1830" s="708">
        <f t="shared" si="318"/>
        <v>0</v>
      </c>
      <c r="N1830" s="708">
        <f t="shared" si="318"/>
        <v>0</v>
      </c>
      <c r="O1830" s="708">
        <f t="shared" si="318"/>
        <v>0</v>
      </c>
      <c r="P1830" s="708">
        <f t="shared" si="318"/>
        <v>0</v>
      </c>
    </row>
    <row r="1831" spans="2:16" ht="42.6" customHeight="1"/>
    <row r="1832" spans="2:16" ht="13.9" customHeight="1">
      <c r="B1832" s="708" t="s">
        <v>3419</v>
      </c>
      <c r="G1832" s="708">
        <v>11</v>
      </c>
      <c r="H1832" s="708">
        <v>12</v>
      </c>
      <c r="I1832" s="708">
        <v>13</v>
      </c>
      <c r="J1832" s="708">
        <v>14</v>
      </c>
      <c r="K1832" s="708">
        <v>15</v>
      </c>
      <c r="L1832" s="708">
        <v>16</v>
      </c>
      <c r="M1832" s="708">
        <v>17</v>
      </c>
      <c r="N1832" s="708">
        <v>18</v>
      </c>
      <c r="O1832" s="708">
        <v>19</v>
      </c>
      <c r="P1832" s="708">
        <v>20</v>
      </c>
    </row>
    <row r="1833" spans="2:16" ht="15" customHeight="1">
      <c r="B1833" s="708" t="s">
        <v>1634</v>
      </c>
      <c r="G1833" s="708">
        <f>'Part VI-Revenues &amp; Expenses'!G118</f>
        <v>0</v>
      </c>
      <c r="H1833" s="708">
        <f>'Part VI-Revenues &amp; Expenses'!H118</f>
        <v>0</v>
      </c>
      <c r="I1833" s="708">
        <f>'Part VI-Revenues &amp; Expenses'!I118</f>
        <v>0</v>
      </c>
      <c r="J1833" s="708">
        <f>'Part VI-Revenues &amp; Expenses'!J118</f>
        <v>0</v>
      </c>
      <c r="K1833" s="708">
        <f>'Part VI-Revenues &amp; Expenses'!K118</f>
        <v>0</v>
      </c>
      <c r="L1833" s="708">
        <f>'Part VI-Revenues &amp; Expenses'!L118</f>
        <v>0</v>
      </c>
      <c r="M1833" s="708">
        <f>'Part VI-Revenues &amp; Expenses'!M118</f>
        <v>0</v>
      </c>
      <c r="N1833" s="708">
        <f>'Part VI-Revenues &amp; Expenses'!N118</f>
        <v>0</v>
      </c>
      <c r="O1833" s="708">
        <f>'Part VI-Revenues &amp; Expenses'!O118</f>
        <v>0</v>
      </c>
      <c r="P1833" s="708">
        <f>'Part VI-Revenues &amp; Expenses'!P118</f>
        <v>0</v>
      </c>
    </row>
    <row r="1834" spans="2:16" ht="15" customHeight="1">
      <c r="B1834" s="708" t="s">
        <v>1231</v>
      </c>
      <c r="C1834" s="708">
        <f>'Part VI-Revenues &amp; Expenses'!C119</f>
        <v>0</v>
      </c>
      <c r="G1834" s="708">
        <f>'Part VI-Revenues &amp; Expenses'!G119</f>
        <v>0</v>
      </c>
      <c r="H1834" s="708">
        <f>'Part VI-Revenues &amp; Expenses'!H119</f>
        <v>0</v>
      </c>
      <c r="I1834" s="708">
        <f>'Part VI-Revenues &amp; Expenses'!I119</f>
        <v>0</v>
      </c>
      <c r="J1834" s="708">
        <f>'Part VI-Revenues &amp; Expenses'!J119</f>
        <v>0</v>
      </c>
      <c r="K1834" s="708">
        <f>'Part VI-Revenues &amp; Expenses'!K119</f>
        <v>0</v>
      </c>
      <c r="L1834" s="708">
        <f>'Part VI-Revenues &amp; Expenses'!L119</f>
        <v>0</v>
      </c>
      <c r="M1834" s="708">
        <f>'Part VI-Revenues &amp; Expenses'!M119</f>
        <v>0</v>
      </c>
      <c r="N1834" s="708">
        <f>'Part VI-Revenues &amp; Expenses'!N119</f>
        <v>0</v>
      </c>
      <c r="O1834" s="708">
        <f>'Part VI-Revenues &amp; Expenses'!O119</f>
        <v>0</v>
      </c>
      <c r="P1834" s="708">
        <f>'Part VI-Revenues &amp; Expenses'!P119</f>
        <v>0</v>
      </c>
    </row>
    <row r="1835" spans="2:16" ht="15" customHeight="1">
      <c r="C1835" s="708" t="s">
        <v>1524</v>
      </c>
      <c r="G1835" s="708">
        <f t="shared" ref="G1835:P1835" si="319">SUM(G1833:G1834)</f>
        <v>0</v>
      </c>
      <c r="H1835" s="708">
        <f t="shared" si="319"/>
        <v>0</v>
      </c>
      <c r="I1835" s="708">
        <f t="shared" si="319"/>
        <v>0</v>
      </c>
      <c r="J1835" s="708">
        <f t="shared" si="319"/>
        <v>0</v>
      </c>
      <c r="K1835" s="708">
        <f t="shared" si="319"/>
        <v>0</v>
      </c>
      <c r="L1835" s="708">
        <f t="shared" si="319"/>
        <v>0</v>
      </c>
      <c r="M1835" s="708">
        <f t="shared" si="319"/>
        <v>0</v>
      </c>
      <c r="N1835" s="708">
        <f t="shared" si="319"/>
        <v>0</v>
      </c>
      <c r="O1835" s="708">
        <f t="shared" si="319"/>
        <v>0</v>
      </c>
      <c r="P1835" s="708">
        <f t="shared" si="319"/>
        <v>0</v>
      </c>
    </row>
    <row r="1836" spans="2:16" ht="6.6" customHeight="1"/>
    <row r="1837" spans="2:16" ht="15.6" customHeight="1">
      <c r="B1837" s="708" t="s">
        <v>4098</v>
      </c>
    </row>
    <row r="1838" spans="2:16" ht="15" customHeight="1">
      <c r="B1838" s="708" t="s">
        <v>3608</v>
      </c>
      <c r="G1838" s="708">
        <f>IF('Part III A-Sources of Funds'!$E$32= "USDA 538 Loan", 'Part III B-USDA 538 Loan'!$B1738,0)</f>
        <v>0</v>
      </c>
      <c r="H1838" s="708">
        <f>IF('Part III A-Sources of Funds'!$E$32= "USDA 538 Loan", 'Part III B-USDA 538 Loan'!$B1739,0)</f>
        <v>0</v>
      </c>
      <c r="I1838" s="708">
        <f>IF('Part III A-Sources of Funds'!$E$32= "USDA 538 Loan", 'Part III B-USDA 538 Loan'!$B1740,0)</f>
        <v>0</v>
      </c>
      <c r="J1838" s="708">
        <f>IF('Part III A-Sources of Funds'!$E$32= "USDA 538 Loan", 'Part III B-USDA 538 Loan'!$B1741,0)</f>
        <v>0</v>
      </c>
      <c r="K1838" s="708">
        <f>IF('Part III A-Sources of Funds'!$E$32= "USDA 538 Loan", 'Part III B-USDA 538 Loan'!$B1742,0)</f>
        <v>0</v>
      </c>
      <c r="L1838" s="708">
        <f>IF('Part III A-Sources of Funds'!$E$32= "USDA 538 Loan", 'Part III B-USDA 538 Loan'!$B1743,0)</f>
        <v>0</v>
      </c>
      <c r="M1838" s="708">
        <f>IF('Part III A-Sources of Funds'!$E$32= "USDA 538 Loan", 'Part III B-USDA 538 Loan'!$B1744,0)</f>
        <v>0</v>
      </c>
      <c r="N1838" s="708">
        <f>IF('Part III A-Sources of Funds'!$E$32= "USDA 538 Loan", 'Part III B-USDA 538 Loan'!$B1745,0)</f>
        <v>0</v>
      </c>
      <c r="O1838" s="708">
        <f>IF('Part III A-Sources of Funds'!$E$32= "USDA 538 Loan", 'Part III B-USDA 538 Loan'!$B1746,0)</f>
        <v>0</v>
      </c>
      <c r="P1838" s="708">
        <f>IF('Part III A-Sources of Funds'!$E$32= "USDA 538 Loan", 'Part III B-USDA 538 Loan'!$B1747,0)</f>
        <v>0</v>
      </c>
    </row>
    <row r="1839" spans="2:16" ht="15" customHeight="1">
      <c r="B1839" s="708" t="s">
        <v>827</v>
      </c>
      <c r="G1839" s="708">
        <f>'Part VI-Revenues &amp; Expenses'!G124</f>
        <v>0</v>
      </c>
      <c r="H1839" s="708">
        <f>'Part VI-Revenues &amp; Expenses'!H124</f>
        <v>0</v>
      </c>
      <c r="I1839" s="708">
        <f>'Part VI-Revenues &amp; Expenses'!I124</f>
        <v>0</v>
      </c>
      <c r="J1839" s="708">
        <f>'Part VI-Revenues &amp; Expenses'!J124</f>
        <v>0</v>
      </c>
      <c r="K1839" s="708">
        <f>'Part VI-Revenues &amp; Expenses'!K124</f>
        <v>0</v>
      </c>
      <c r="L1839" s="708">
        <f>'Part VI-Revenues &amp; Expenses'!L124</f>
        <v>0</v>
      </c>
      <c r="M1839" s="708">
        <f>'Part VI-Revenues &amp; Expenses'!M124</f>
        <v>0</v>
      </c>
      <c r="N1839" s="708">
        <f>'Part VI-Revenues &amp; Expenses'!N124</f>
        <v>0</v>
      </c>
      <c r="O1839" s="708">
        <f>'Part VI-Revenues &amp; Expenses'!O124</f>
        <v>0</v>
      </c>
      <c r="P1839" s="708">
        <f>'Part VI-Revenues &amp; Expenses'!P124</f>
        <v>0</v>
      </c>
    </row>
    <row r="1840" spans="2:16" ht="15" customHeight="1">
      <c r="B1840" s="708" t="s">
        <v>1231</v>
      </c>
      <c r="C1840" s="708">
        <f>'Part VI-Revenues &amp; Expenses'!C125</f>
        <v>0</v>
      </c>
      <c r="G1840" s="708">
        <f>'Part VI-Revenues &amp; Expenses'!G125</f>
        <v>0</v>
      </c>
      <c r="H1840" s="708">
        <f>'Part VI-Revenues &amp; Expenses'!H125</f>
        <v>0</v>
      </c>
      <c r="I1840" s="708">
        <f>'Part VI-Revenues &amp; Expenses'!I125</f>
        <v>0</v>
      </c>
      <c r="J1840" s="708">
        <f>'Part VI-Revenues &amp; Expenses'!J125</f>
        <v>0</v>
      </c>
      <c r="K1840" s="708">
        <f>'Part VI-Revenues &amp; Expenses'!K125</f>
        <v>0</v>
      </c>
      <c r="L1840" s="708">
        <f>'Part VI-Revenues &amp; Expenses'!L125</f>
        <v>0</v>
      </c>
      <c r="M1840" s="708">
        <f>'Part VI-Revenues &amp; Expenses'!M125</f>
        <v>0</v>
      </c>
      <c r="N1840" s="708">
        <f>'Part VI-Revenues &amp; Expenses'!N125</f>
        <v>0</v>
      </c>
      <c r="O1840" s="708">
        <f>'Part VI-Revenues &amp; Expenses'!O125</f>
        <v>0</v>
      </c>
      <c r="P1840" s="708">
        <f>'Part VI-Revenues &amp; Expenses'!P125</f>
        <v>0</v>
      </c>
    </row>
    <row r="1841" spans="1:16" ht="15" customHeight="1">
      <c r="C1841" s="708" t="s">
        <v>4099</v>
      </c>
      <c r="G1841" s="708">
        <f t="shared" ref="G1841:P1841" si="320">SUM(G1838:G1840)</f>
        <v>0</v>
      </c>
      <c r="H1841" s="708">
        <f t="shared" si="320"/>
        <v>0</v>
      </c>
      <c r="I1841" s="708">
        <f t="shared" si="320"/>
        <v>0</v>
      </c>
      <c r="J1841" s="708">
        <f t="shared" si="320"/>
        <v>0</v>
      </c>
      <c r="K1841" s="708">
        <f t="shared" si="320"/>
        <v>0</v>
      </c>
      <c r="L1841" s="708">
        <f t="shared" si="320"/>
        <v>0</v>
      </c>
      <c r="M1841" s="708">
        <f t="shared" si="320"/>
        <v>0</v>
      </c>
      <c r="N1841" s="708">
        <f t="shared" si="320"/>
        <v>0</v>
      </c>
      <c r="O1841" s="708">
        <f t="shared" si="320"/>
        <v>0</v>
      </c>
      <c r="P1841" s="708">
        <f t="shared" si="320"/>
        <v>0</v>
      </c>
    </row>
    <row r="1842" spans="1:16" ht="42.6" customHeight="1"/>
    <row r="1843" spans="1:16" ht="13.9" customHeight="1">
      <c r="B1843" s="708" t="s">
        <v>3419</v>
      </c>
      <c r="G1843" s="708">
        <v>21</v>
      </c>
      <c r="H1843" s="708">
        <v>22</v>
      </c>
      <c r="I1843" s="708">
        <v>23</v>
      </c>
      <c r="J1843" s="708">
        <v>24</v>
      </c>
      <c r="K1843" s="708">
        <v>25</v>
      </c>
      <c r="L1843" s="708">
        <v>26</v>
      </c>
      <c r="M1843" s="708">
        <v>27</v>
      </c>
      <c r="N1843" s="708">
        <v>28</v>
      </c>
      <c r="O1843" s="708">
        <v>29</v>
      </c>
      <c r="P1843" s="708">
        <v>30</v>
      </c>
    </row>
    <row r="1844" spans="1:16" ht="15" customHeight="1">
      <c r="B1844" s="708" t="s">
        <v>1634</v>
      </c>
      <c r="G1844" s="708">
        <f>'Part VI-Revenues &amp; Expenses'!G129</f>
        <v>0</v>
      </c>
      <c r="H1844" s="708">
        <f>'Part VI-Revenues &amp; Expenses'!H129</f>
        <v>0</v>
      </c>
      <c r="I1844" s="708">
        <f>'Part VI-Revenues &amp; Expenses'!I129</f>
        <v>0</v>
      </c>
      <c r="J1844" s="708">
        <f>'Part VI-Revenues &amp; Expenses'!J129</f>
        <v>0</v>
      </c>
      <c r="K1844" s="708">
        <f>'Part VI-Revenues &amp; Expenses'!K129</f>
        <v>0</v>
      </c>
      <c r="L1844" s="708">
        <f>'Part VI-Revenues &amp; Expenses'!L129</f>
        <v>0</v>
      </c>
      <c r="M1844" s="708">
        <f>'Part VI-Revenues &amp; Expenses'!M129</f>
        <v>0</v>
      </c>
      <c r="N1844" s="708">
        <f>'Part VI-Revenues &amp; Expenses'!N129</f>
        <v>0</v>
      </c>
      <c r="O1844" s="708">
        <f>'Part VI-Revenues &amp; Expenses'!O129</f>
        <v>0</v>
      </c>
      <c r="P1844" s="708">
        <f>'Part VI-Revenues &amp; Expenses'!P129</f>
        <v>0</v>
      </c>
    </row>
    <row r="1845" spans="1:16" ht="15" customHeight="1">
      <c r="B1845" s="708" t="s">
        <v>1231</v>
      </c>
      <c r="C1845" s="708">
        <f>'Part VI-Revenues &amp; Expenses'!C130</f>
        <v>0</v>
      </c>
      <c r="G1845" s="708">
        <f>'Part VI-Revenues &amp; Expenses'!G130</f>
        <v>0</v>
      </c>
      <c r="H1845" s="708">
        <f>'Part VI-Revenues &amp; Expenses'!H130</f>
        <v>0</v>
      </c>
      <c r="I1845" s="708">
        <f>'Part VI-Revenues &amp; Expenses'!I130</f>
        <v>0</v>
      </c>
      <c r="J1845" s="708">
        <f>'Part VI-Revenues &amp; Expenses'!J130</f>
        <v>0</v>
      </c>
      <c r="K1845" s="708">
        <f>'Part VI-Revenues &amp; Expenses'!K130</f>
        <v>0</v>
      </c>
      <c r="L1845" s="708">
        <f>'Part VI-Revenues &amp; Expenses'!L130</f>
        <v>0</v>
      </c>
      <c r="M1845" s="708">
        <f>'Part VI-Revenues &amp; Expenses'!M130</f>
        <v>0</v>
      </c>
      <c r="N1845" s="708">
        <f>'Part VI-Revenues &amp; Expenses'!N130</f>
        <v>0</v>
      </c>
      <c r="O1845" s="708">
        <f>'Part VI-Revenues &amp; Expenses'!O130</f>
        <v>0</v>
      </c>
      <c r="P1845" s="708">
        <f>'Part VI-Revenues &amp; Expenses'!P130</f>
        <v>0</v>
      </c>
    </row>
    <row r="1846" spans="1:16" ht="15" customHeight="1">
      <c r="C1846" s="708" t="s">
        <v>1524</v>
      </c>
      <c r="G1846" s="708">
        <f t="shared" ref="G1846:P1846" si="321">SUM(G1844:G1845)</f>
        <v>0</v>
      </c>
      <c r="H1846" s="708">
        <f t="shared" si="321"/>
        <v>0</v>
      </c>
      <c r="I1846" s="708">
        <f t="shared" si="321"/>
        <v>0</v>
      </c>
      <c r="J1846" s="708">
        <f t="shared" si="321"/>
        <v>0</v>
      </c>
      <c r="K1846" s="708">
        <f t="shared" si="321"/>
        <v>0</v>
      </c>
      <c r="L1846" s="708">
        <f t="shared" si="321"/>
        <v>0</v>
      </c>
      <c r="M1846" s="708">
        <f t="shared" si="321"/>
        <v>0</v>
      </c>
      <c r="N1846" s="708">
        <f t="shared" si="321"/>
        <v>0</v>
      </c>
      <c r="O1846" s="708">
        <f t="shared" si="321"/>
        <v>0</v>
      </c>
      <c r="P1846" s="708">
        <f t="shared" si="321"/>
        <v>0</v>
      </c>
    </row>
    <row r="1847" spans="1:16" ht="6.6" customHeight="1"/>
    <row r="1848" spans="1:16" ht="15.6" customHeight="1">
      <c r="B1848" s="708" t="s">
        <v>4098</v>
      </c>
    </row>
    <row r="1849" spans="1:16" ht="15" customHeight="1">
      <c r="B1849" s="708" t="s">
        <v>3608</v>
      </c>
      <c r="G1849" s="708">
        <f>IF('Part III A-Sources of Funds'!$E$32= "USDA 538 Loan", 'Part III B-USDA 538 Loan'!$B1748,0)</f>
        <v>0</v>
      </c>
      <c r="H1849" s="708">
        <f>IF('Part III A-Sources of Funds'!$E$32= "USDA 538 Loan", 'Part III B-USDA 538 Loan'!$B1749,0)</f>
        <v>0</v>
      </c>
      <c r="I1849" s="708">
        <f>IF('Part III A-Sources of Funds'!$E$32= "USDA 538 Loan", 'Part III B-USDA 538 Loan'!$B1750,0)</f>
        <v>0</v>
      </c>
      <c r="J1849" s="708">
        <f>IF('Part III A-Sources of Funds'!$E$32= "USDA 538 Loan", 'Part III B-USDA 538 Loan'!$B1751,0)</f>
        <v>0</v>
      </c>
      <c r="K1849" s="708">
        <f>IF('Part III A-Sources of Funds'!$E$32= "USDA 538 Loan", 'Part III B-USDA 538 Loan'!$B1752,0)</f>
        <v>0</v>
      </c>
      <c r="L1849" s="708">
        <f>IF('Part III A-Sources of Funds'!$E$32= "USDA 538 Loan", 'Part III B-USDA 538 Loan'!$B1753,0)</f>
        <v>0</v>
      </c>
      <c r="M1849" s="708">
        <f>IF('Part III A-Sources of Funds'!$E$32= "USDA 538 Loan", 'Part III B-USDA 538 Loan'!$B1754,0)</f>
        <v>0</v>
      </c>
      <c r="N1849" s="708">
        <f>IF('Part III A-Sources of Funds'!$E$32= "USDA 538 Loan", 'Part III B-USDA 538 Loan'!$B1755,0)</f>
        <v>0</v>
      </c>
      <c r="O1849" s="708">
        <f>IF('Part III A-Sources of Funds'!$E$32= "USDA 538 Loan", 'Part III B-USDA 538 Loan'!$B1756,0)</f>
        <v>0</v>
      </c>
      <c r="P1849" s="708">
        <f>IF('Part III A-Sources of Funds'!$E$32= "USDA 538 Loan", 'Part III B-USDA 538 Loan'!$B1757,0)</f>
        <v>0</v>
      </c>
    </row>
    <row r="1850" spans="1:16" ht="15" customHeight="1">
      <c r="B1850" s="708" t="s">
        <v>827</v>
      </c>
      <c r="G1850" s="708">
        <f>'Part VI-Revenues &amp; Expenses'!G135</f>
        <v>0</v>
      </c>
      <c r="H1850" s="708">
        <f>'Part VI-Revenues &amp; Expenses'!H135</f>
        <v>0</v>
      </c>
      <c r="I1850" s="708">
        <f>'Part VI-Revenues &amp; Expenses'!I135</f>
        <v>0</v>
      </c>
      <c r="J1850" s="708">
        <f>'Part VI-Revenues &amp; Expenses'!J135</f>
        <v>0</v>
      </c>
      <c r="K1850" s="708">
        <f>'Part VI-Revenues &amp; Expenses'!K135</f>
        <v>0</v>
      </c>
      <c r="L1850" s="708">
        <f>'Part VI-Revenues &amp; Expenses'!L135</f>
        <v>0</v>
      </c>
      <c r="M1850" s="708">
        <f>'Part VI-Revenues &amp; Expenses'!M135</f>
        <v>0</v>
      </c>
      <c r="N1850" s="708">
        <f>'Part VI-Revenues &amp; Expenses'!N135</f>
        <v>0</v>
      </c>
      <c r="O1850" s="708">
        <f>'Part VI-Revenues &amp; Expenses'!O135</f>
        <v>0</v>
      </c>
      <c r="P1850" s="708">
        <f>'Part VI-Revenues &amp; Expenses'!P135</f>
        <v>0</v>
      </c>
    </row>
    <row r="1851" spans="1:16" ht="15" customHeight="1">
      <c r="B1851" s="708" t="s">
        <v>1231</v>
      </c>
      <c r="C1851" s="708">
        <f>'Part VI-Revenues &amp; Expenses'!C136</f>
        <v>0</v>
      </c>
      <c r="G1851" s="708">
        <f>'Part VI-Revenues &amp; Expenses'!G136</f>
        <v>0</v>
      </c>
      <c r="H1851" s="708">
        <f>'Part VI-Revenues &amp; Expenses'!H136</f>
        <v>0</v>
      </c>
      <c r="I1851" s="708">
        <f>'Part VI-Revenues &amp; Expenses'!I136</f>
        <v>0</v>
      </c>
      <c r="J1851" s="708">
        <f>'Part VI-Revenues &amp; Expenses'!J136</f>
        <v>0</v>
      </c>
      <c r="K1851" s="708">
        <f>'Part VI-Revenues &amp; Expenses'!K136</f>
        <v>0</v>
      </c>
      <c r="L1851" s="708">
        <f>'Part VI-Revenues &amp; Expenses'!L136</f>
        <v>0</v>
      </c>
      <c r="M1851" s="708">
        <f>'Part VI-Revenues &amp; Expenses'!M136</f>
        <v>0</v>
      </c>
      <c r="N1851" s="708">
        <f>'Part VI-Revenues &amp; Expenses'!N136</f>
        <v>0</v>
      </c>
      <c r="O1851" s="708">
        <f>'Part VI-Revenues &amp; Expenses'!O136</f>
        <v>0</v>
      </c>
      <c r="P1851" s="708">
        <f>'Part VI-Revenues &amp; Expenses'!P136</f>
        <v>0</v>
      </c>
    </row>
    <row r="1852" spans="1:16" ht="15" customHeight="1">
      <c r="C1852" s="708" t="s">
        <v>4099</v>
      </c>
      <c r="G1852" s="708">
        <f t="shared" ref="G1852:P1852" si="322">SUM(G1849:G1851)</f>
        <v>0</v>
      </c>
      <c r="H1852" s="708">
        <f t="shared" si="322"/>
        <v>0</v>
      </c>
      <c r="I1852" s="708">
        <f t="shared" si="322"/>
        <v>0</v>
      </c>
      <c r="J1852" s="708">
        <f t="shared" si="322"/>
        <v>0</v>
      </c>
      <c r="K1852" s="708">
        <f t="shared" si="322"/>
        <v>0</v>
      </c>
      <c r="L1852" s="708">
        <f t="shared" si="322"/>
        <v>0</v>
      </c>
      <c r="M1852" s="708">
        <f t="shared" si="322"/>
        <v>0</v>
      </c>
      <c r="N1852" s="708">
        <f t="shared" si="322"/>
        <v>0</v>
      </c>
      <c r="O1852" s="708">
        <f t="shared" si="322"/>
        <v>0</v>
      </c>
      <c r="P1852" s="708">
        <f t="shared" si="322"/>
        <v>0</v>
      </c>
    </row>
    <row r="1853" spans="1:16" ht="9.75" customHeight="1"/>
    <row r="1854" spans="1:16" ht="11.25" customHeight="1">
      <c r="A1854" s="708" t="s">
        <v>2824</v>
      </c>
      <c r="B1854" s="708" t="s">
        <v>1636</v>
      </c>
    </row>
    <row r="1855" spans="1:16" ht="9" customHeight="1"/>
    <row r="1856" spans="1:16" ht="13.15" customHeight="1">
      <c r="B1856" s="708" t="s">
        <v>1991</v>
      </c>
      <c r="I1856" s="708" t="s">
        <v>2080</v>
      </c>
      <c r="N1856" s="708" t="s">
        <v>2079</v>
      </c>
    </row>
    <row r="1857" spans="2:16" ht="15.6" customHeight="1">
      <c r="B1857" s="708" t="s">
        <v>3304</v>
      </c>
      <c r="F1857" s="708">
        <f>'Part VI-Revenues &amp; Expenses'!F142</f>
        <v>40000</v>
      </c>
      <c r="I1857" s="708" t="s">
        <v>2081</v>
      </c>
      <c r="K1857" s="708">
        <f>'Part VI-Revenues &amp; Expenses'!K142</f>
        <v>0</v>
      </c>
      <c r="N1857" s="708" t="s">
        <v>1525</v>
      </c>
      <c r="P1857" s="708">
        <f>'Part VI-Revenues &amp; Expenses'!P142</f>
        <v>43533.94</v>
      </c>
    </row>
    <row r="1858" spans="2:16" ht="15.6" customHeight="1">
      <c r="B1858" s="708" t="s">
        <v>2070</v>
      </c>
      <c r="F1858" s="708">
        <f>'Part VI-Revenues &amp; Expenses'!F143</f>
        <v>30000</v>
      </c>
      <c r="I1858" s="708" t="s">
        <v>2082</v>
      </c>
      <c r="K1858" s="708">
        <f>'Part VI-Revenues &amp; Expenses'!K143</f>
        <v>600</v>
      </c>
      <c r="N1858" s="708" t="s">
        <v>200</v>
      </c>
      <c r="P1858" s="708">
        <f>'Part VI-Revenues &amp; Expenses'!P143</f>
        <v>20000</v>
      </c>
    </row>
    <row r="1859" spans="2:16" ht="15.6" customHeight="1">
      <c r="B1859" s="708" t="s">
        <v>1917</v>
      </c>
      <c r="F1859" s="708">
        <f>'Part VI-Revenues &amp; Expenses'!F144</f>
        <v>0</v>
      </c>
      <c r="J1859" s="708" t="s">
        <v>249</v>
      </c>
      <c r="K1859" s="708">
        <f>SUM(K1857:L1858)</f>
        <v>600</v>
      </c>
      <c r="N1859" s="708" t="str">
        <f>'Part VI-Revenues &amp; Expenses'!N144</f>
        <v>Other (describe here)</v>
      </c>
      <c r="P1859" s="708">
        <f>'Part VI-Revenues &amp; Expenses'!P144</f>
        <v>0</v>
      </c>
    </row>
    <row r="1860" spans="2:16" ht="15.6" customHeight="1">
      <c r="B1860" s="708" t="str">
        <f>'Part VI-Revenues &amp; Expenses'!B145</f>
        <v>Other (describe here)</v>
      </c>
      <c r="F1860" s="708">
        <f>'Part VI-Revenues &amp; Expenses'!F145</f>
        <v>0</v>
      </c>
      <c r="N1860" s="708" t="s">
        <v>249</v>
      </c>
      <c r="P1860" s="708">
        <f>SUM(P1857:P1859)</f>
        <v>63533.94</v>
      </c>
    </row>
    <row r="1861" spans="2:16" ht="15.6" customHeight="1">
      <c r="C1861" s="708" t="s">
        <v>249</v>
      </c>
      <c r="F1861" s="708">
        <f>SUM(F1857:G1860)</f>
        <v>70000</v>
      </c>
    </row>
    <row r="1862" spans="2:16" ht="9" customHeight="1"/>
    <row r="1863" spans="2:16" ht="13.15" customHeight="1">
      <c r="B1863" s="708" t="s">
        <v>1992</v>
      </c>
      <c r="I1863" s="708" t="s">
        <v>1993</v>
      </c>
      <c r="N1863" s="708" t="s">
        <v>2083</v>
      </c>
      <c r="P1863" s="708">
        <f>IF(OR('Part VII-Pro Forma'!$B$20 = "Choose Mgt Fee",'Part VII-Pro Forma'!$B$20 = "Choose One!"), 0,- 'Part VII-Pro Forma'!$B$20)</f>
        <v>34223</v>
      </c>
    </row>
    <row r="1864" spans="2:16" ht="15.6" customHeight="1">
      <c r="B1864" s="708" t="s">
        <v>2075</v>
      </c>
      <c r="F1864" s="708">
        <f>'Part VI-Revenues &amp; Expenses'!F149</f>
        <v>6000</v>
      </c>
      <c r="I1864" s="708" t="s">
        <v>2365</v>
      </c>
      <c r="K1864" s="708">
        <f>'Part VI-Revenues &amp; Expenses'!K149</f>
        <v>8000</v>
      </c>
      <c r="N1864" s="708">
        <f>+P1863/(M1778*0.93)</f>
        <v>465.80917381244046</v>
      </c>
      <c r="O1864" s="708" t="s">
        <v>3862</v>
      </c>
    </row>
    <row r="1865" spans="2:16" ht="15.6" customHeight="1">
      <c r="B1865" s="708" t="s">
        <v>2076</v>
      </c>
      <c r="F1865" s="708">
        <f>'Part VI-Revenues &amp; Expenses'!F150</f>
        <v>3600</v>
      </c>
      <c r="I1865" s="708" t="s">
        <v>3141</v>
      </c>
      <c r="K1865" s="708">
        <f>'Part VI-Revenues &amp; Expenses'!K150</f>
        <v>12000</v>
      </c>
      <c r="N1865" s="708">
        <f>+P1863/(M1778*0.93)/12</f>
        <v>38.817431151036708</v>
      </c>
      <c r="O1865" s="708" t="s">
        <v>3863</v>
      </c>
    </row>
    <row r="1866" spans="2:16" ht="15.6" customHeight="1">
      <c r="B1866" s="708" t="s">
        <v>2077</v>
      </c>
      <c r="F1866" s="708">
        <f>'Part VI-Revenues &amp; Expenses'!F151</f>
        <v>0</v>
      </c>
      <c r="I1866" s="708" t="s">
        <v>2366</v>
      </c>
      <c r="K1866" s="708">
        <f>'Part VI-Revenues &amp; Expenses'!K151</f>
        <v>6500</v>
      </c>
    </row>
    <row r="1867" spans="2:16" ht="15.6" customHeight="1">
      <c r="B1867" s="708" t="s">
        <v>3489</v>
      </c>
      <c r="F1867" s="708">
        <f>'Part VI-Revenues &amp; Expenses'!F152</f>
        <v>2400</v>
      </c>
      <c r="I1867" s="708" t="str">
        <f>'Part VI-Revenues &amp; Expenses'!I152</f>
        <v>Other (describe here)</v>
      </c>
      <c r="K1867" s="708">
        <f>'Part VI-Revenues &amp; Expenses'!K152</f>
        <v>0</v>
      </c>
      <c r="N1867" s="708" t="s">
        <v>3732</v>
      </c>
    </row>
    <row r="1868" spans="2:16" ht="15.6" customHeight="1">
      <c r="B1868" s="708" t="s">
        <v>2363</v>
      </c>
      <c r="F1868" s="708">
        <f>'Part VI-Revenues &amp; Expenses'!F153</f>
        <v>2400</v>
      </c>
      <c r="J1868" s="708" t="s">
        <v>249</v>
      </c>
      <c r="K1868" s="708">
        <f>SUM(K1864:K1867)</f>
        <v>26500</v>
      </c>
    </row>
    <row r="1869" spans="2:16" ht="15.6" customHeight="1">
      <c r="B1869" s="708" t="str">
        <f>'Part VI-Revenues &amp; Expenses'!B154</f>
        <v>Other (describe here)</v>
      </c>
      <c r="F1869" s="708">
        <f>'Part VI-Revenues &amp; Expenses'!F154</f>
        <v>0</v>
      </c>
    </row>
    <row r="1870" spans="2:16" ht="15.6" customHeight="1">
      <c r="C1870" s="708" t="s">
        <v>249</v>
      </c>
      <c r="F1870" s="708">
        <f>SUM(F1864:G1869)</f>
        <v>14400</v>
      </c>
    </row>
    <row r="1871" spans="2:16" ht="9" customHeight="1"/>
    <row r="1872" spans="2:16" ht="13.15" customHeight="1">
      <c r="B1872" s="708" t="s">
        <v>1994</v>
      </c>
      <c r="I1872" s="708" t="s">
        <v>2078</v>
      </c>
      <c r="J1872" s="708" t="s">
        <v>3555</v>
      </c>
      <c r="N1872" s="708" t="s">
        <v>3294</v>
      </c>
    </row>
    <row r="1873" spans="1:16" ht="15.6" customHeight="1">
      <c r="B1873" s="708" t="s">
        <v>2367</v>
      </c>
      <c r="F1873" s="708">
        <f>'Part VI-Revenues &amp; Expenses'!F158</f>
        <v>12500</v>
      </c>
      <c r="I1873" s="708" t="s">
        <v>2071</v>
      </c>
      <c r="J1873" s="708" t="e">
        <f>K1873/12/$M$63</f>
        <v>#DIV/0!</v>
      </c>
      <c r="K1873" s="708">
        <f>'Part VI-Revenues &amp; Expenses'!K158</f>
        <v>8000</v>
      </c>
      <c r="N1873" s="708" t="e">
        <f>+$P$158/$M$63</f>
        <v>#DIV/0!</v>
      </c>
      <c r="O1873" s="708" t="s">
        <v>2111</v>
      </c>
      <c r="P1873" s="708">
        <f>F1861+F1870+F1881+K1859+K1868+K1878+P1860+P1863</f>
        <v>319116.94</v>
      </c>
    </row>
    <row r="1874" spans="1:16" ht="15.6" customHeight="1">
      <c r="B1874" s="708" t="s">
        <v>2368</v>
      </c>
      <c r="F1874" s="708">
        <f>'Part VI-Revenues &amp; Expenses'!F159</f>
        <v>12000</v>
      </c>
      <c r="I1874" s="708" t="s">
        <v>2072</v>
      </c>
      <c r="J1874" s="708" t="e">
        <f>K1874/12/$M$63</f>
        <v>#DIV/0!</v>
      </c>
      <c r="K1874" s="708">
        <f>'Part VI-Revenues &amp; Expenses'!K159</f>
        <v>0</v>
      </c>
    </row>
    <row r="1875" spans="1:16" ht="15.6" customHeight="1">
      <c r="B1875" s="708" t="s">
        <v>2369</v>
      </c>
      <c r="F1875" s="708">
        <f>'Part VI-Revenues &amp; Expenses'!F160</f>
        <v>18000</v>
      </c>
      <c r="I1875" s="708" t="s">
        <v>3554</v>
      </c>
      <c r="J1875" s="708" t="e">
        <f>K1875/12/$M$63</f>
        <v>#DIV/0!</v>
      </c>
      <c r="K1875" s="708">
        <f>'Part VI-Revenues &amp; Expenses'!K160</f>
        <v>26860</v>
      </c>
    </row>
    <row r="1876" spans="1:16" ht="15.6" customHeight="1">
      <c r="B1876" s="708" t="s">
        <v>1617</v>
      </c>
      <c r="F1876" s="708">
        <f>'Part VI-Revenues &amp; Expenses'!F161</f>
        <v>3500</v>
      </c>
      <c r="I1876" s="708" t="s">
        <v>2074</v>
      </c>
      <c r="K1876" s="708">
        <f>'Part VI-Revenues &amp; Expenses'!K161</f>
        <v>7500</v>
      </c>
      <c r="N1876" s="708" t="s">
        <v>1923</v>
      </c>
      <c r="P1876" s="708">
        <f>P1877*M1778</f>
        <v>19750</v>
      </c>
    </row>
    <row r="1877" spans="1:16" ht="15.6" customHeight="1">
      <c r="B1877" s="708" t="s">
        <v>1618</v>
      </c>
      <c r="F1877" s="708">
        <f>'Part VI-Revenues &amp; Expenses'!F162</f>
        <v>9500</v>
      </c>
      <c r="I1877" s="708" t="str">
        <f>'Part VI-Revenues &amp; Expenses'!I162</f>
        <v>Other (describe here)</v>
      </c>
      <c r="K1877" s="708">
        <f>'Part VI-Revenues &amp; Expenses'!K162</f>
        <v>0</v>
      </c>
      <c r="N1877" s="708" t="s">
        <v>680</v>
      </c>
      <c r="P1877" s="708">
        <f>'Part VI-Revenues &amp; Expenses'!P162</f>
        <v>250</v>
      </c>
    </row>
    <row r="1878" spans="1:16" ht="15.6" customHeight="1">
      <c r="B1878" s="708" t="s">
        <v>1619</v>
      </c>
      <c r="F1878" s="708">
        <f>'Part VI-Revenues &amp; Expenses'!F163</f>
        <v>0</v>
      </c>
      <c r="J1878" s="708" t="s">
        <v>249</v>
      </c>
      <c r="K1878" s="708">
        <f>SUM(K1873:K1877)</f>
        <v>42360</v>
      </c>
    </row>
    <row r="1879" spans="1:16" ht="15.6" customHeight="1">
      <c r="B1879" s="708" t="s">
        <v>1459</v>
      </c>
      <c r="F1879" s="708">
        <f>'Part VI-Revenues &amp; Expenses'!F164</f>
        <v>12000</v>
      </c>
    </row>
    <row r="1880" spans="1:16" ht="15.6" customHeight="1">
      <c r="B1880" s="708" t="str">
        <f>'Part VI-Revenues &amp; Expenses'!B165</f>
        <v>Other (describe here)</v>
      </c>
      <c r="F1880" s="708">
        <f>'Part VI-Revenues &amp; Expenses'!F165</f>
        <v>0</v>
      </c>
      <c r="N1880" s="708" t="s">
        <v>3295</v>
      </c>
    </row>
    <row r="1881" spans="1:16" ht="15.6" customHeight="1">
      <c r="C1881" s="708" t="s">
        <v>249</v>
      </c>
      <c r="F1881" s="708">
        <f>SUM(F1873:G1880)</f>
        <v>67500</v>
      </c>
      <c r="P1881" s="708">
        <f>P1873+P1876</f>
        <v>338866.94</v>
      </c>
    </row>
    <row r="1882" spans="1:16" ht="10.9" customHeight="1"/>
    <row r="1883" spans="1:16" ht="12.4" customHeight="1">
      <c r="A1883" s="708" t="s">
        <v>2826</v>
      </c>
      <c r="B1883" s="708" t="s">
        <v>880</v>
      </c>
      <c r="K1883" s="708" t="s">
        <v>823</v>
      </c>
      <c r="L1883" s="708" t="s">
        <v>2898</v>
      </c>
    </row>
    <row r="1884" spans="1:16" ht="51.6" customHeight="1">
      <c r="A1884" s="708" t="str">
        <f>'Part VI-Revenues &amp; Expenses'!A169</f>
        <v xml:space="preserve">Real estate tax estimation is based on an interview of the Monroe County tax assessor's chief appraiser.   Back-up is located in Tab 8.                                               
Annual Operating Expenses of $4,039/unit is in line with In-Fill Housing's other nearby properties.
</v>
      </c>
      <c r="K1884" s="708">
        <f>'Part VI-Revenues &amp; Expenses'!K169</f>
        <v>0</v>
      </c>
    </row>
    <row r="1885" spans="1:16" ht="51.6" customHeight="1">
      <c r="A1885" s="708" t="str">
        <f>'Part VI-Revenues &amp; Expenses'!A170</f>
        <v xml:space="preserve">Insurance calculation is based on a quote from W.S. Pharr.  Methodology and back-up are provided in the application in Tab 8. </v>
      </c>
      <c r="K1885" s="708">
        <f>'Part VI-Revenues &amp; Expenses'!K170</f>
        <v>0</v>
      </c>
    </row>
    <row r="1886" spans="1:16" ht="51.6" customHeight="1">
      <c r="A1886" s="708" t="str">
        <f>'Part VI-Revenues &amp; Expenses'!A171</f>
        <v>Note that 4 of the residential buildings are 3-story buildings, and 2 are 1-story buildings.</v>
      </c>
      <c r="K1886" s="708">
        <f>'Part VI-Revenues &amp; Expenses'!K171</f>
        <v>0</v>
      </c>
    </row>
    <row r="1887" spans="1:16" ht="11.25" customHeight="1"/>
    <row r="1888" spans="1:16" ht="12.4" customHeight="1"/>
    <row r="1889" spans="1:11">
      <c r="A1889" s="708" t="str">
        <f>CONCATENATE("PART SEVEN - OPERATING PRO FORMA","  -  ",'Part I-Project Information'!$O$4," ",'Part I-Project Information'!$F$22,", ",'Part I-Project Information'!F1908,", ",'Part I-Project Information'!J1909," County")</f>
        <v>PART SEVEN - OPERATING PRO FORMA  -  2011-044 Brentwood Place Apartments, ,  County</v>
      </c>
    </row>
    <row r="1891" spans="1:11">
      <c r="A1891" s="708" t="s">
        <v>100</v>
      </c>
      <c r="D1891" s="708" t="s">
        <v>90</v>
      </c>
      <c r="F1891" s="708" t="s">
        <v>4100</v>
      </c>
    </row>
    <row r="1893" spans="1:11">
      <c r="A1893" s="708" t="s">
        <v>3296</v>
      </c>
      <c r="B1893" s="708">
        <v>0.02</v>
      </c>
      <c r="D1893" s="708" t="s">
        <v>1366</v>
      </c>
      <c r="G1893" s="708">
        <f>'Part VII-Pro Forma'!G5</f>
        <v>7500</v>
      </c>
      <c r="H1893" s="708" t="s">
        <v>2972</v>
      </c>
      <c r="K1893" s="708" t="str">
        <f>IF(($B$14+$B$15+$B$16+$B$17)=0,"",-B1918/($B$14+$B$15+$B$16+$B$17))</f>
        <v/>
      </c>
    </row>
    <row r="1894" spans="1:11">
      <c r="A1894" s="708" t="s">
        <v>3297</v>
      </c>
      <c r="B1894" s="708">
        <v>0.03</v>
      </c>
      <c r="D1894" s="708" t="s">
        <v>1367</v>
      </c>
      <c r="G1894" s="708">
        <f>'Part VII-Pro Forma'!G6</f>
        <v>0</v>
      </c>
      <c r="H1894" s="708" t="s">
        <v>3588</v>
      </c>
      <c r="K1894" s="708" t="str">
        <f>IF(($B$14+$B$15+$B$16+$B$17)=0,"",-B1920/($B$14+$B$15+$B$16+$B$17))</f>
        <v/>
      </c>
    </row>
    <row r="1895" spans="1:11">
      <c r="A1895" s="708" t="s">
        <v>3299</v>
      </c>
      <c r="B1895" s="708">
        <v>0.03</v>
      </c>
      <c r="D1895" s="708" t="s">
        <v>357</v>
      </c>
      <c r="H1895" s="708" t="s">
        <v>3589</v>
      </c>
      <c r="K1895" s="708" t="str">
        <f>IF(($B$14+$B$15+$B$16+$B$17)=0,"",-B1908/($B$14+$B$15+$B$16+$B$17))</f>
        <v/>
      </c>
    </row>
    <row r="1896" spans="1:11">
      <c r="A1896" s="708" t="s">
        <v>3298</v>
      </c>
      <c r="B1896" s="708">
        <f>'Part VII-Pro Forma'!B8</f>
        <v>7.0000000000000007E-2</v>
      </c>
      <c r="D1896" s="708" t="s">
        <v>3789</v>
      </c>
      <c r="G1896" s="708" t="str">
        <f>'Part VII-Pro Forma'!G8</f>
        <v>Yes</v>
      </c>
      <c r="H1896" s="708" t="s">
        <v>2169</v>
      </c>
      <c r="K1896" s="708">
        <f>'Part VII-Pro Forma'!K8</f>
        <v>34223</v>
      </c>
    </row>
    <row r="1897" spans="1:11">
      <c r="A1897" s="708" t="s">
        <v>2130</v>
      </c>
      <c r="B1897" s="708">
        <v>0.02</v>
      </c>
      <c r="D1897" s="708" t="s">
        <v>2744</v>
      </c>
      <c r="G1897" s="708">
        <f>'Part VII-Pro Forma'!G9</f>
        <v>0</v>
      </c>
      <c r="H1897" s="708" t="s">
        <v>3562</v>
      </c>
      <c r="K1897" s="708">
        <f>'Part VII-Pro Forma'!K9</f>
        <v>0</v>
      </c>
    </row>
    <row r="1899" spans="1:11">
      <c r="A1899" s="708" t="s">
        <v>101</v>
      </c>
    </row>
    <row r="1901" spans="1:11">
      <c r="A1901" s="708" t="s">
        <v>3753</v>
      </c>
      <c r="B1901" s="708">
        <v>1</v>
      </c>
      <c r="C1901" s="708">
        <f t="shared" ref="C1901:K1901" si="323">B1901+1</f>
        <v>2</v>
      </c>
      <c r="D1901" s="708">
        <f t="shared" si="323"/>
        <v>3</v>
      </c>
      <c r="E1901" s="708">
        <f t="shared" si="323"/>
        <v>4</v>
      </c>
      <c r="F1901" s="708">
        <f t="shared" si="323"/>
        <v>5</v>
      </c>
      <c r="G1901" s="708">
        <f t="shared" si="323"/>
        <v>6</v>
      </c>
      <c r="H1901" s="708">
        <f t="shared" si="323"/>
        <v>7</v>
      </c>
      <c r="I1901" s="708">
        <f t="shared" si="323"/>
        <v>8</v>
      </c>
      <c r="J1901" s="708">
        <f t="shared" si="323"/>
        <v>9</v>
      </c>
      <c r="K1901" s="708">
        <f t="shared" si="323"/>
        <v>10</v>
      </c>
    </row>
    <row r="1902" spans="1:11">
      <c r="A1902" s="708" t="s">
        <v>3643</v>
      </c>
      <c r="B1902" s="708">
        <f>'Part VI-Revenues &amp; Expenses'!L1933</f>
        <v>0</v>
      </c>
      <c r="C1902" s="708" t="e">
        <f t="shared" ref="C1902:K1902" si="324">$B$14*(1+$B$5)^(C1901-1)</f>
        <v>#VALUE!</v>
      </c>
      <c r="D1902" s="708" t="e">
        <f t="shared" si="324"/>
        <v>#VALUE!</v>
      </c>
      <c r="E1902" s="708" t="e">
        <f t="shared" si="324"/>
        <v>#VALUE!</v>
      </c>
      <c r="F1902" s="708" t="e">
        <f t="shared" si="324"/>
        <v>#VALUE!</v>
      </c>
      <c r="G1902" s="708" t="e">
        <f t="shared" si="324"/>
        <v>#VALUE!</v>
      </c>
      <c r="H1902" s="708" t="e">
        <f t="shared" si="324"/>
        <v>#VALUE!</v>
      </c>
      <c r="I1902" s="708" t="e">
        <f t="shared" si="324"/>
        <v>#VALUE!</v>
      </c>
      <c r="J1902" s="708" t="e">
        <f t="shared" si="324"/>
        <v>#VALUE!</v>
      </c>
      <c r="K1902" s="708" t="e">
        <f t="shared" si="324"/>
        <v>#VALUE!</v>
      </c>
    </row>
    <row r="1903" spans="1:11">
      <c r="A1903" s="708" t="s">
        <v>1633</v>
      </c>
      <c r="B1903" s="708">
        <f>MIN(B1902*B1897,'Part VI-Revenues &amp; Expenses'!G1986)</f>
        <v>0</v>
      </c>
      <c r="C1903" s="708" t="e">
        <f t="shared" ref="C1903:K1903" si="325">$B$15*(1+$B$5)^(C1901-1)</f>
        <v>#VALUE!</v>
      </c>
      <c r="D1903" s="708" t="e">
        <f t="shared" si="325"/>
        <v>#VALUE!</v>
      </c>
      <c r="E1903" s="708" t="e">
        <f t="shared" si="325"/>
        <v>#VALUE!</v>
      </c>
      <c r="F1903" s="708" t="e">
        <f t="shared" si="325"/>
        <v>#VALUE!</v>
      </c>
      <c r="G1903" s="708" t="e">
        <f t="shared" si="325"/>
        <v>#VALUE!</v>
      </c>
      <c r="H1903" s="708" t="e">
        <f t="shared" si="325"/>
        <v>#VALUE!</v>
      </c>
      <c r="I1903" s="708" t="e">
        <f t="shared" si="325"/>
        <v>#VALUE!</v>
      </c>
      <c r="J1903" s="708" t="e">
        <f t="shared" si="325"/>
        <v>#VALUE!</v>
      </c>
      <c r="K1903" s="708" t="e">
        <f t="shared" si="325"/>
        <v>#VALUE!</v>
      </c>
    </row>
    <row r="1904" spans="1:11">
      <c r="A1904" s="708" t="s">
        <v>3644</v>
      </c>
      <c r="B1904" s="708">
        <f t="shared" ref="B1904:K1904" si="326">-(B1902+B1903)*$B$8</f>
        <v>0</v>
      </c>
      <c r="C1904" s="708" t="e">
        <f t="shared" si="326"/>
        <v>#VALUE!</v>
      </c>
      <c r="D1904" s="708" t="e">
        <f t="shared" si="326"/>
        <v>#VALUE!</v>
      </c>
      <c r="E1904" s="708" t="e">
        <f t="shared" si="326"/>
        <v>#VALUE!</v>
      </c>
      <c r="F1904" s="708" t="e">
        <f t="shared" si="326"/>
        <v>#VALUE!</v>
      </c>
      <c r="G1904" s="708" t="e">
        <f t="shared" si="326"/>
        <v>#VALUE!</v>
      </c>
      <c r="H1904" s="708" t="e">
        <f t="shared" si="326"/>
        <v>#VALUE!</v>
      </c>
      <c r="I1904" s="708" t="e">
        <f t="shared" si="326"/>
        <v>#VALUE!</v>
      </c>
      <c r="J1904" s="708" t="e">
        <f t="shared" si="326"/>
        <v>#VALUE!</v>
      </c>
      <c r="K1904" s="708" t="e">
        <f t="shared" si="326"/>
        <v>#VALUE!</v>
      </c>
    </row>
    <row r="1905" spans="1:11">
      <c r="A1905" s="708" t="s">
        <v>61</v>
      </c>
      <c r="B1905" s="708">
        <f>+'Part VI-Revenues &amp; Expenses'!G1993</f>
        <v>0</v>
      </c>
      <c r="C1905" s="708">
        <f>+'Part VI-Revenues &amp; Expenses'!H1993</f>
        <v>0</v>
      </c>
      <c r="D1905" s="708">
        <f>+'Part VI-Revenues &amp; Expenses'!I1993</f>
        <v>0</v>
      </c>
      <c r="E1905" s="708">
        <f>+'Part VI-Revenues &amp; Expenses'!J1993</f>
        <v>0</v>
      </c>
      <c r="F1905" s="708">
        <f>+'Part VI-Revenues &amp; Expenses'!K1993</f>
        <v>0</v>
      </c>
      <c r="G1905" s="708">
        <f>+'Part VI-Revenues &amp; Expenses'!L1993</f>
        <v>0</v>
      </c>
      <c r="H1905" s="708">
        <f>+'Part VI-Revenues &amp; Expenses'!M1993</f>
        <v>0</v>
      </c>
      <c r="I1905" s="708">
        <f>+'Part VI-Revenues &amp; Expenses'!N1993</f>
        <v>0</v>
      </c>
      <c r="J1905" s="708">
        <f>+'Part VI-Revenues &amp; Expenses'!O1993</f>
        <v>0</v>
      </c>
      <c r="K1905" s="708">
        <f>+'Part VI-Revenues &amp; Expenses'!P1993</f>
        <v>0</v>
      </c>
    </row>
    <row r="1906" spans="1:11">
      <c r="A1906" s="708" t="s">
        <v>62</v>
      </c>
      <c r="B1906" s="708">
        <f>'Part VI-Revenues &amp; Expenses'!G1999</f>
        <v>0</v>
      </c>
      <c r="C1906" s="708">
        <f>'Part VI-Revenues &amp; Expenses'!H1999</f>
        <v>0</v>
      </c>
      <c r="D1906" s="708">
        <f>'Part VI-Revenues &amp; Expenses'!I1999</f>
        <v>0</v>
      </c>
      <c r="E1906" s="708">
        <f>'Part VI-Revenues &amp; Expenses'!J1999</f>
        <v>0</v>
      </c>
      <c r="F1906" s="708">
        <f>'Part VI-Revenues &amp; Expenses'!K1999</f>
        <v>0</v>
      </c>
      <c r="G1906" s="708">
        <f>'Part VI-Revenues &amp; Expenses'!L1999</f>
        <v>0</v>
      </c>
      <c r="H1906" s="708">
        <f>'Part VI-Revenues &amp; Expenses'!M1999</f>
        <v>0</v>
      </c>
      <c r="I1906" s="708">
        <f>'Part VI-Revenues &amp; Expenses'!N1999</f>
        <v>0</v>
      </c>
      <c r="J1906" s="708">
        <f>'Part VI-Revenues &amp; Expenses'!O1999</f>
        <v>0</v>
      </c>
      <c r="K1906" s="708">
        <f>'Part VI-Revenues &amp; Expenses'!P1999</f>
        <v>0</v>
      </c>
    </row>
    <row r="1907" spans="1:11">
      <c r="A1907" s="708" t="s">
        <v>949</v>
      </c>
      <c r="B1907" s="708">
        <f>-('Part VI-Revenues &amp; Expenses'!P2042-'Part VI-Revenues &amp; Expenses'!P2032)</f>
        <v>0</v>
      </c>
      <c r="C1907" s="708">
        <f t="shared" ref="C1907:K1907" si="327">$B$19*(1+$B$6)^(C1901-1)</f>
        <v>0</v>
      </c>
      <c r="D1907" s="708">
        <f t="shared" si="327"/>
        <v>0</v>
      </c>
      <c r="E1907" s="708">
        <f t="shared" si="327"/>
        <v>0</v>
      </c>
      <c r="F1907" s="708">
        <f t="shared" si="327"/>
        <v>0</v>
      </c>
      <c r="G1907" s="708">
        <f t="shared" si="327"/>
        <v>0</v>
      </c>
      <c r="H1907" s="708">
        <f t="shared" si="327"/>
        <v>0</v>
      </c>
      <c r="I1907" s="708">
        <f t="shared" si="327"/>
        <v>0</v>
      </c>
      <c r="J1907" s="708">
        <f t="shared" si="327"/>
        <v>0</v>
      </c>
      <c r="K1907" s="708">
        <f t="shared" si="327"/>
        <v>0</v>
      </c>
    </row>
    <row r="1908" spans="1:11">
      <c r="A1908" s="708" t="s">
        <v>1747</v>
      </c>
      <c r="B1908" s="708">
        <f>IF(AND('Part VII-Pro Forma'!$G$8="Yes",'Part VII-Pro Forma'!$G$9="Yes"),"Choose One!",IF('Part VII-Pro Forma'!$G$8="Yes",ROUND((-$K$8*(1+'Part VII-Pro Forma'!$B$6)^('Part VII-Pro Forma'!B1897-1)),),IF('Part VII-Pro Forma'!$G$9="Yes",ROUND((-(SUM(B1902:B1905)*'Part VII-Pro Forma'!$K$9)),),"Choose mgt fee")))</f>
        <v>0</v>
      </c>
      <c r="C1908" s="708">
        <f>IF(AND('Part VII-Pro Forma'!$G$8="Yes",'Part VII-Pro Forma'!$G$9="Yes"),"Choose One!",IF('Part VII-Pro Forma'!$G$8="Yes",ROUND((-$K$8*(1+'Part VII-Pro Forma'!$B$6)^('Part VII-Pro Forma'!C1897-1)),),IF('Part VII-Pro Forma'!$G$9="Yes",ROUND((-(SUM(C1902:C1905)*'Part VII-Pro Forma'!$K$9)),),"Choose mgt fee")))</f>
        <v>0</v>
      </c>
      <c r="D1908" s="708">
        <f>IF(AND('Part VII-Pro Forma'!$G$8="Yes",'Part VII-Pro Forma'!$G$9="Yes"),"Choose One!",IF('Part VII-Pro Forma'!$G$8="Yes",ROUND((-$K$8*(1+'Part VII-Pro Forma'!$B$6)^('Part VII-Pro Forma'!D1897-1)),),IF('Part VII-Pro Forma'!$G$9="Yes",ROUND((-(SUM(D1902:D1905)*'Part VII-Pro Forma'!$K$9)),),"Choose mgt fee")))</f>
        <v>0</v>
      </c>
      <c r="E1908" s="708">
        <f>IF(AND('Part VII-Pro Forma'!$G$8="Yes",'Part VII-Pro Forma'!$G$9="Yes"),"Choose One!",IF('Part VII-Pro Forma'!$G$8="Yes",ROUND((-$K$8*(1+'Part VII-Pro Forma'!$B$6)^('Part VII-Pro Forma'!E1897-1)),),IF('Part VII-Pro Forma'!$G$9="Yes",ROUND((-(SUM(E1902:E1905)*'Part VII-Pro Forma'!$K$9)),),"Choose mgt fee")))</f>
        <v>0</v>
      </c>
      <c r="F1908" s="708">
        <f>IF(AND('Part VII-Pro Forma'!$G$8="Yes",'Part VII-Pro Forma'!$G$9="Yes"),"Choose One!",IF('Part VII-Pro Forma'!$G$8="Yes",ROUND((-$K$8*(1+'Part VII-Pro Forma'!$B$6)^('Part VII-Pro Forma'!F1897-1)),),IF('Part VII-Pro Forma'!$G$9="Yes",ROUND((-(SUM(F1902:F1905)*'Part VII-Pro Forma'!$K$9)),),"Choose mgt fee")))</f>
        <v>0</v>
      </c>
      <c r="G1908" s="708">
        <f>IF(AND('Part VII-Pro Forma'!$G$8="Yes",'Part VII-Pro Forma'!$G$9="Yes"),"Choose One!",IF('Part VII-Pro Forma'!$G$8="Yes",ROUND((-$K$8*(1+'Part VII-Pro Forma'!$B$6)^('Part VII-Pro Forma'!G1897-1)),),IF('Part VII-Pro Forma'!$G$9="Yes",ROUND((-(SUM(G1902:G1905)*'Part VII-Pro Forma'!$K$9)),),"Choose mgt fee")))</f>
        <v>0</v>
      </c>
      <c r="H1908" s="708">
        <f>IF(AND('Part VII-Pro Forma'!$G$8="Yes",'Part VII-Pro Forma'!$G$9="Yes"),"Choose One!",IF('Part VII-Pro Forma'!$G$8="Yes",ROUND((-$K$8*(1+'Part VII-Pro Forma'!$B$6)^('Part VII-Pro Forma'!H1897-1)),),IF('Part VII-Pro Forma'!$G$9="Yes",ROUND((-(SUM(H1902:H1905)*'Part VII-Pro Forma'!$K$9)),),"Choose mgt fee")))</f>
        <v>0</v>
      </c>
      <c r="I1908" s="708">
        <f>IF(AND('Part VII-Pro Forma'!$G$8="Yes",'Part VII-Pro Forma'!$G$9="Yes"),"Choose One!",IF('Part VII-Pro Forma'!$G$8="Yes",ROUND((-$K$8*(1+'Part VII-Pro Forma'!$B$6)^('Part VII-Pro Forma'!I1897-1)),),IF('Part VII-Pro Forma'!$G$9="Yes",ROUND((-(SUM(I1902:I1905)*'Part VII-Pro Forma'!$K$9)),),"Choose mgt fee")))</f>
        <v>0</v>
      </c>
      <c r="J1908" s="708">
        <f>IF(AND('Part VII-Pro Forma'!$G$8="Yes",'Part VII-Pro Forma'!$G$9="Yes"),"Choose One!",IF('Part VII-Pro Forma'!$G$8="Yes",ROUND((-$K$8*(1+'Part VII-Pro Forma'!$B$6)^('Part VII-Pro Forma'!J1897-1)),),IF('Part VII-Pro Forma'!$G$9="Yes",ROUND((-(SUM(J1902:J1905)*'Part VII-Pro Forma'!$K$9)),),"Choose mgt fee")))</f>
        <v>0</v>
      </c>
      <c r="K1908" s="708">
        <f>IF(AND('Part VII-Pro Forma'!$G$8="Yes",'Part VII-Pro Forma'!$G$9="Yes"),"Choose One!",IF('Part VII-Pro Forma'!$G$8="Yes",ROUND((-$K$8*(1+'Part VII-Pro Forma'!$B$6)^('Part VII-Pro Forma'!K1897-1)),),IF('Part VII-Pro Forma'!$G$9="Yes",ROUND((-(SUM(K1902:K1905)*'Part VII-Pro Forma'!$K$9)),),"Choose mgt fee")))</f>
        <v>0</v>
      </c>
    </row>
    <row r="1909" spans="1:11">
      <c r="A1909" s="708" t="s">
        <v>1863</v>
      </c>
      <c r="B1909" s="708">
        <f>-('Part VI-Revenues &amp; Expenses'!P2045)</f>
        <v>0</v>
      </c>
      <c r="C1909" s="708">
        <f t="shared" ref="C1909:K1909" si="328">$B$21*(1+$B$7)^(C1901-1)</f>
        <v>0</v>
      </c>
      <c r="D1909" s="708">
        <f t="shared" si="328"/>
        <v>0</v>
      </c>
      <c r="E1909" s="708">
        <f t="shared" si="328"/>
        <v>0</v>
      </c>
      <c r="F1909" s="708">
        <f t="shared" si="328"/>
        <v>0</v>
      </c>
      <c r="G1909" s="708">
        <f t="shared" si="328"/>
        <v>0</v>
      </c>
      <c r="H1909" s="708">
        <f t="shared" si="328"/>
        <v>0</v>
      </c>
      <c r="I1909" s="708">
        <f t="shared" si="328"/>
        <v>0</v>
      </c>
      <c r="J1909" s="708">
        <f t="shared" si="328"/>
        <v>0</v>
      </c>
      <c r="K1909" s="708">
        <f t="shared" si="328"/>
        <v>0</v>
      </c>
    </row>
    <row r="1910" spans="1:11">
      <c r="A1910" s="708" t="s">
        <v>1864</v>
      </c>
      <c r="B1910" s="708">
        <f t="shared" ref="B1910:K1910" si="329">SUM(B1902:B1909)</f>
        <v>0</v>
      </c>
      <c r="C1910" s="708" t="e">
        <f t="shared" si="329"/>
        <v>#VALUE!</v>
      </c>
      <c r="D1910" s="708" t="e">
        <f t="shared" si="329"/>
        <v>#VALUE!</v>
      </c>
      <c r="E1910" s="708" t="e">
        <f t="shared" si="329"/>
        <v>#VALUE!</v>
      </c>
      <c r="F1910" s="708" t="e">
        <f t="shared" si="329"/>
        <v>#VALUE!</v>
      </c>
      <c r="G1910" s="708" t="e">
        <f t="shared" si="329"/>
        <v>#VALUE!</v>
      </c>
      <c r="H1910" s="708" t="e">
        <f t="shared" si="329"/>
        <v>#VALUE!</v>
      </c>
      <c r="I1910" s="708" t="e">
        <f t="shared" si="329"/>
        <v>#VALUE!</v>
      </c>
      <c r="J1910" s="708" t="e">
        <f t="shared" si="329"/>
        <v>#VALUE!</v>
      </c>
      <c r="K1910" s="708" t="e">
        <f t="shared" si="329"/>
        <v>#VALUE!</v>
      </c>
    </row>
    <row r="1911" spans="1:11">
      <c r="A1911" s="708" t="str">
        <f>IF('Part III A-Sources of Funds'!$E$32 = "Neither", "", "D/S USDA/HUD Mortgage")</f>
        <v>D/S USDA/HUD Mortgage</v>
      </c>
      <c r="B1911" s="708">
        <f>IF('Part III A-Sources of Funds'!$M$32="", 0,-'Part III A-Sources of Funds'!$M$32)</f>
        <v>0</v>
      </c>
      <c r="C1911" s="708">
        <f>IF('Part III A-Sources of Funds'!$M$32="", 0,-'Part III A-Sources of Funds'!$M$32)</f>
        <v>0</v>
      </c>
      <c r="D1911" s="708">
        <f>IF('Part III A-Sources of Funds'!$M$32="", 0,-'Part III A-Sources of Funds'!$M$32)</f>
        <v>0</v>
      </c>
      <c r="E1911" s="708">
        <f>IF('Part III A-Sources of Funds'!$M$32="", 0,-'Part III A-Sources of Funds'!$M$32)</f>
        <v>0</v>
      </c>
      <c r="F1911" s="708">
        <f>IF('Part III A-Sources of Funds'!$M$32="", 0,-'Part III A-Sources of Funds'!$M$32)</f>
        <v>0</v>
      </c>
      <c r="G1911" s="708">
        <f>IF('Part III A-Sources of Funds'!$M$32="", 0,-'Part III A-Sources of Funds'!$M$32)</f>
        <v>0</v>
      </c>
      <c r="H1911" s="708">
        <f>IF('Part III A-Sources of Funds'!$M$32="", 0,-'Part III A-Sources of Funds'!$M$32)</f>
        <v>0</v>
      </c>
      <c r="I1911" s="708">
        <f>IF('Part III A-Sources of Funds'!$M$32="", 0,-'Part III A-Sources of Funds'!$M$32)</f>
        <v>0</v>
      </c>
      <c r="J1911" s="708">
        <f>IF('Part III A-Sources of Funds'!$M$32="", 0,-'Part III A-Sources of Funds'!$M$32)</f>
        <v>0</v>
      </c>
      <c r="K1911" s="708">
        <f>IF('Part III A-Sources of Funds'!$M$32="", 0,-'Part III A-Sources of Funds'!$M$32)</f>
        <v>0</v>
      </c>
    </row>
    <row r="1912" spans="1:11">
      <c r="A1912" s="708" t="str">
        <f>IF('Part III A-Sources of Funds'!$E$32="USDA 538 Loan","USDA Guaranty Fee",IF('Part III A-Sources of Funds'!$E$32="HUD Insured Loan", "HUD MIP",""))</f>
        <v/>
      </c>
      <c r="B1912" s="708">
        <f>IF('Part III A-Sources of Funds'!$E$32="USDA 538 Loan", -'Part III B-USDA 538 Loan'!$C1901,IF('Part III A-Sources of Funds'!$E$32="HUD Insured Loan", -'Part III C-HUD Insured Loan'!$B1912,0))</f>
        <v>0</v>
      </c>
      <c r="C1912" s="708">
        <f>IF('Part III A-Sources of Funds'!$E$32="USDA 538 Loan", -'Part III B-USDA 538 Loan'!$C1902,IF('Part III A-Sources of Funds'!$E$32="HUD Insured Loan", -'Part III C-HUD Insured Loan'!$B1913,0))</f>
        <v>0</v>
      </c>
      <c r="D1912" s="708">
        <f>IF('Part III A-Sources of Funds'!$E$32="USDA 538 Loan", -'Part III B-USDA 538 Loan'!$C1903,IF('Part III A-Sources of Funds'!$E$32="HUD Insured Loan", -'Part III C-HUD Insured Loan'!$B1914,0))</f>
        <v>0</v>
      </c>
      <c r="E1912" s="708">
        <f>IF('Part III A-Sources of Funds'!$E$32="USDA 538 Loan", -'Part III B-USDA 538 Loan'!$C1904,IF('Part III A-Sources of Funds'!$E$32="HUD Insured Loan", -'Part III C-HUD Insured Loan'!$B1915,0))</f>
        <v>0</v>
      </c>
      <c r="F1912" s="708">
        <f>IF('Part III A-Sources of Funds'!$E$32="USDA 538 Loan", -'Part III B-USDA 538 Loan'!$C1905,IF('Part III A-Sources of Funds'!$E$32="HUD Insured Loan", -'Part III C-HUD Insured Loan'!$B1916,0))</f>
        <v>0</v>
      </c>
      <c r="G1912" s="708">
        <f>IF('Part III A-Sources of Funds'!$E$32="USDA 538 Loan", -'Part III B-USDA 538 Loan'!$C1906,IF('Part III A-Sources of Funds'!$E$32="HUD Insured Loan", -'Part III C-HUD Insured Loan'!$B1917,0))</f>
        <v>0</v>
      </c>
      <c r="H1912" s="708">
        <f>IF('Part III A-Sources of Funds'!$E$32="USDA 538 Loan", -'Part III B-USDA 538 Loan'!$C1907,IF('Part III A-Sources of Funds'!$E$32="HUD Insured Loan", -'Part III C-HUD Insured Loan'!$B1918,0))</f>
        <v>0</v>
      </c>
      <c r="I1912" s="708">
        <f>IF('Part III A-Sources of Funds'!$E$32="USDA 538 Loan", -'Part III B-USDA 538 Loan'!$C1908,IF('Part III A-Sources of Funds'!$E$32="HUD Insured Loan", -'Part III C-HUD Insured Loan'!$B1919,0))</f>
        <v>0</v>
      </c>
      <c r="J1912" s="708">
        <f>IF('Part III A-Sources of Funds'!$E$32="USDA 538 Loan", -'Part III B-USDA 538 Loan'!$C1909,IF('Part III A-Sources of Funds'!$E$32="HUD Insured Loan", -'Part III C-HUD Insured Loan'!$B1920,0))</f>
        <v>0</v>
      </c>
      <c r="K1912" s="708">
        <f>IF('Part III A-Sources of Funds'!$E$32="USDA 538 Loan", -'Part III B-USDA 538 Loan'!$C1910,IF('Part III A-Sources of Funds'!$E$32="HUD Insured Loan", -'Part III C-HUD Insured Loan'!$B1921,0))</f>
        <v>0</v>
      </c>
    </row>
    <row r="1913" spans="1:11">
      <c r="A1913" s="708" t="str">
        <f>IF('Part III A-Sources of Funds'!$E$32 = "Neither", "D/S Mortgage A","D/S Mortgage B")</f>
        <v>D/S Mortgage B</v>
      </c>
      <c r="B1913" s="708">
        <f>'Part VII-Pro Forma'!B25</f>
        <v>0</v>
      </c>
      <c r="C1913" s="708">
        <f>'Part VII-Pro Forma'!C25</f>
        <v>0</v>
      </c>
      <c r="D1913" s="708">
        <f>'Part VII-Pro Forma'!D25</f>
        <v>0</v>
      </c>
      <c r="E1913" s="708">
        <f>'Part VII-Pro Forma'!E25</f>
        <v>0</v>
      </c>
      <c r="F1913" s="708">
        <f>'Part VII-Pro Forma'!F25</f>
        <v>0</v>
      </c>
      <c r="G1913" s="708">
        <f>'Part VII-Pro Forma'!G25</f>
        <v>0</v>
      </c>
      <c r="H1913" s="708">
        <f>'Part VII-Pro Forma'!H25</f>
        <v>0</v>
      </c>
      <c r="I1913" s="708">
        <f>'Part VII-Pro Forma'!I25</f>
        <v>0</v>
      </c>
      <c r="J1913" s="708">
        <f>'Part VII-Pro Forma'!J25</f>
        <v>0</v>
      </c>
      <c r="K1913" s="708">
        <f>'Part VII-Pro Forma'!K25</f>
        <v>0</v>
      </c>
    </row>
    <row r="1914" spans="1:11">
      <c r="A1914" s="708" t="str">
        <f>IF('Part III A-Sources of Funds'!$E$32 = "Neither", "D/S Mortgage B","D/S Mortgage C")</f>
        <v>D/S Mortgage C</v>
      </c>
      <c r="B1914" s="708">
        <f>'Part VII-Pro Forma'!B26</f>
        <v>-72291</v>
      </c>
      <c r="C1914" s="708">
        <f>'Part VII-Pro Forma'!C26</f>
        <v>-71316</v>
      </c>
      <c r="D1914" s="708">
        <f>'Part VII-Pro Forma'!D26</f>
        <v>-70249.833099142896</v>
      </c>
      <c r="E1914" s="708">
        <f>'Part VII-Pro Forma'!E26</f>
        <v>-69087</v>
      </c>
      <c r="F1914" s="708">
        <f>'Part VII-Pro Forma'!F26</f>
        <v>-67824</v>
      </c>
      <c r="G1914" s="708">
        <f>'Part VII-Pro Forma'!G26</f>
        <v>-66456</v>
      </c>
      <c r="H1914" s="708">
        <f>'Part VII-Pro Forma'!H26</f>
        <v>-64979</v>
      </c>
      <c r="I1914" s="708">
        <f>'Part VII-Pro Forma'!I26</f>
        <v>-63388</v>
      </c>
      <c r="J1914" s="708">
        <f>'Part VII-Pro Forma'!J26</f>
        <v>-61679</v>
      </c>
      <c r="K1914" s="708">
        <f>'Part VII-Pro Forma'!K26</f>
        <v>-59847</v>
      </c>
    </row>
    <row r="1915" spans="1:11">
      <c r="A1915" s="708" t="s">
        <v>1363</v>
      </c>
      <c r="B1915" s="708">
        <f>'Part VII-Pro Forma'!B27</f>
        <v>0</v>
      </c>
      <c r="C1915" s="708">
        <f>'Part VII-Pro Forma'!C27</f>
        <v>0</v>
      </c>
      <c r="D1915" s="708">
        <f>'Part VII-Pro Forma'!D27</f>
        <v>0</v>
      </c>
      <c r="E1915" s="708">
        <f>'Part VII-Pro Forma'!E27</f>
        <v>0</v>
      </c>
      <c r="F1915" s="708">
        <f>'Part VII-Pro Forma'!F27</f>
        <v>0</v>
      </c>
      <c r="G1915" s="708">
        <f>'Part VII-Pro Forma'!G27</f>
        <v>0</v>
      </c>
      <c r="H1915" s="708">
        <f>'Part VII-Pro Forma'!H27</f>
        <v>0</v>
      </c>
      <c r="I1915" s="708">
        <f>'Part VII-Pro Forma'!I27</f>
        <v>0</v>
      </c>
      <c r="J1915" s="708">
        <f>'Part VII-Pro Forma'!J27</f>
        <v>0</v>
      </c>
      <c r="K1915" s="708">
        <f>'Part VII-Pro Forma'!K27</f>
        <v>0</v>
      </c>
    </row>
    <row r="1916" spans="1:11">
      <c r="A1916" s="708" t="s">
        <v>808</v>
      </c>
      <c r="B1916" s="708">
        <f>'Part VII-Pro Forma'!B28</f>
        <v>0</v>
      </c>
      <c r="C1916" s="708">
        <f>'Part VII-Pro Forma'!C28</f>
        <v>0</v>
      </c>
      <c r="D1916" s="708">
        <f>'Part VII-Pro Forma'!D28</f>
        <v>0</v>
      </c>
      <c r="E1916" s="708">
        <f>'Part VII-Pro Forma'!E28</f>
        <v>0</v>
      </c>
      <c r="F1916" s="708">
        <f>'Part VII-Pro Forma'!F28</f>
        <v>0</v>
      </c>
      <c r="G1916" s="708">
        <f>'Part VII-Pro Forma'!G28</f>
        <v>0</v>
      </c>
      <c r="H1916" s="708">
        <f>'Part VII-Pro Forma'!H28</f>
        <v>0</v>
      </c>
      <c r="I1916" s="708">
        <f>'Part VII-Pro Forma'!I28</f>
        <v>0</v>
      </c>
      <c r="J1916" s="708">
        <f>'Part VII-Pro Forma'!J28</f>
        <v>0</v>
      </c>
      <c r="K1916" s="708">
        <f>'Part VII-Pro Forma'!K28</f>
        <v>0</v>
      </c>
    </row>
    <row r="1917" spans="1:11">
      <c r="A1917" s="708" t="s">
        <v>1337</v>
      </c>
      <c r="B1917" s="708">
        <f>'Part VII-Pro Forma'!B29</f>
        <v>-10708.285999999993</v>
      </c>
      <c r="C1917" s="708">
        <f>'Part VII-Pro Forma'!C29</f>
        <v>-10400.87202000001</v>
      </c>
      <c r="D1917" s="708">
        <f>'Part VII-Pro Forma'!D29</f>
        <v>-10071.591619828578</v>
      </c>
      <c r="E1917" s="708">
        <f>'Part VII-Pro Forma'!E29</f>
        <v>-9719.7408030579682</v>
      </c>
      <c r="F1917" s="708">
        <f>'Part VII-Pro Forma'!F29</f>
        <v>-9344.0250634972326</v>
      </c>
      <c r="G1917" s="708">
        <f>'Part VII-Pro Forma'!G29</f>
        <v>-8943.7217924766592</v>
      </c>
      <c r="H1917" s="708">
        <f>'Part VII-Pro Forma'!H29</f>
        <v>-8518.0943428669198</v>
      </c>
      <c r="I1917" s="708">
        <f>'Part VII-Pro Forma'!I29</f>
        <v>-8065.8052877011505</v>
      </c>
      <c r="J1917" s="708">
        <f>'Part VII-Pro Forma'!J29</f>
        <v>-7585.4130231715244</v>
      </c>
      <c r="K1917" s="708">
        <f>'Part VII-Pro Forma'!K29</f>
        <v>-7076.3682622426786</v>
      </c>
    </row>
    <row r="1918" spans="1:11">
      <c r="A1918" s="708" t="s">
        <v>1808</v>
      </c>
      <c r="B1918" s="708">
        <f>'Part VII-Pro Forma'!B30</f>
        <v>-7500</v>
      </c>
      <c r="C1918" s="708">
        <f>'Part VII-Pro Forma'!C30</f>
        <v>-7725</v>
      </c>
      <c r="D1918" s="708">
        <f>'Part VII-Pro Forma'!D30</f>
        <v>-7956.75</v>
      </c>
      <c r="E1918" s="708">
        <f>'Part VII-Pro Forma'!E30</f>
        <v>-8195.4524999999994</v>
      </c>
      <c r="F1918" s="708">
        <f>'Part VII-Pro Forma'!F30</f>
        <v>-8441.3160749999988</v>
      </c>
      <c r="G1918" s="708">
        <f>'Part VII-Pro Forma'!G30</f>
        <v>-8694.5555572499998</v>
      </c>
      <c r="H1918" s="708">
        <f>'Part VII-Pro Forma'!H30</f>
        <v>-8955.3922239674994</v>
      </c>
      <c r="I1918" s="708">
        <f>'Part VII-Pro Forma'!I30</f>
        <v>-9224.0539906865251</v>
      </c>
      <c r="J1918" s="708">
        <f>'Part VII-Pro Forma'!J30</f>
        <v>-9500.7756104071213</v>
      </c>
      <c r="K1918" s="708">
        <f>'Part VII-Pro Forma'!K30</f>
        <v>-9785.7988787193353</v>
      </c>
    </row>
    <row r="1919" spans="1:11">
      <c r="A1919" s="708" t="s">
        <v>1865</v>
      </c>
      <c r="B1919" s="708">
        <f>'Part VII-Pro Forma'!B31</f>
        <v>0</v>
      </c>
      <c r="C1919" s="708">
        <f>'Part VII-Pro Forma'!C31</f>
        <v>0</v>
      </c>
      <c r="D1919" s="708">
        <f>'Part VII-Pro Forma'!D31</f>
        <v>0</v>
      </c>
      <c r="E1919" s="708">
        <f>'Part VII-Pro Forma'!E31</f>
        <v>0</v>
      </c>
      <c r="F1919" s="708">
        <f>'Part VII-Pro Forma'!F31</f>
        <v>0</v>
      </c>
      <c r="G1919" s="708">
        <f>'Part VII-Pro Forma'!G31</f>
        <v>0</v>
      </c>
      <c r="H1919" s="708">
        <f>'Part VII-Pro Forma'!H31</f>
        <v>0</v>
      </c>
      <c r="I1919" s="708">
        <f>'Part VII-Pro Forma'!I31</f>
        <v>0</v>
      </c>
      <c r="J1919" s="708">
        <f>'Part VII-Pro Forma'!J31</f>
        <v>0</v>
      </c>
      <c r="K1919" s="708">
        <f>'Part VII-Pro Forma'!K31</f>
        <v>0</v>
      </c>
    </row>
    <row r="1920" spans="1:11">
      <c r="A1920" s="708" t="s">
        <v>1809</v>
      </c>
      <c r="B1920" s="708">
        <f>'Part VII-Pro Forma'!B32</f>
        <v>0</v>
      </c>
      <c r="C1920" s="708">
        <f>'Part VII-Pro Forma'!C32</f>
        <v>0</v>
      </c>
      <c r="D1920" s="708">
        <f>'Part VII-Pro Forma'!D32</f>
        <v>0</v>
      </c>
      <c r="E1920" s="708">
        <f>'Part VII-Pro Forma'!E32</f>
        <v>0</v>
      </c>
      <c r="F1920" s="708">
        <f>'Part VII-Pro Forma'!F32</f>
        <v>0</v>
      </c>
      <c r="G1920" s="708">
        <f>'Part VII-Pro Forma'!G32</f>
        <v>0</v>
      </c>
      <c r="H1920" s="708">
        <f>'Part VII-Pro Forma'!H32</f>
        <v>0</v>
      </c>
      <c r="I1920" s="708">
        <f>'Part VII-Pro Forma'!I32</f>
        <v>0</v>
      </c>
      <c r="J1920" s="708">
        <f>'Part VII-Pro Forma'!J32</f>
        <v>0</v>
      </c>
      <c r="K1920" s="708">
        <f>'Part VII-Pro Forma'!K32</f>
        <v>0</v>
      </c>
    </row>
    <row r="1921" spans="1:11">
      <c r="A1921" s="708" t="s">
        <v>1810</v>
      </c>
      <c r="B1921" s="708">
        <f t="shared" ref="B1921:K1921" si="330">SUM(B1910:B1920)</f>
        <v>-90499.285999999993</v>
      </c>
      <c r="C1921" s="708" t="e">
        <f t="shared" si="330"/>
        <v>#VALUE!</v>
      </c>
      <c r="D1921" s="708" t="e">
        <f t="shared" si="330"/>
        <v>#VALUE!</v>
      </c>
      <c r="E1921" s="708" t="e">
        <f t="shared" si="330"/>
        <v>#VALUE!</v>
      </c>
      <c r="F1921" s="708" t="e">
        <f t="shared" si="330"/>
        <v>#VALUE!</v>
      </c>
      <c r="G1921" s="708" t="e">
        <f t="shared" si="330"/>
        <v>#VALUE!</v>
      </c>
      <c r="H1921" s="708" t="e">
        <f t="shared" si="330"/>
        <v>#VALUE!</v>
      </c>
      <c r="I1921" s="708" t="e">
        <f t="shared" si="330"/>
        <v>#VALUE!</v>
      </c>
      <c r="J1921" s="708" t="e">
        <f t="shared" si="330"/>
        <v>#VALUE!</v>
      </c>
      <c r="K1921" s="708" t="e">
        <f t="shared" si="330"/>
        <v>#VALUE!</v>
      </c>
    </row>
    <row r="1922" spans="1:11">
      <c r="A1922" s="708" t="str">
        <f>IF('Part III A-Sources of Funds'!$E$32 = "Neither", "", "DCR First Mortgage")</f>
        <v>DCR First Mortgage</v>
      </c>
      <c r="B1922" s="708" t="str">
        <f>IF(B1911=0,"",-B1910/B1911)</f>
        <v/>
      </c>
      <c r="C1922" s="708" t="str">
        <f t="shared" ref="C1922:K1922" si="331">IF(C1911=0,"",-C1910/C1911)</f>
        <v/>
      </c>
      <c r="D1922" s="708" t="str">
        <f t="shared" si="331"/>
        <v/>
      </c>
      <c r="E1922" s="708" t="str">
        <f t="shared" si="331"/>
        <v/>
      </c>
      <c r="F1922" s="708" t="str">
        <f t="shared" si="331"/>
        <v/>
      </c>
      <c r="G1922" s="708" t="str">
        <f t="shared" si="331"/>
        <v/>
      </c>
      <c r="H1922" s="708" t="str">
        <f t="shared" si="331"/>
        <v/>
      </c>
      <c r="I1922" s="708" t="str">
        <f t="shared" si="331"/>
        <v/>
      </c>
      <c r="J1922" s="708" t="str">
        <f t="shared" si="331"/>
        <v/>
      </c>
      <c r="K1922" s="708" t="str">
        <f t="shared" si="331"/>
        <v/>
      </c>
    </row>
    <row r="1923" spans="1:11">
      <c r="A1923" s="708" t="str">
        <f>IF('Part III A-Sources of Funds'!$E$32 = "Neither", "", "DCR USDA/HUD Fee")</f>
        <v>DCR USDA/HUD Fee</v>
      </c>
      <c r="B1923" s="708" t="str">
        <f>IF(OR(B1912=0,AND(B1912=0,B1911=0)),"",-B1910/(B1911+B1912))</f>
        <v/>
      </c>
      <c r="C1923" s="708" t="str">
        <f t="shared" ref="C1923:K1923" si="332">IF(OR(C1912=0,AND(C1912=0,C1911=0)),"",-C1910/(C1911+C1912))</f>
        <v/>
      </c>
      <c r="D1923" s="708" t="str">
        <f t="shared" si="332"/>
        <v/>
      </c>
      <c r="E1923" s="708" t="str">
        <f t="shared" si="332"/>
        <v/>
      </c>
      <c r="F1923" s="708" t="str">
        <f t="shared" si="332"/>
        <v/>
      </c>
      <c r="G1923" s="708" t="str">
        <f t="shared" si="332"/>
        <v/>
      </c>
      <c r="H1923" s="708" t="str">
        <f t="shared" si="332"/>
        <v/>
      </c>
      <c r="I1923" s="708" t="str">
        <f t="shared" si="332"/>
        <v/>
      </c>
      <c r="J1923" s="708" t="str">
        <f t="shared" si="332"/>
        <v/>
      </c>
      <c r="K1923" s="708" t="str">
        <f t="shared" si="332"/>
        <v/>
      </c>
    </row>
    <row r="1924" spans="1:11">
      <c r="A1924" s="708" t="str">
        <f>IF('Part III A-Sources of Funds'!$E$32 = "Neither", "DCR First Mortgage", "DCR Second Mortgage")</f>
        <v>DCR Second Mortgage</v>
      </c>
      <c r="B1924" s="708" t="str">
        <f>IF(OR(B1913=0,AND(B1913=0,B1912=0,B1911=0)),"",-B1910/(B1911+B1912+B1913))</f>
        <v/>
      </c>
      <c r="C1924" s="708" t="str">
        <f t="shared" ref="C1924:K1924" si="333">IF(OR(C1913=0,AND(C1913=0,C1912=0,C1911=0)),"",-C1910/(C1911+C1912+C1913))</f>
        <v/>
      </c>
      <c r="D1924" s="708" t="str">
        <f t="shared" si="333"/>
        <v/>
      </c>
      <c r="E1924" s="708" t="str">
        <f t="shared" si="333"/>
        <v/>
      </c>
      <c r="F1924" s="708" t="str">
        <f t="shared" si="333"/>
        <v/>
      </c>
      <c r="G1924" s="708" t="str">
        <f t="shared" si="333"/>
        <v/>
      </c>
      <c r="H1924" s="708" t="str">
        <f t="shared" si="333"/>
        <v/>
      </c>
      <c r="I1924" s="708" t="str">
        <f t="shared" si="333"/>
        <v/>
      </c>
      <c r="J1924" s="708" t="str">
        <f t="shared" si="333"/>
        <v/>
      </c>
      <c r="K1924" s="708" t="str">
        <f t="shared" si="333"/>
        <v/>
      </c>
    </row>
    <row r="1925" spans="1:11">
      <c r="A1925" s="708" t="str">
        <f>IF('Part III A-Sources of Funds'!$E$32 = "Neither", "DCR Second Mortgage", "DCR Third Mortgage")</f>
        <v>DCR Third Mortgage</v>
      </c>
      <c r="B1925" s="708">
        <f>IF(OR(B1914=0,AND(B1911=0,B1912=0,B1913=0,B1914=0)),"",-B1910/(B1911+B1912+B1913+B1914))</f>
        <v>0</v>
      </c>
      <c r="C1925" s="708" t="e">
        <f t="shared" ref="C1925:K1925" si="334">IF(OR(C1914=0,AND(C1911=0,C1912=0,C1913=0,C1914=0)),"",-C1910/(C1911+C1912+C1913+C1914))</f>
        <v>#VALUE!</v>
      </c>
      <c r="D1925" s="708" t="e">
        <f t="shared" si="334"/>
        <v>#VALUE!</v>
      </c>
      <c r="E1925" s="708" t="e">
        <f t="shared" si="334"/>
        <v>#VALUE!</v>
      </c>
      <c r="F1925" s="708" t="e">
        <f t="shared" si="334"/>
        <v>#VALUE!</v>
      </c>
      <c r="G1925" s="708" t="e">
        <f t="shared" si="334"/>
        <v>#VALUE!</v>
      </c>
      <c r="H1925" s="708" t="e">
        <f t="shared" si="334"/>
        <v>#VALUE!</v>
      </c>
      <c r="I1925" s="708" t="e">
        <f t="shared" si="334"/>
        <v>#VALUE!</v>
      </c>
      <c r="J1925" s="708" t="e">
        <f t="shared" si="334"/>
        <v>#VALUE!</v>
      </c>
      <c r="K1925" s="708" t="e">
        <f t="shared" si="334"/>
        <v>#VALUE!</v>
      </c>
    </row>
    <row r="1926" spans="1:11">
      <c r="A1926" s="708" t="s">
        <v>1364</v>
      </c>
      <c r="B1926" s="708" t="str">
        <f>IF(OR(B1915=0,AND(B1911=0,B1912=0,B1913=0,B1914=0,B1915=0)),"",-B1910/(B1911+B1912+B1913+B1914+B1915))</f>
        <v/>
      </c>
      <c r="C1926" s="708" t="str">
        <f t="shared" ref="C1926:K1926" si="335">IF(OR(C1915=0,AND(C1911=0,C1912=0,C1913=0,C1914=0,C1915=0)),"",-C1910/(C1911+C1912+C1913+C1914+C1915))</f>
        <v/>
      </c>
      <c r="D1926" s="708" t="str">
        <f t="shared" si="335"/>
        <v/>
      </c>
      <c r="E1926" s="708" t="str">
        <f t="shared" si="335"/>
        <v/>
      </c>
      <c r="F1926" s="708" t="str">
        <f t="shared" si="335"/>
        <v/>
      </c>
      <c r="G1926" s="708" t="str">
        <f t="shared" si="335"/>
        <v/>
      </c>
      <c r="H1926" s="708" t="str">
        <f t="shared" si="335"/>
        <v/>
      </c>
      <c r="I1926" s="708" t="str">
        <f t="shared" si="335"/>
        <v/>
      </c>
      <c r="J1926" s="708" t="str">
        <f t="shared" si="335"/>
        <v/>
      </c>
      <c r="K1926" s="708" t="str">
        <f t="shared" si="335"/>
        <v/>
      </c>
    </row>
    <row r="1927" spans="1:11">
      <c r="A1927" s="708" t="s">
        <v>1364</v>
      </c>
      <c r="B1927" s="708" t="str">
        <f>IF(OR(B1916=0,AND(B1911=0,B1912=0,B1913=0,B1914=0,B1915=0,B1916=0)),"",-B1910/(B1911+B1912+B1913+B1914+B1915+B1916))</f>
        <v/>
      </c>
      <c r="C1927" s="708" t="str">
        <f t="shared" ref="C1927:K1927" si="336">IF(OR(C1916=0,AND(C1911=0,C1912=0,C1913=0,C1914=0,C1915=0,C1916=0)),"",-C1910/(C1911+C1912+C1913+C1914+C1915+C1916))</f>
        <v/>
      </c>
      <c r="D1927" s="708" t="str">
        <f t="shared" si="336"/>
        <v/>
      </c>
      <c r="E1927" s="708" t="str">
        <f t="shared" si="336"/>
        <v/>
      </c>
      <c r="F1927" s="708" t="str">
        <f t="shared" si="336"/>
        <v/>
      </c>
      <c r="G1927" s="708" t="str">
        <f t="shared" si="336"/>
        <v/>
      </c>
      <c r="H1927" s="708" t="str">
        <f t="shared" si="336"/>
        <v/>
      </c>
      <c r="I1927" s="708" t="str">
        <f t="shared" si="336"/>
        <v/>
      </c>
      <c r="J1927" s="708" t="str">
        <f t="shared" si="336"/>
        <v/>
      </c>
      <c r="K1927" s="708" t="str">
        <f t="shared" si="336"/>
        <v/>
      </c>
    </row>
    <row r="1928" spans="1:11">
      <c r="A1928" s="708" t="s">
        <v>1346</v>
      </c>
      <c r="B1928" s="708" t="e">
        <f>IF(OR(B1908="Choose mgt fee",B1908="Choose One!"),"",(B1902+B1903+B1904+B1905+B1906) / -(B1907+B1908+B1909))</f>
        <v>#DIV/0!</v>
      </c>
      <c r="C1928" s="708" t="e">
        <f t="shared" ref="C1928:K1928" si="337">IF(OR(C1908="Choose mgt fee",C1908="Choose One!"),"",(C1902+C1903+C1904+C1905+C1906) / -(C1907+C1908+C1909))</f>
        <v>#VALUE!</v>
      </c>
      <c r="D1928" s="708" t="e">
        <f t="shared" si="337"/>
        <v>#VALUE!</v>
      </c>
      <c r="E1928" s="708" t="e">
        <f t="shared" si="337"/>
        <v>#VALUE!</v>
      </c>
      <c r="F1928" s="708" t="e">
        <f t="shared" si="337"/>
        <v>#VALUE!</v>
      </c>
      <c r="G1928" s="708" t="e">
        <f t="shared" si="337"/>
        <v>#VALUE!</v>
      </c>
      <c r="H1928" s="708" t="e">
        <f t="shared" si="337"/>
        <v>#VALUE!</v>
      </c>
      <c r="I1928" s="708" t="e">
        <f t="shared" si="337"/>
        <v>#VALUE!</v>
      </c>
      <c r="J1928" s="708" t="e">
        <f t="shared" si="337"/>
        <v>#VALUE!</v>
      </c>
      <c r="K1928" s="708" t="e">
        <f t="shared" si="337"/>
        <v>#VALUE!</v>
      </c>
    </row>
    <row r="1929" spans="1:11">
      <c r="A1929" s="708" t="str">
        <f>IF('Part III A-Sources of Funds'!$E$32 = "Neither", "", "Mortgage A Balance")</f>
        <v>Mortgage A Balance</v>
      </c>
      <c r="B1929" s="708">
        <f>'Part VII-Pro Forma'!B41</f>
        <v>0</v>
      </c>
      <c r="C1929" s="708">
        <f>'Part VII-Pro Forma'!C41</f>
        <v>0</v>
      </c>
      <c r="D1929" s="708">
        <f>'Part VII-Pro Forma'!D41</f>
        <v>0</v>
      </c>
      <c r="E1929" s="708">
        <f>'Part VII-Pro Forma'!E41</f>
        <v>0</v>
      </c>
      <c r="F1929" s="708">
        <f>'Part VII-Pro Forma'!F41</f>
        <v>0</v>
      </c>
      <c r="G1929" s="708">
        <f>'Part VII-Pro Forma'!G41</f>
        <v>0</v>
      </c>
      <c r="H1929" s="708">
        <f>'Part VII-Pro Forma'!H41</f>
        <v>0</v>
      </c>
      <c r="I1929" s="708">
        <f>'Part VII-Pro Forma'!I41</f>
        <v>0</v>
      </c>
      <c r="J1929" s="708">
        <f>'Part VII-Pro Forma'!J41</f>
        <v>0</v>
      </c>
      <c r="K1929" s="708">
        <f>'Part VII-Pro Forma'!K41</f>
        <v>0</v>
      </c>
    </row>
    <row r="1930" spans="1:11">
      <c r="A1930" s="708" t="str">
        <f>IF('Part III A-Sources of Funds'!$E$32 = "Neither", "Mortgage A Balance", "Mortgage B Balance")</f>
        <v>Mortgage B Balance</v>
      </c>
      <c r="B1930" s="708">
        <f>'Part VII-Pro Forma'!B42</f>
        <v>484186.04106318136</v>
      </c>
      <c r="C1930" s="708">
        <f>'Part VII-Pro Forma'!C42</f>
        <v>504163.70400093921</v>
      </c>
      <c r="D1930" s="708">
        <f>'Part VII-Pro Forma'!D42</f>
        <v>524965.65137196635</v>
      </c>
      <c r="E1930" s="708">
        <f>'Part VII-Pro Forma'!E42</f>
        <v>546625.89340203581</v>
      </c>
      <c r="F1930" s="708">
        <f>'Part VII-Pro Forma'!F42</f>
        <v>569179.84358915337</v>
      </c>
      <c r="G1930" s="708">
        <f>'Part VII-Pro Forma'!G42</f>
        <v>592664.37660299556</v>
      </c>
      <c r="H1930" s="708">
        <f>'Part VII-Pro Forma'!H42</f>
        <v>617117.88857329625</v>
      </c>
      <c r="I1930" s="708">
        <f>'Part VII-Pro Forma'!I42</f>
        <v>642580.35986575007</v>
      </c>
      <c r="J1930" s="708">
        <f>'Part VII-Pro Forma'!J42</f>
        <v>669093.42044806865</v>
      </c>
      <c r="K1930" s="708">
        <f>'Part VII-Pro Forma'!K42</f>
        <v>696700.41795306024</v>
      </c>
    </row>
    <row r="1931" spans="1:11">
      <c r="A1931" s="708" t="str">
        <f>IF('Part III A-Sources of Funds'!$E$32 = "Neither", "Mortgage B Balance", "Mortgage C Balance")</f>
        <v>Mortgage C Balance</v>
      </c>
      <c r="B1931" s="708">
        <f>'Part VII-Pro Forma'!B43</f>
        <v>1013205.4434370677</v>
      </c>
      <c r="C1931" s="708">
        <f>'Part VII-Pro Forma'!C43</f>
        <v>951740.29102949786</v>
      </c>
      <c r="D1931" s="708">
        <f>'Part VII-Pro Forma'!D43</f>
        <v>890728.72920343874</v>
      </c>
      <c r="E1931" s="708">
        <f>'Part VII-Pro Forma'!E43</f>
        <v>830272.42519684019</v>
      </c>
      <c r="F1931" s="708">
        <f>'Part VII-Pro Forma'!F43</f>
        <v>770477.58438485872</v>
      </c>
      <c r="G1931" s="708">
        <f>'Part VII-Pro Forma'!G43</f>
        <v>711456.33439019124</v>
      </c>
      <c r="H1931" s="708">
        <f>'Part VII-Pro Forma'!H43</f>
        <v>653325.94764960138</v>
      </c>
      <c r="I1931" s="708">
        <f>'Part VII-Pro Forma'!I43</f>
        <v>596209.89769460924</v>
      </c>
      <c r="J1931" s="708">
        <f>'Part VII-Pro Forma'!J43</f>
        <v>540236.91685135814</v>
      </c>
      <c r="K1931" s="708">
        <f>'Part VII-Pro Forma'!K43</f>
        <v>485542.05366634834</v>
      </c>
    </row>
    <row r="1932" spans="1:11">
      <c r="A1932" s="708" t="s">
        <v>1365</v>
      </c>
      <c r="B1932" s="708" t="str">
        <f>'Part VII-Pro Forma'!B44</f>
        <v/>
      </c>
      <c r="C1932" s="708" t="str">
        <f>'Part VII-Pro Forma'!C44</f>
        <v/>
      </c>
      <c r="D1932" s="708" t="str">
        <f>'Part VII-Pro Forma'!D44</f>
        <v/>
      </c>
      <c r="E1932" s="708" t="str">
        <f>'Part VII-Pro Forma'!E44</f>
        <v/>
      </c>
      <c r="F1932" s="708" t="str">
        <f>'Part VII-Pro Forma'!F44</f>
        <v/>
      </c>
      <c r="G1932" s="708" t="str">
        <f>'Part VII-Pro Forma'!G44</f>
        <v/>
      </c>
      <c r="H1932" s="708" t="str">
        <f>'Part VII-Pro Forma'!H44</f>
        <v/>
      </c>
      <c r="I1932" s="708" t="str">
        <f>'Part VII-Pro Forma'!I44</f>
        <v/>
      </c>
      <c r="J1932" s="708" t="str">
        <f>'Part VII-Pro Forma'!J44</f>
        <v/>
      </c>
      <c r="K1932" s="708" t="str">
        <f>'Part VII-Pro Forma'!K44</f>
        <v/>
      </c>
    </row>
    <row r="1933" spans="1:11">
      <c r="A1933" s="708" t="s">
        <v>1365</v>
      </c>
      <c r="B1933" s="708" t="str">
        <f>'Part VII-Pro Forma'!B45</f>
        <v/>
      </c>
      <c r="C1933" s="708" t="str">
        <f>'Part VII-Pro Forma'!C45</f>
        <v/>
      </c>
      <c r="D1933" s="708" t="str">
        <f>'Part VII-Pro Forma'!D45</f>
        <v/>
      </c>
      <c r="E1933" s="708" t="str">
        <f>'Part VII-Pro Forma'!E45</f>
        <v/>
      </c>
      <c r="F1933" s="708" t="str">
        <f>'Part VII-Pro Forma'!F45</f>
        <v/>
      </c>
      <c r="G1933" s="708" t="str">
        <f>'Part VII-Pro Forma'!G45</f>
        <v/>
      </c>
      <c r="H1933" s="708" t="str">
        <f>'Part VII-Pro Forma'!H45</f>
        <v/>
      </c>
      <c r="I1933" s="708" t="str">
        <f>'Part VII-Pro Forma'!I45</f>
        <v/>
      </c>
      <c r="J1933" s="708" t="str">
        <f>'Part VII-Pro Forma'!J45</f>
        <v/>
      </c>
      <c r="K1933" s="708" t="str">
        <f>'Part VII-Pro Forma'!K45</f>
        <v/>
      </c>
    </row>
    <row r="1934" spans="1:11">
      <c r="A1934" s="708" t="s">
        <v>1900</v>
      </c>
      <c r="B1934" s="708" t="str">
        <f>'Part VII-Pro Forma'!B46</f>
        <v/>
      </c>
      <c r="C1934" s="708" t="str">
        <f>'Part VII-Pro Forma'!C46</f>
        <v/>
      </c>
      <c r="D1934" s="708" t="str">
        <f>'Part VII-Pro Forma'!D46</f>
        <v/>
      </c>
      <c r="E1934" s="708" t="str">
        <f>'Part VII-Pro Forma'!E46</f>
        <v/>
      </c>
      <c r="F1934" s="708" t="str">
        <f>'Part VII-Pro Forma'!F46</f>
        <v/>
      </c>
      <c r="G1934" s="708" t="str">
        <f>'Part VII-Pro Forma'!G46</f>
        <v/>
      </c>
      <c r="H1934" s="708" t="str">
        <f>'Part VII-Pro Forma'!H46</f>
        <v/>
      </c>
      <c r="I1934" s="708" t="str">
        <f>'Part VII-Pro Forma'!I46</f>
        <v/>
      </c>
      <c r="J1934" s="708" t="str">
        <f>'Part VII-Pro Forma'!J46</f>
        <v/>
      </c>
      <c r="K1934" s="708" t="str">
        <f>'Part VII-Pro Forma'!K46</f>
        <v/>
      </c>
    </row>
    <row r="1936" spans="1:11">
      <c r="A1936" s="708" t="s">
        <v>3753</v>
      </c>
      <c r="B1936" s="708">
        <f>K1901+1</f>
        <v>11</v>
      </c>
      <c r="C1936" s="708">
        <f t="shared" ref="C1936:K1936" si="338">B1936+1</f>
        <v>12</v>
      </c>
      <c r="D1936" s="708">
        <f t="shared" si="338"/>
        <v>13</v>
      </c>
      <c r="E1936" s="708">
        <f t="shared" si="338"/>
        <v>14</v>
      </c>
      <c r="F1936" s="708">
        <f t="shared" si="338"/>
        <v>15</v>
      </c>
      <c r="G1936" s="708">
        <f t="shared" si="338"/>
        <v>16</v>
      </c>
      <c r="H1936" s="708">
        <f t="shared" si="338"/>
        <v>17</v>
      </c>
      <c r="I1936" s="708">
        <f t="shared" si="338"/>
        <v>18</v>
      </c>
      <c r="J1936" s="708">
        <f t="shared" si="338"/>
        <v>19</v>
      </c>
      <c r="K1936" s="708">
        <f t="shared" si="338"/>
        <v>20</v>
      </c>
    </row>
    <row r="1937" spans="1:11">
      <c r="A1937" s="708" t="s">
        <v>3643</v>
      </c>
      <c r="B1937" s="708" t="e">
        <f t="shared" ref="B1937:K1937" si="339">$B$14*(1+$B$5)^(B1936-1)</f>
        <v>#VALUE!</v>
      </c>
      <c r="C1937" s="708" t="e">
        <f t="shared" si="339"/>
        <v>#VALUE!</v>
      </c>
      <c r="D1937" s="708" t="e">
        <f t="shared" si="339"/>
        <v>#VALUE!</v>
      </c>
      <c r="E1937" s="708" t="e">
        <f t="shared" si="339"/>
        <v>#VALUE!</v>
      </c>
      <c r="F1937" s="708" t="e">
        <f t="shared" si="339"/>
        <v>#VALUE!</v>
      </c>
      <c r="G1937" s="708" t="e">
        <f t="shared" si="339"/>
        <v>#VALUE!</v>
      </c>
      <c r="H1937" s="708" t="e">
        <f t="shared" si="339"/>
        <v>#VALUE!</v>
      </c>
      <c r="I1937" s="708" t="e">
        <f t="shared" si="339"/>
        <v>#VALUE!</v>
      </c>
      <c r="J1937" s="708" t="e">
        <f t="shared" si="339"/>
        <v>#VALUE!</v>
      </c>
      <c r="K1937" s="708" t="e">
        <f t="shared" si="339"/>
        <v>#VALUE!</v>
      </c>
    </row>
    <row r="1938" spans="1:11">
      <c r="A1938" s="708" t="s">
        <v>1633</v>
      </c>
      <c r="B1938" s="708" t="e">
        <f t="shared" ref="B1938:K1938" si="340">$B$15*(1+$B$5)^(B1936-1)</f>
        <v>#VALUE!</v>
      </c>
      <c r="C1938" s="708" t="e">
        <f t="shared" si="340"/>
        <v>#VALUE!</v>
      </c>
      <c r="D1938" s="708" t="e">
        <f t="shared" si="340"/>
        <v>#VALUE!</v>
      </c>
      <c r="E1938" s="708" t="e">
        <f t="shared" si="340"/>
        <v>#VALUE!</v>
      </c>
      <c r="F1938" s="708" t="e">
        <f t="shared" si="340"/>
        <v>#VALUE!</v>
      </c>
      <c r="G1938" s="708" t="e">
        <f t="shared" si="340"/>
        <v>#VALUE!</v>
      </c>
      <c r="H1938" s="708" t="e">
        <f t="shared" si="340"/>
        <v>#VALUE!</v>
      </c>
      <c r="I1938" s="708" t="e">
        <f t="shared" si="340"/>
        <v>#VALUE!</v>
      </c>
      <c r="J1938" s="708" t="e">
        <f t="shared" si="340"/>
        <v>#VALUE!</v>
      </c>
      <c r="K1938" s="708" t="e">
        <f t="shared" si="340"/>
        <v>#VALUE!</v>
      </c>
    </row>
    <row r="1939" spans="1:11">
      <c r="A1939" s="708" t="s">
        <v>3644</v>
      </c>
      <c r="B1939" s="708" t="e">
        <f t="shared" ref="B1939:K1939" si="341">-(B1937+B1938)*$B$8</f>
        <v>#VALUE!</v>
      </c>
      <c r="C1939" s="708" t="e">
        <f t="shared" si="341"/>
        <v>#VALUE!</v>
      </c>
      <c r="D1939" s="708" t="e">
        <f t="shared" si="341"/>
        <v>#VALUE!</v>
      </c>
      <c r="E1939" s="708" t="e">
        <f t="shared" si="341"/>
        <v>#VALUE!</v>
      </c>
      <c r="F1939" s="708" t="e">
        <f t="shared" si="341"/>
        <v>#VALUE!</v>
      </c>
      <c r="G1939" s="708" t="e">
        <f t="shared" si="341"/>
        <v>#VALUE!</v>
      </c>
      <c r="H1939" s="708" t="e">
        <f t="shared" si="341"/>
        <v>#VALUE!</v>
      </c>
      <c r="I1939" s="708" t="e">
        <f t="shared" si="341"/>
        <v>#VALUE!</v>
      </c>
      <c r="J1939" s="708" t="e">
        <f t="shared" si="341"/>
        <v>#VALUE!</v>
      </c>
      <c r="K1939" s="708" t="e">
        <f t="shared" si="341"/>
        <v>#VALUE!</v>
      </c>
    </row>
    <row r="1940" spans="1:11">
      <c r="A1940" s="708" t="s">
        <v>61</v>
      </c>
      <c r="B1940" s="708">
        <f>+'Part VI-Revenues &amp; Expenses'!G2004</f>
        <v>0</v>
      </c>
      <c r="C1940" s="708">
        <f>+'Part VI-Revenues &amp; Expenses'!H2004</f>
        <v>0</v>
      </c>
      <c r="D1940" s="708">
        <f>+'Part VI-Revenues &amp; Expenses'!I2004</f>
        <v>0</v>
      </c>
      <c r="E1940" s="708">
        <f>+'Part VI-Revenues &amp; Expenses'!J2004</f>
        <v>0</v>
      </c>
      <c r="F1940" s="708">
        <f>+'Part VI-Revenues &amp; Expenses'!K2004</f>
        <v>0</v>
      </c>
      <c r="G1940" s="708">
        <f>+'Part VI-Revenues &amp; Expenses'!L2004</f>
        <v>0</v>
      </c>
      <c r="H1940" s="708">
        <f>+'Part VI-Revenues &amp; Expenses'!M2004</f>
        <v>0</v>
      </c>
      <c r="I1940" s="708">
        <f>+'Part VI-Revenues &amp; Expenses'!N2004</f>
        <v>0</v>
      </c>
      <c r="J1940" s="708">
        <f>+'Part VI-Revenues &amp; Expenses'!O2004</f>
        <v>0</v>
      </c>
      <c r="K1940" s="708">
        <f>+'Part VI-Revenues &amp; Expenses'!P2004</f>
        <v>0</v>
      </c>
    </row>
    <row r="1941" spans="1:11">
      <c r="A1941" s="708" t="s">
        <v>62</v>
      </c>
      <c r="B1941" s="708">
        <f>'Part VI-Revenues &amp; Expenses'!G2010</f>
        <v>0</v>
      </c>
      <c r="C1941" s="708">
        <f>'Part VI-Revenues &amp; Expenses'!H2010</f>
        <v>0</v>
      </c>
      <c r="D1941" s="708">
        <f>'Part VI-Revenues &amp; Expenses'!I2010</f>
        <v>0</v>
      </c>
      <c r="E1941" s="708">
        <f>'Part VI-Revenues &amp; Expenses'!J2010</f>
        <v>0</v>
      </c>
      <c r="F1941" s="708">
        <f>'Part VI-Revenues &amp; Expenses'!K2010</f>
        <v>0</v>
      </c>
      <c r="G1941" s="708">
        <f>'Part VI-Revenues &amp; Expenses'!L2010</f>
        <v>0</v>
      </c>
      <c r="H1941" s="708">
        <f>'Part VI-Revenues &amp; Expenses'!M2010</f>
        <v>0</v>
      </c>
      <c r="I1941" s="708">
        <f>'Part VI-Revenues &amp; Expenses'!N2010</f>
        <v>0</v>
      </c>
      <c r="J1941" s="708">
        <f>'Part VI-Revenues &amp; Expenses'!O2010</f>
        <v>0</v>
      </c>
      <c r="K1941" s="708">
        <f>'Part VI-Revenues &amp; Expenses'!P2010</f>
        <v>0</v>
      </c>
    </row>
    <row r="1942" spans="1:11">
      <c r="A1942" s="708" t="s">
        <v>949</v>
      </c>
      <c r="B1942" s="708">
        <f t="shared" ref="B1942:K1942" si="342">$B$19*(1+$B$6)^(B1936-1)</f>
        <v>0</v>
      </c>
      <c r="C1942" s="708">
        <f t="shared" si="342"/>
        <v>0</v>
      </c>
      <c r="D1942" s="708">
        <f t="shared" si="342"/>
        <v>0</v>
      </c>
      <c r="E1942" s="708">
        <f t="shared" si="342"/>
        <v>0</v>
      </c>
      <c r="F1942" s="708">
        <f t="shared" si="342"/>
        <v>0</v>
      </c>
      <c r="G1942" s="708">
        <f t="shared" si="342"/>
        <v>0</v>
      </c>
      <c r="H1942" s="708">
        <f t="shared" si="342"/>
        <v>0</v>
      </c>
      <c r="I1942" s="708">
        <f t="shared" si="342"/>
        <v>0</v>
      </c>
      <c r="J1942" s="708">
        <f t="shared" si="342"/>
        <v>0</v>
      </c>
      <c r="K1942" s="708">
        <f t="shared" si="342"/>
        <v>0</v>
      </c>
    </row>
    <row r="1943" spans="1:11">
      <c r="A1943" s="708" t="s">
        <v>1747</v>
      </c>
      <c r="B1943" s="708">
        <f>IF(AND('Part VII-Pro Forma'!$G$8="Yes",'Part VII-Pro Forma'!$G$9="Yes"),"Choose One!",IF('Part VII-Pro Forma'!$G$8="Yes",ROUND((-$K$8*(1+'Part VII-Pro Forma'!$B$6)^('Part VII-Pro Forma'!B1932-1)),),IF('Part VII-Pro Forma'!$G$9="Yes",ROUND((-(SUM(B1937:B1940)*'Part VII-Pro Forma'!$K$9)),),"Choose mgt fee")))</f>
        <v>0</v>
      </c>
      <c r="C1943" s="708">
        <f>IF(AND('Part VII-Pro Forma'!$G$8="Yes",'Part VII-Pro Forma'!$G$9="Yes"),"Choose One!",IF('Part VII-Pro Forma'!$G$8="Yes",ROUND((-$K$8*(1+'Part VII-Pro Forma'!$B$6)^('Part VII-Pro Forma'!C1932-1)),),IF('Part VII-Pro Forma'!$G$9="Yes",ROUND((-(SUM(C1937:C1940)*'Part VII-Pro Forma'!$K$9)),),"Choose mgt fee")))</f>
        <v>0</v>
      </c>
      <c r="D1943" s="708">
        <f>IF(AND('Part VII-Pro Forma'!$G$8="Yes",'Part VII-Pro Forma'!$G$9="Yes"),"Choose One!",IF('Part VII-Pro Forma'!$G$8="Yes",ROUND((-$K$8*(1+'Part VII-Pro Forma'!$B$6)^('Part VII-Pro Forma'!D1932-1)),),IF('Part VII-Pro Forma'!$G$9="Yes",ROUND((-(SUM(D1937:D1940)*'Part VII-Pro Forma'!$K$9)),),"Choose mgt fee")))</f>
        <v>0</v>
      </c>
      <c r="E1943" s="708">
        <f>IF(AND('Part VII-Pro Forma'!$G$8="Yes",'Part VII-Pro Forma'!$G$9="Yes"),"Choose One!",IF('Part VII-Pro Forma'!$G$8="Yes",ROUND((-$K$8*(1+'Part VII-Pro Forma'!$B$6)^('Part VII-Pro Forma'!E1932-1)),),IF('Part VII-Pro Forma'!$G$9="Yes",ROUND((-(SUM(E1937:E1940)*'Part VII-Pro Forma'!$K$9)),),"Choose mgt fee")))</f>
        <v>0</v>
      </c>
      <c r="F1943" s="708">
        <f>IF(AND('Part VII-Pro Forma'!$G$8="Yes",'Part VII-Pro Forma'!$G$9="Yes"),"Choose One!",IF('Part VII-Pro Forma'!$G$8="Yes",ROUND((-$K$8*(1+'Part VII-Pro Forma'!$B$6)^('Part VII-Pro Forma'!F1932-1)),),IF('Part VII-Pro Forma'!$G$9="Yes",ROUND((-(SUM(F1937:F1940)*'Part VII-Pro Forma'!$K$9)),),"Choose mgt fee")))</f>
        <v>0</v>
      </c>
      <c r="G1943" s="708">
        <f>IF(AND('Part VII-Pro Forma'!$G$8="Yes",'Part VII-Pro Forma'!$G$9="Yes"),"Choose One!",IF('Part VII-Pro Forma'!$G$8="Yes",ROUND((-$K$8*(1+'Part VII-Pro Forma'!$B$6)^('Part VII-Pro Forma'!G1932-1)),),IF('Part VII-Pro Forma'!$G$9="Yes",ROUND((-(SUM(G1937:G1940)*'Part VII-Pro Forma'!$K$9)),),"Choose mgt fee")))</f>
        <v>0</v>
      </c>
      <c r="H1943" s="708">
        <f>IF(AND('Part VII-Pro Forma'!$G$8="Yes",'Part VII-Pro Forma'!$G$9="Yes"),"Choose One!",IF('Part VII-Pro Forma'!$G$8="Yes",ROUND((-$K$8*(1+'Part VII-Pro Forma'!$B$6)^('Part VII-Pro Forma'!H1932-1)),),IF('Part VII-Pro Forma'!$G$9="Yes",ROUND((-(SUM(H1937:H1940)*'Part VII-Pro Forma'!$K$9)),),"Choose mgt fee")))</f>
        <v>0</v>
      </c>
      <c r="I1943" s="708">
        <f>IF(AND('Part VII-Pro Forma'!$G$8="Yes",'Part VII-Pro Forma'!$G$9="Yes"),"Choose One!",IF('Part VII-Pro Forma'!$G$8="Yes",ROUND((-$K$8*(1+'Part VII-Pro Forma'!$B$6)^('Part VII-Pro Forma'!I1932-1)),),IF('Part VII-Pro Forma'!$G$9="Yes",ROUND((-(SUM(I1937:I1940)*'Part VII-Pro Forma'!$K$9)),),"Choose mgt fee")))</f>
        <v>0</v>
      </c>
      <c r="J1943" s="708">
        <f>IF(AND('Part VII-Pro Forma'!$G$8="Yes",'Part VII-Pro Forma'!$G$9="Yes"),"Choose One!",IF('Part VII-Pro Forma'!$G$8="Yes",ROUND((-$K$8*(1+'Part VII-Pro Forma'!$B$6)^('Part VII-Pro Forma'!J1932-1)),),IF('Part VII-Pro Forma'!$G$9="Yes",ROUND((-(SUM(J1937:J1940)*'Part VII-Pro Forma'!$K$9)),),"Choose mgt fee")))</f>
        <v>0</v>
      </c>
      <c r="K1943" s="708">
        <f>IF(AND('Part VII-Pro Forma'!$G$8="Yes",'Part VII-Pro Forma'!$G$9="Yes"),"Choose One!",IF('Part VII-Pro Forma'!$G$8="Yes",ROUND((-$K$8*(1+'Part VII-Pro Forma'!$B$6)^('Part VII-Pro Forma'!K1932-1)),),IF('Part VII-Pro Forma'!$G$9="Yes",ROUND((-(SUM(K1937:K1940)*'Part VII-Pro Forma'!$K$9)),),"Choose mgt fee")))</f>
        <v>0</v>
      </c>
    </row>
    <row r="1944" spans="1:11">
      <c r="A1944" s="708" t="s">
        <v>1863</v>
      </c>
      <c r="B1944" s="708">
        <f t="shared" ref="B1944:K1944" si="343">$B$21*(1+$B$7)^(B1936-1)</f>
        <v>0</v>
      </c>
      <c r="C1944" s="708">
        <f t="shared" si="343"/>
        <v>0</v>
      </c>
      <c r="D1944" s="708">
        <f t="shared" si="343"/>
        <v>0</v>
      </c>
      <c r="E1944" s="708">
        <f t="shared" si="343"/>
        <v>0</v>
      </c>
      <c r="F1944" s="708">
        <f t="shared" si="343"/>
        <v>0</v>
      </c>
      <c r="G1944" s="708">
        <f t="shared" si="343"/>
        <v>0</v>
      </c>
      <c r="H1944" s="708">
        <f t="shared" si="343"/>
        <v>0</v>
      </c>
      <c r="I1944" s="708">
        <f t="shared" si="343"/>
        <v>0</v>
      </c>
      <c r="J1944" s="708">
        <f t="shared" si="343"/>
        <v>0</v>
      </c>
      <c r="K1944" s="708">
        <f t="shared" si="343"/>
        <v>0</v>
      </c>
    </row>
    <row r="1945" spans="1:11">
      <c r="A1945" s="708" t="s">
        <v>1864</v>
      </c>
      <c r="B1945" s="708" t="e">
        <f t="shared" ref="B1945:K1945" si="344">SUM(B1937:B1944)</f>
        <v>#VALUE!</v>
      </c>
      <c r="C1945" s="708" t="e">
        <f t="shared" si="344"/>
        <v>#VALUE!</v>
      </c>
      <c r="D1945" s="708" t="e">
        <f t="shared" si="344"/>
        <v>#VALUE!</v>
      </c>
      <c r="E1945" s="708" t="e">
        <f t="shared" si="344"/>
        <v>#VALUE!</v>
      </c>
      <c r="F1945" s="708" t="e">
        <f t="shared" si="344"/>
        <v>#VALUE!</v>
      </c>
      <c r="G1945" s="708" t="e">
        <f t="shared" si="344"/>
        <v>#VALUE!</v>
      </c>
      <c r="H1945" s="708" t="e">
        <f t="shared" si="344"/>
        <v>#VALUE!</v>
      </c>
      <c r="I1945" s="708" t="e">
        <f t="shared" si="344"/>
        <v>#VALUE!</v>
      </c>
      <c r="J1945" s="708" t="e">
        <f t="shared" si="344"/>
        <v>#VALUE!</v>
      </c>
      <c r="K1945" s="708" t="e">
        <f t="shared" si="344"/>
        <v>#VALUE!</v>
      </c>
    </row>
    <row r="1946" spans="1:11">
      <c r="A1946" s="708" t="str">
        <f t="shared" ref="A1946:A1951" si="345">$A1911</f>
        <v>D/S USDA/HUD Mortgage</v>
      </c>
      <c r="B1946" s="708">
        <f>IF('Part III A-Sources of Funds'!$M$32="", 0,-'Part III A-Sources of Funds'!$M$32)</f>
        <v>0</v>
      </c>
      <c r="C1946" s="708">
        <f>IF('Part III A-Sources of Funds'!$M$32="", 0,-'Part III A-Sources of Funds'!$M$32)</f>
        <v>0</v>
      </c>
      <c r="D1946" s="708">
        <f>IF('Part III A-Sources of Funds'!$M$32="", 0,-'Part III A-Sources of Funds'!$M$32)</f>
        <v>0</v>
      </c>
      <c r="E1946" s="708">
        <f>IF('Part III A-Sources of Funds'!$M$32="", 0,-'Part III A-Sources of Funds'!$M$32)</f>
        <v>0</v>
      </c>
      <c r="F1946" s="708">
        <f>IF('Part III A-Sources of Funds'!$M$32="", 0,-'Part III A-Sources of Funds'!$M$32)</f>
        <v>0</v>
      </c>
      <c r="G1946" s="708">
        <f>IF('Part III A-Sources of Funds'!$M$32="", 0,-'Part III A-Sources of Funds'!$M$32)</f>
        <v>0</v>
      </c>
      <c r="H1946" s="708">
        <f>IF('Part III A-Sources of Funds'!$M$32="", 0,-'Part III A-Sources of Funds'!$M$32)</f>
        <v>0</v>
      </c>
      <c r="I1946" s="708">
        <f>IF('Part III A-Sources of Funds'!$M$32="", 0,-'Part III A-Sources of Funds'!$M$32)</f>
        <v>0</v>
      </c>
      <c r="J1946" s="708">
        <f>IF('Part III A-Sources of Funds'!$M$32="", 0,-'Part III A-Sources of Funds'!$M$32)</f>
        <v>0</v>
      </c>
      <c r="K1946" s="708">
        <f>IF('Part III A-Sources of Funds'!$M$32="", 0,-'Part III A-Sources of Funds'!$M$32)</f>
        <v>0</v>
      </c>
    </row>
    <row r="1947" spans="1:11">
      <c r="A1947" s="708" t="str">
        <f t="shared" si="345"/>
        <v/>
      </c>
      <c r="B1947" s="708">
        <f>IF('Part III A-Sources of Funds'!$E$32="USDA 538 Loan", -'Part III B-USDA 538 Loan'!$C1911,IF('Part III A-Sources of Funds'!$E$32="HUD Insured Loan", -'Part III C-HUD Insured Loan'!$B1922,0))</f>
        <v>0</v>
      </c>
      <c r="C1947" s="708">
        <f>IF('Part III A-Sources of Funds'!$E$32="USDA 538 Loan", -'Part III B-USDA 538 Loan'!$C1912,IF('Part III A-Sources of Funds'!$E$32="HUD Insured Loan", -'Part III C-HUD Insured Loan'!$B1923,0))</f>
        <v>0</v>
      </c>
      <c r="D1947" s="708">
        <f>IF('Part III A-Sources of Funds'!$E$32="USDA 538 Loan", -'Part III B-USDA 538 Loan'!$C1913,IF('Part III A-Sources of Funds'!$E$32="HUD Insured Loan", -'Part III C-HUD Insured Loan'!$B1924,0))</f>
        <v>0</v>
      </c>
      <c r="E1947" s="708">
        <f>IF('Part III A-Sources of Funds'!$E$32="USDA 538 Loan", -'Part III B-USDA 538 Loan'!$C1914,IF('Part III A-Sources of Funds'!$E$32="HUD Insured Loan", -'Part III C-HUD Insured Loan'!$B1925,0))</f>
        <v>0</v>
      </c>
      <c r="F1947" s="708">
        <f>IF('Part III A-Sources of Funds'!$E$32="USDA 538 Loan", -'Part III B-USDA 538 Loan'!$C1915,IF('Part III A-Sources of Funds'!$E$32="HUD Insured Loan", -'Part III C-HUD Insured Loan'!$B1926,0))</f>
        <v>0</v>
      </c>
      <c r="G1947" s="708">
        <f>IF('Part III A-Sources of Funds'!$E$32="USDA 538 Loan", -'Part III B-USDA 538 Loan'!$C1916,IF('Part III A-Sources of Funds'!$E$32="HUD Insured Loan", -'Part III C-HUD Insured Loan'!$B1927,0))</f>
        <v>0</v>
      </c>
      <c r="H1947" s="708">
        <f>IF('Part III A-Sources of Funds'!$E$32="USDA 538 Loan", -'Part III B-USDA 538 Loan'!$C1917,IF('Part III A-Sources of Funds'!$E$32="HUD Insured Loan", -'Part III C-HUD Insured Loan'!$B1928,0))</f>
        <v>0</v>
      </c>
      <c r="I1947" s="708">
        <f>IF('Part III A-Sources of Funds'!$E$32="USDA 538 Loan", -'Part III B-USDA 538 Loan'!$C1918,IF('Part III A-Sources of Funds'!$E$32="HUD Insured Loan", -'Part III C-HUD Insured Loan'!$B1929,0))</f>
        <v>0</v>
      </c>
      <c r="J1947" s="708">
        <f>IF('Part III A-Sources of Funds'!$E$32="USDA 538 Loan", -'Part III B-USDA 538 Loan'!$C1919,IF('Part III A-Sources of Funds'!$E$32="HUD Insured Loan", -'Part III C-HUD Insured Loan'!$B1930,0))</f>
        <v>0</v>
      </c>
      <c r="K1947" s="708">
        <f>IF('Part III A-Sources of Funds'!$E$32="USDA 538 Loan", -'Part III B-USDA 538 Loan'!$C1920,IF('Part III A-Sources of Funds'!$E$32="HUD Insured Loan", -'Part III C-HUD Insured Loan'!$B1931,0))</f>
        <v>0</v>
      </c>
    </row>
    <row r="1948" spans="1:11">
      <c r="A1948" s="708" t="str">
        <f t="shared" si="345"/>
        <v>D/S Mortgage B</v>
      </c>
      <c r="B1948" s="708">
        <f>'Part VII-Pro Forma'!B60</f>
        <v>0</v>
      </c>
      <c r="C1948" s="708">
        <f>'Part VII-Pro Forma'!C60</f>
        <v>0</v>
      </c>
      <c r="D1948" s="708">
        <f>'Part VII-Pro Forma'!D60</f>
        <v>0</v>
      </c>
      <c r="E1948" s="708">
        <f>'Part VII-Pro Forma'!E60</f>
        <v>0</v>
      </c>
      <c r="F1948" s="708">
        <f>'Part VII-Pro Forma'!F60</f>
        <v>0</v>
      </c>
      <c r="G1948" s="708">
        <f>'Part VII-Pro Forma'!G60</f>
        <v>0</v>
      </c>
      <c r="H1948" s="708">
        <f>'Part VII-Pro Forma'!H60</f>
        <v>0</v>
      </c>
      <c r="I1948" s="708">
        <f>'Part VII-Pro Forma'!I60</f>
        <v>0</v>
      </c>
      <c r="J1948" s="708">
        <f>'Part VII-Pro Forma'!J60</f>
        <v>0</v>
      </c>
      <c r="K1948" s="708">
        <f>'Part VII-Pro Forma'!K60</f>
        <v>0</v>
      </c>
    </row>
    <row r="1949" spans="1:11">
      <c r="A1949" s="708" t="str">
        <f t="shared" si="345"/>
        <v>D/S Mortgage C</v>
      </c>
      <c r="B1949" s="708">
        <f>'Part VII-Pro Forma'!B61</f>
        <v>-57885</v>
      </c>
      <c r="C1949" s="708">
        <f>'Part VII-Pro Forma'!C61</f>
        <v>-55790</v>
      </c>
      <c r="D1949" s="708">
        <f>'Part VII-Pro Forma'!D61</f>
        <v>-53555.339123858881</v>
      </c>
      <c r="E1949" s="708">
        <f>'Part VII-Pro Forma'!E61</f>
        <v>-51175</v>
      </c>
      <c r="F1949" s="708">
        <f>'Part VII-Pro Forma'!F61</f>
        <v>-48645</v>
      </c>
      <c r="G1949" s="708">
        <f>'Part VII-Pro Forma'!G61</f>
        <v>-45956</v>
      </c>
      <c r="H1949" s="708">
        <f>'Part VII-Pro Forma'!H61</f>
        <v>-43104</v>
      </c>
      <c r="I1949" s="708">
        <f>'Part VII-Pro Forma'!I61</f>
        <v>-40083</v>
      </c>
      <c r="J1949" s="708">
        <f>'Part VII-Pro Forma'!J61</f>
        <v>-36883.467896838585</v>
      </c>
      <c r="K1949" s="708">
        <f>'Part VII-Pro Forma'!K61</f>
        <v>-33500</v>
      </c>
    </row>
    <row r="1950" spans="1:11">
      <c r="A1950" s="708" t="str">
        <f t="shared" si="345"/>
        <v>D/S Other Source</v>
      </c>
      <c r="B1950" s="708">
        <f>'Part VII-Pro Forma'!B62</f>
        <v>0</v>
      </c>
      <c r="C1950" s="708">
        <f>'Part VII-Pro Forma'!C62</f>
        <v>0</v>
      </c>
      <c r="D1950" s="708">
        <f>'Part VII-Pro Forma'!D62</f>
        <v>0</v>
      </c>
      <c r="E1950" s="708">
        <f>'Part VII-Pro Forma'!E62</f>
        <v>0</v>
      </c>
      <c r="F1950" s="708">
        <f>'Part VII-Pro Forma'!F62</f>
        <v>0</v>
      </c>
      <c r="G1950" s="708">
        <f>'Part VII-Pro Forma'!G62</f>
        <v>0</v>
      </c>
      <c r="H1950" s="708">
        <f>'Part VII-Pro Forma'!H62</f>
        <v>0</v>
      </c>
      <c r="I1950" s="708">
        <f>'Part VII-Pro Forma'!I62</f>
        <v>0</v>
      </c>
      <c r="J1950" s="708">
        <f>'Part VII-Pro Forma'!J62</f>
        <v>0</v>
      </c>
      <c r="K1950" s="708">
        <f>'Part VII-Pro Forma'!K62</f>
        <v>0</v>
      </c>
    </row>
    <row r="1951" spans="1:11">
      <c r="A1951" s="708" t="str">
        <f t="shared" si="345"/>
        <v>D/S Grant from fdn / charity</v>
      </c>
      <c r="B1951" s="708">
        <f>'Part VII-Pro Forma'!B63</f>
        <v>0</v>
      </c>
      <c r="C1951" s="708">
        <f>'Part VII-Pro Forma'!C63</f>
        <v>0</v>
      </c>
      <c r="D1951" s="708">
        <f>'Part VII-Pro Forma'!D63</f>
        <v>0</v>
      </c>
      <c r="E1951" s="708">
        <f>'Part VII-Pro Forma'!E63</f>
        <v>0</v>
      </c>
      <c r="F1951" s="708">
        <f>'Part VII-Pro Forma'!F63</f>
        <v>0</v>
      </c>
      <c r="G1951" s="708">
        <f>'Part VII-Pro Forma'!G63</f>
        <v>0</v>
      </c>
      <c r="H1951" s="708">
        <f>'Part VII-Pro Forma'!H63</f>
        <v>0</v>
      </c>
      <c r="I1951" s="708">
        <f>'Part VII-Pro Forma'!I63</f>
        <v>0</v>
      </c>
      <c r="J1951" s="708">
        <f>'Part VII-Pro Forma'!J63</f>
        <v>0</v>
      </c>
      <c r="K1951" s="708">
        <f>'Part VII-Pro Forma'!K63</f>
        <v>0</v>
      </c>
    </row>
    <row r="1952" spans="1:11">
      <c r="A1952" s="708" t="s">
        <v>1337</v>
      </c>
      <c r="B1952" s="708">
        <f>'Part VII-Pro Forma'!B64</f>
        <v>-6537.5104154534638</v>
      </c>
      <c r="C1952" s="708">
        <f>'Part VII-Pro Forma'!C64</f>
        <v>-5967.0638553674144</v>
      </c>
      <c r="D1952" s="708">
        <f>'Part VII-Pro Forma'!D64</f>
        <v>-5364.4644990986017</v>
      </c>
      <c r="E1952" s="708">
        <f>'Part VII-Pro Forma'!E64</f>
        <v>-4728.2036386581785</v>
      </c>
      <c r="F1952" s="708">
        <f>'Part VII-Pro Forma'!F64</f>
        <v>-4056.6282147334059</v>
      </c>
      <c r="G1952" s="708">
        <f>'Part VII-Pro Forma'!G64</f>
        <v>-9191.5100096818533</v>
      </c>
      <c r="H1952" s="708">
        <f>'Part VII-Pro Forma'!H64</f>
        <v>-8620.9535489512346</v>
      </c>
      <c r="I1952" s="708">
        <f>'Part VII-Pro Forma'!I64</f>
        <v>-8016.2721591781883</v>
      </c>
      <c r="J1952" s="708">
        <f>'Part VII-Pro Forma'!J64</f>
        <v>-7376.6935793677148</v>
      </c>
      <c r="K1952" s="708">
        <f>'Part VII-Pro Forma'!K64</f>
        <v>-6700.2365015308133</v>
      </c>
    </row>
    <row r="1953" spans="1:11">
      <c r="A1953" s="708" t="s">
        <v>1808</v>
      </c>
      <c r="B1953" s="708">
        <f>'Part VII-Pro Forma'!B65</f>
        <v>-10079.372845080916</v>
      </c>
      <c r="C1953" s="708">
        <f>'Part VII-Pro Forma'!C65</f>
        <v>-10381.754030433343</v>
      </c>
      <c r="D1953" s="708">
        <f>'Part VII-Pro Forma'!D65</f>
        <v>-10693.206651346343</v>
      </c>
      <c r="E1953" s="708">
        <f>'Part VII-Pro Forma'!E65</f>
        <v>-11014.002850886734</v>
      </c>
      <c r="F1953" s="708">
        <f>'Part VII-Pro Forma'!F65</f>
        <v>-11344.422936413337</v>
      </c>
      <c r="G1953" s="708">
        <f>'Part VII-Pro Forma'!G65</f>
        <v>0</v>
      </c>
      <c r="H1953" s="708">
        <f>'Part VII-Pro Forma'!H65</f>
        <v>0</v>
      </c>
      <c r="I1953" s="708">
        <f>'Part VII-Pro Forma'!I65</f>
        <v>0</v>
      </c>
      <c r="J1953" s="708">
        <f>'Part VII-Pro Forma'!J65</f>
        <v>0</v>
      </c>
      <c r="K1953" s="708">
        <f>'Part VII-Pro Forma'!K65</f>
        <v>0</v>
      </c>
    </row>
    <row r="1954" spans="1:11">
      <c r="A1954" s="708" t="s">
        <v>1865</v>
      </c>
      <c r="B1954" s="708">
        <f>'Part VII-Pro Forma'!B66</f>
        <v>0</v>
      </c>
      <c r="C1954" s="708">
        <f>'Part VII-Pro Forma'!C66</f>
        <v>0</v>
      </c>
      <c r="D1954" s="708">
        <f>'Part VII-Pro Forma'!D66</f>
        <v>0</v>
      </c>
      <c r="E1954" s="708">
        <f>'Part VII-Pro Forma'!E66</f>
        <v>0</v>
      </c>
      <c r="F1954" s="708">
        <f>'Part VII-Pro Forma'!F66</f>
        <v>0</v>
      </c>
      <c r="G1954" s="708">
        <f>'Part VII-Pro Forma'!G66</f>
        <v>0</v>
      </c>
      <c r="H1954" s="708">
        <f>'Part VII-Pro Forma'!H66</f>
        <v>0</v>
      </c>
      <c r="I1954" s="708">
        <f>'Part VII-Pro Forma'!I66</f>
        <v>0</v>
      </c>
      <c r="J1954" s="708">
        <f>'Part VII-Pro Forma'!J66</f>
        <v>0</v>
      </c>
      <c r="K1954" s="708">
        <f>'Part VII-Pro Forma'!K66</f>
        <v>0</v>
      </c>
    </row>
    <row r="1955" spans="1:11">
      <c r="A1955" s="708" t="s">
        <v>1809</v>
      </c>
      <c r="B1955" s="708">
        <f>'Part VII-Pro Forma'!B67</f>
        <v>0</v>
      </c>
      <c r="C1955" s="708">
        <f>'Part VII-Pro Forma'!C67</f>
        <v>0</v>
      </c>
      <c r="D1955" s="708">
        <f>'Part VII-Pro Forma'!D67</f>
        <v>0</v>
      </c>
      <c r="E1955" s="708">
        <f>'Part VII-Pro Forma'!E67</f>
        <v>0</v>
      </c>
      <c r="F1955" s="708">
        <f>'Part VII-Pro Forma'!F67</f>
        <v>0</v>
      </c>
      <c r="G1955" s="708">
        <f>'Part VII-Pro Forma'!G67</f>
        <v>0</v>
      </c>
      <c r="H1955" s="708">
        <f>'Part VII-Pro Forma'!H67</f>
        <v>0</v>
      </c>
      <c r="I1955" s="708">
        <f>'Part VII-Pro Forma'!I67</f>
        <v>0</v>
      </c>
      <c r="J1955" s="708">
        <f>'Part VII-Pro Forma'!J67</f>
        <v>0</v>
      </c>
      <c r="K1955" s="708">
        <f>'Part VII-Pro Forma'!K67</f>
        <v>0</v>
      </c>
    </row>
    <row r="1956" spans="1:11">
      <c r="A1956" s="708" t="s">
        <v>1810</v>
      </c>
      <c r="B1956" s="708" t="e">
        <f t="shared" ref="B1956:K1956" si="346">SUM(B1945:B1955)</f>
        <v>#VALUE!</v>
      </c>
      <c r="C1956" s="708" t="e">
        <f t="shared" si="346"/>
        <v>#VALUE!</v>
      </c>
      <c r="D1956" s="708" t="e">
        <f t="shared" si="346"/>
        <v>#VALUE!</v>
      </c>
      <c r="E1956" s="708" t="e">
        <f t="shared" si="346"/>
        <v>#VALUE!</v>
      </c>
      <c r="F1956" s="708" t="e">
        <f t="shared" si="346"/>
        <v>#VALUE!</v>
      </c>
      <c r="G1956" s="708" t="e">
        <f t="shared" si="346"/>
        <v>#VALUE!</v>
      </c>
      <c r="H1956" s="708" t="e">
        <f t="shared" si="346"/>
        <v>#VALUE!</v>
      </c>
      <c r="I1956" s="708" t="e">
        <f t="shared" si="346"/>
        <v>#VALUE!</v>
      </c>
      <c r="J1956" s="708" t="e">
        <f t="shared" si="346"/>
        <v>#VALUE!</v>
      </c>
      <c r="K1956" s="708" t="e">
        <f t="shared" si="346"/>
        <v>#VALUE!</v>
      </c>
    </row>
    <row r="1957" spans="1:11">
      <c r="A1957" s="708" t="str">
        <f t="shared" ref="A1957:A1962" si="347">$A1922</f>
        <v>DCR First Mortgage</v>
      </c>
      <c r="B1957" s="708" t="str">
        <f>IF(B1946=0,"",-B1945/B1946)</f>
        <v/>
      </c>
      <c r="C1957" s="708" t="str">
        <f t="shared" ref="C1957:K1957" si="348">IF(C1946=0,"",-C1945/C1946)</f>
        <v/>
      </c>
      <c r="D1957" s="708" t="str">
        <f t="shared" si="348"/>
        <v/>
      </c>
      <c r="E1957" s="708" t="str">
        <f t="shared" si="348"/>
        <v/>
      </c>
      <c r="F1957" s="708" t="str">
        <f t="shared" si="348"/>
        <v/>
      </c>
      <c r="G1957" s="708" t="str">
        <f t="shared" si="348"/>
        <v/>
      </c>
      <c r="H1957" s="708" t="str">
        <f t="shared" si="348"/>
        <v/>
      </c>
      <c r="I1957" s="708" t="str">
        <f t="shared" si="348"/>
        <v/>
      </c>
      <c r="J1957" s="708" t="str">
        <f t="shared" si="348"/>
        <v/>
      </c>
      <c r="K1957" s="708" t="str">
        <f t="shared" si="348"/>
        <v/>
      </c>
    </row>
    <row r="1958" spans="1:11">
      <c r="A1958" s="708" t="str">
        <f t="shared" si="347"/>
        <v>DCR USDA/HUD Fee</v>
      </c>
      <c r="B1958" s="708" t="str">
        <f>IF(OR(B1947=0,AND(B1947=0,B1946=0)),"",-B1945/(B1946+B1947))</f>
        <v/>
      </c>
      <c r="C1958" s="708" t="str">
        <f t="shared" ref="C1958:K1958" si="349">IF(OR(C1947=0,AND(C1947=0,C1946=0)),"",-C1945/(C1946+C1947))</f>
        <v/>
      </c>
      <c r="D1958" s="708" t="str">
        <f t="shared" si="349"/>
        <v/>
      </c>
      <c r="E1958" s="708" t="str">
        <f t="shared" si="349"/>
        <v/>
      </c>
      <c r="F1958" s="708" t="str">
        <f t="shared" si="349"/>
        <v/>
      </c>
      <c r="G1958" s="708" t="str">
        <f t="shared" si="349"/>
        <v/>
      </c>
      <c r="H1958" s="708" t="str">
        <f t="shared" si="349"/>
        <v/>
      </c>
      <c r="I1958" s="708" t="str">
        <f t="shared" si="349"/>
        <v/>
      </c>
      <c r="J1958" s="708" t="str">
        <f t="shared" si="349"/>
        <v/>
      </c>
      <c r="K1958" s="708" t="str">
        <f t="shared" si="349"/>
        <v/>
      </c>
    </row>
    <row r="1959" spans="1:11">
      <c r="A1959" s="708" t="str">
        <f t="shared" si="347"/>
        <v>DCR Second Mortgage</v>
      </c>
      <c r="B1959" s="708" t="str">
        <f>IF(OR(B1948=0,AND(B1948=0,B1947=0,B1946=0)),"",-B1945/(B1946+B1947+B1948))</f>
        <v/>
      </c>
      <c r="C1959" s="708" t="str">
        <f t="shared" ref="C1959:K1959" si="350">IF(OR(C1948=0,AND(C1948=0,C1947=0,C1946=0)),"",-C1945/(C1946+C1947+C1948))</f>
        <v/>
      </c>
      <c r="D1959" s="708" t="str">
        <f t="shared" si="350"/>
        <v/>
      </c>
      <c r="E1959" s="708" t="str">
        <f t="shared" si="350"/>
        <v/>
      </c>
      <c r="F1959" s="708" t="str">
        <f t="shared" si="350"/>
        <v/>
      </c>
      <c r="G1959" s="708" t="str">
        <f t="shared" si="350"/>
        <v/>
      </c>
      <c r="H1959" s="708" t="str">
        <f t="shared" si="350"/>
        <v/>
      </c>
      <c r="I1959" s="708" t="str">
        <f t="shared" si="350"/>
        <v/>
      </c>
      <c r="J1959" s="708" t="str">
        <f t="shared" si="350"/>
        <v/>
      </c>
      <c r="K1959" s="708" t="str">
        <f t="shared" si="350"/>
        <v/>
      </c>
    </row>
    <row r="1960" spans="1:11">
      <c r="A1960" s="708" t="str">
        <f t="shared" si="347"/>
        <v>DCR Third Mortgage</v>
      </c>
      <c r="B1960" s="708" t="e">
        <f>IF(OR(B1949=0,AND(B1946=0,B1947=0,B1948=0,B1949=0)),"",-B1945/(B1946+B1947+B1948+B1949))</f>
        <v>#VALUE!</v>
      </c>
      <c r="C1960" s="708" t="e">
        <f t="shared" ref="C1960:K1960" si="351">IF(OR(C1949=0,AND(C1946=0,C1947=0,C1948=0,C1949=0)),"",-C1945/(C1946+C1947+C1948+C1949))</f>
        <v>#VALUE!</v>
      </c>
      <c r="D1960" s="708" t="e">
        <f t="shared" si="351"/>
        <v>#VALUE!</v>
      </c>
      <c r="E1960" s="708" t="e">
        <f t="shared" si="351"/>
        <v>#VALUE!</v>
      </c>
      <c r="F1960" s="708" t="e">
        <f t="shared" si="351"/>
        <v>#VALUE!</v>
      </c>
      <c r="G1960" s="708" t="e">
        <f t="shared" si="351"/>
        <v>#VALUE!</v>
      </c>
      <c r="H1960" s="708" t="e">
        <f t="shared" si="351"/>
        <v>#VALUE!</v>
      </c>
      <c r="I1960" s="708" t="e">
        <f t="shared" si="351"/>
        <v>#VALUE!</v>
      </c>
      <c r="J1960" s="708" t="e">
        <f t="shared" si="351"/>
        <v>#VALUE!</v>
      </c>
      <c r="K1960" s="708" t="e">
        <f t="shared" si="351"/>
        <v>#VALUE!</v>
      </c>
    </row>
    <row r="1961" spans="1:11">
      <c r="A1961" s="708" t="str">
        <f t="shared" si="347"/>
        <v>DCR Other Source</v>
      </c>
      <c r="B1961" s="708" t="str">
        <f>IF(OR(B1950=0,AND(B1946=0,B1947=0,B1948=0,B1949=0,B1950=0)),"",-B1945/(B1946+B1947+B1948+B1949+B1950))</f>
        <v/>
      </c>
      <c r="C1961" s="708" t="str">
        <f t="shared" ref="C1961:K1961" si="352">IF(OR(C1950=0,AND(C1946=0,C1947=0,C1948=0,C1949=0,C1950=0)),"",-C1945/(C1946+C1947+C1948+C1949+C1950))</f>
        <v/>
      </c>
      <c r="D1961" s="708" t="str">
        <f t="shared" si="352"/>
        <v/>
      </c>
      <c r="E1961" s="708" t="str">
        <f t="shared" si="352"/>
        <v/>
      </c>
      <c r="F1961" s="708" t="str">
        <f t="shared" si="352"/>
        <v/>
      </c>
      <c r="G1961" s="708" t="str">
        <f t="shared" si="352"/>
        <v/>
      </c>
      <c r="H1961" s="708" t="str">
        <f t="shared" si="352"/>
        <v/>
      </c>
      <c r="I1961" s="708" t="str">
        <f t="shared" si="352"/>
        <v/>
      </c>
      <c r="J1961" s="708" t="str">
        <f t="shared" si="352"/>
        <v/>
      </c>
      <c r="K1961" s="708" t="str">
        <f t="shared" si="352"/>
        <v/>
      </c>
    </row>
    <row r="1962" spans="1:11">
      <c r="A1962" s="708" t="str">
        <f t="shared" si="347"/>
        <v>DCR Other Source</v>
      </c>
      <c r="B1962" s="708" t="str">
        <f>IF(OR(B1951=0,AND(B1946=0,B1947=0,B1948=0,B1949=0,B1950=0,B1951=0)),"",-B1945/(B1946+B1947+B1948+B1949+B1950+B1951))</f>
        <v/>
      </c>
      <c r="C1962" s="708" t="str">
        <f t="shared" ref="C1962:K1962" si="353">IF(OR(C1951=0,AND(C1946=0,C1947=0,C1948=0,C1949=0,C1950=0,C1951=0)),"",-C1945/(C1946+C1947+C1948+C1949+C1950+C1951))</f>
        <v/>
      </c>
      <c r="D1962" s="708" t="str">
        <f t="shared" si="353"/>
        <v/>
      </c>
      <c r="E1962" s="708" t="str">
        <f t="shared" si="353"/>
        <v/>
      </c>
      <c r="F1962" s="708" t="str">
        <f t="shared" si="353"/>
        <v/>
      </c>
      <c r="G1962" s="708" t="str">
        <f t="shared" si="353"/>
        <v/>
      </c>
      <c r="H1962" s="708" t="str">
        <f t="shared" si="353"/>
        <v/>
      </c>
      <c r="I1962" s="708" t="str">
        <f t="shared" si="353"/>
        <v/>
      </c>
      <c r="J1962" s="708" t="str">
        <f t="shared" si="353"/>
        <v/>
      </c>
      <c r="K1962" s="708" t="str">
        <f t="shared" si="353"/>
        <v/>
      </c>
    </row>
    <row r="1963" spans="1:11">
      <c r="A1963" s="708" t="s">
        <v>1346</v>
      </c>
      <c r="B1963" s="708" t="e">
        <f>IF(OR(B1943="Choose mgt fee",B1943="Choose One!"),"",(B1937+B1938+B1939+B1940+B1941) / -(B1942+B1943+B1944))</f>
        <v>#VALUE!</v>
      </c>
      <c r="C1963" s="708" t="e">
        <f t="shared" ref="C1963:K1963" si="354">IF(OR(C1943="Choose mgt fee",C1943="Choose One!"),"",(C1937+C1938+C1939+C1940+C1941) / -(C1942+C1943+C1944))</f>
        <v>#VALUE!</v>
      </c>
      <c r="D1963" s="708" t="e">
        <f t="shared" si="354"/>
        <v>#VALUE!</v>
      </c>
      <c r="E1963" s="708" t="e">
        <f t="shared" si="354"/>
        <v>#VALUE!</v>
      </c>
      <c r="F1963" s="708" t="e">
        <f t="shared" si="354"/>
        <v>#VALUE!</v>
      </c>
      <c r="G1963" s="708" t="e">
        <f t="shared" si="354"/>
        <v>#VALUE!</v>
      </c>
      <c r="H1963" s="708" t="e">
        <f t="shared" si="354"/>
        <v>#VALUE!</v>
      </c>
      <c r="I1963" s="708" t="e">
        <f t="shared" si="354"/>
        <v>#VALUE!</v>
      </c>
      <c r="J1963" s="708" t="e">
        <f t="shared" si="354"/>
        <v>#VALUE!</v>
      </c>
      <c r="K1963" s="708" t="e">
        <f t="shared" si="354"/>
        <v>#VALUE!</v>
      </c>
    </row>
    <row r="1964" spans="1:11">
      <c r="A1964" s="708" t="str">
        <f>IF('Part III A-Sources of Funds'!$E$32 = "Neither", "", "First Mortgage Balance")</f>
        <v>First Mortgage Balance</v>
      </c>
      <c r="B1964" s="708">
        <f>'Part VII-Pro Forma'!B76</f>
        <v>0</v>
      </c>
      <c r="C1964" s="708">
        <f>'Part VII-Pro Forma'!C76</f>
        <v>0</v>
      </c>
      <c r="D1964" s="708">
        <f>'Part VII-Pro Forma'!D76</f>
        <v>0</v>
      </c>
      <c r="E1964" s="708">
        <f>'Part VII-Pro Forma'!E76</f>
        <v>0</v>
      </c>
      <c r="F1964" s="708">
        <f>'Part VII-Pro Forma'!F76</f>
        <v>0</v>
      </c>
      <c r="G1964" s="708">
        <f>'Part VII-Pro Forma'!G76</f>
        <v>0</v>
      </c>
      <c r="H1964" s="708">
        <f>'Part VII-Pro Forma'!H76</f>
        <v>0</v>
      </c>
      <c r="I1964" s="708">
        <f>'Part VII-Pro Forma'!I76</f>
        <v>0</v>
      </c>
      <c r="J1964" s="708">
        <f>'Part VII-Pro Forma'!J76</f>
        <v>0</v>
      </c>
      <c r="K1964" s="708">
        <f>'Part VII-Pro Forma'!K76</f>
        <v>0</v>
      </c>
    </row>
    <row r="1965" spans="1:11">
      <c r="A1965" s="708" t="str">
        <f>IF('Part III A-Sources of Funds'!$E$32 = "Neither", "First Mortgage Balance", "Second Mortgage Balance")</f>
        <v>Second Mortgage Balance</v>
      </c>
      <c r="B1965" s="708">
        <f>'Part VII-Pro Forma'!B77</f>
        <v>725446.48855001293</v>
      </c>
      <c r="C1965" s="708">
        <f>'Part VII-Pro Forma'!C77</f>
        <v>755378.63074025221</v>
      </c>
      <c r="D1965" s="708">
        <f>'Part VII-Pro Forma'!D77</f>
        <v>786545.78219752572</v>
      </c>
      <c r="E1965" s="708">
        <f>'Part VII-Pro Forma'!E77</f>
        <v>818998.89977884572</v>
      </c>
      <c r="F1965" s="708">
        <f>'Part VII-Pro Forma'!F77</f>
        <v>852791.04283660324</v>
      </c>
      <c r="G1965" s="708">
        <f>'Part VII-Pro Forma'!G77</f>
        <v>887977.45996816515</v>
      </c>
      <c r="H1965" s="708">
        <f>'Part VII-Pro Forma'!H77</f>
        <v>924615.67934478598</v>
      </c>
      <c r="I1965" s="708">
        <f>'Part VII-Pro Forma'!I77</f>
        <v>962765.60276751791</v>
      </c>
      <c r="J1965" s="708">
        <f>'Part VII-Pro Forma'!J77</f>
        <v>1002489.6036038967</v>
      </c>
      <c r="K1965" s="708">
        <f>'Part VII-Pro Forma'!K77</f>
        <v>1043852.6287655241</v>
      </c>
    </row>
    <row r="1966" spans="1:11">
      <c r="A1966" s="708" t="str">
        <f>IF('Part III A-Sources of Funds'!$E$32 = "Neither", "Second Mortgage Balance", "Third Mortgage Balance")</f>
        <v>Third Mortgage Balance</v>
      </c>
      <c r="B1966" s="708">
        <f>'Part VII-Pro Forma'!B78</f>
        <v>432268.74555111706</v>
      </c>
      <c r="C1966" s="708">
        <f>'Part VII-Pro Forma'!C78</f>
        <v>380564.88467209373</v>
      </c>
      <c r="D1966" s="708">
        <f>'Part VII-Pro Forma'!D78</f>
        <v>330586.54040474619</v>
      </c>
      <c r="E1966" s="708">
        <f>'Part VII-Pro Forma'!E78</f>
        <v>282497.39501933404</v>
      </c>
      <c r="F1966" s="708">
        <f>'Part VII-Pro Forma'!F78</f>
        <v>236466.77606473881</v>
      </c>
      <c r="G1966" s="708">
        <f>'Part VII-Pro Forma'!G78</f>
        <v>192675.0941950758</v>
      </c>
      <c r="H1966" s="708">
        <f>'Part VII-Pro Forma'!H78</f>
        <v>151308.59084719024</v>
      </c>
      <c r="I1966" s="708">
        <f>'Part VII-Pro Forma'!I78</f>
        <v>112561.40600864963</v>
      </c>
      <c r="J1966" s="708">
        <f>'Part VII-Pro Forma'!J78</f>
        <v>76639.205903296504</v>
      </c>
      <c r="K1966" s="708">
        <f>'Part VII-Pro Forma'!K78</f>
        <v>43755.151396170688</v>
      </c>
    </row>
    <row r="1967" spans="1:11">
      <c r="A1967" s="708" t="s">
        <v>1365</v>
      </c>
      <c r="B1967" s="708" t="str">
        <f>'Part VII-Pro Forma'!B79</f>
        <v/>
      </c>
      <c r="C1967" s="708" t="str">
        <f>'Part VII-Pro Forma'!C79</f>
        <v/>
      </c>
      <c r="D1967" s="708" t="str">
        <f>'Part VII-Pro Forma'!D79</f>
        <v/>
      </c>
      <c r="E1967" s="708" t="str">
        <f>'Part VII-Pro Forma'!E79</f>
        <v/>
      </c>
      <c r="F1967" s="708" t="str">
        <f>'Part VII-Pro Forma'!F79</f>
        <v/>
      </c>
      <c r="G1967" s="708" t="str">
        <f>'Part VII-Pro Forma'!G79</f>
        <v/>
      </c>
      <c r="H1967" s="708" t="str">
        <f>'Part VII-Pro Forma'!H79</f>
        <v/>
      </c>
      <c r="I1967" s="708" t="str">
        <f>'Part VII-Pro Forma'!I79</f>
        <v/>
      </c>
      <c r="J1967" s="708" t="str">
        <f>'Part VII-Pro Forma'!J79</f>
        <v/>
      </c>
      <c r="K1967" s="708" t="str">
        <f>'Part VII-Pro Forma'!K79</f>
        <v/>
      </c>
    </row>
    <row r="1968" spans="1:11">
      <c r="A1968" s="708" t="s">
        <v>1365</v>
      </c>
      <c r="B1968" s="708" t="str">
        <f>'Part VII-Pro Forma'!B80</f>
        <v/>
      </c>
      <c r="C1968" s="708" t="str">
        <f>'Part VII-Pro Forma'!C80</f>
        <v/>
      </c>
      <c r="D1968" s="708" t="str">
        <f>'Part VII-Pro Forma'!D80</f>
        <v/>
      </c>
      <c r="E1968" s="708" t="str">
        <f>'Part VII-Pro Forma'!E80</f>
        <v/>
      </c>
      <c r="F1968" s="708" t="str">
        <f>'Part VII-Pro Forma'!F80</f>
        <v/>
      </c>
      <c r="G1968" s="708" t="str">
        <f>'Part VII-Pro Forma'!G80</f>
        <v/>
      </c>
      <c r="H1968" s="708" t="str">
        <f>'Part VII-Pro Forma'!H80</f>
        <v/>
      </c>
      <c r="I1968" s="708" t="str">
        <f>'Part VII-Pro Forma'!I80</f>
        <v/>
      </c>
      <c r="J1968" s="708" t="str">
        <f>'Part VII-Pro Forma'!J80</f>
        <v/>
      </c>
      <c r="K1968" s="708" t="str">
        <f>'Part VII-Pro Forma'!K80</f>
        <v/>
      </c>
    </row>
    <row r="1969" spans="1:11">
      <c r="A1969" s="708" t="s">
        <v>1900</v>
      </c>
      <c r="B1969" s="708" t="str">
        <f>'Part VII-Pro Forma'!B81</f>
        <v/>
      </c>
      <c r="C1969" s="708" t="str">
        <f>'Part VII-Pro Forma'!C81</f>
        <v/>
      </c>
      <c r="D1969" s="708" t="str">
        <f>'Part VII-Pro Forma'!D81</f>
        <v/>
      </c>
      <c r="E1969" s="708" t="str">
        <f>'Part VII-Pro Forma'!E81</f>
        <v/>
      </c>
      <c r="F1969" s="708" t="str">
        <f>'Part VII-Pro Forma'!F81</f>
        <v/>
      </c>
      <c r="G1969" s="708" t="str">
        <f>'Part VII-Pro Forma'!G81</f>
        <v/>
      </c>
      <c r="H1969" s="708" t="str">
        <f>'Part VII-Pro Forma'!H81</f>
        <v/>
      </c>
      <c r="I1969" s="708" t="str">
        <f>'Part VII-Pro Forma'!I81</f>
        <v/>
      </c>
      <c r="J1969" s="708" t="str">
        <f>'Part VII-Pro Forma'!J81</f>
        <v/>
      </c>
      <c r="K1969" s="708" t="str">
        <f>'Part VII-Pro Forma'!K81</f>
        <v/>
      </c>
    </row>
    <row r="1971" spans="1:11">
      <c r="A1971" s="708" t="s">
        <v>3753</v>
      </c>
      <c r="B1971" s="708">
        <f>K1936+1</f>
        <v>21</v>
      </c>
      <c r="C1971" s="708">
        <f t="shared" ref="C1971:K1971" si="355">B1971+1</f>
        <v>22</v>
      </c>
      <c r="D1971" s="708">
        <f t="shared" si="355"/>
        <v>23</v>
      </c>
      <c r="E1971" s="708">
        <f t="shared" si="355"/>
        <v>24</v>
      </c>
      <c r="F1971" s="708">
        <f t="shared" si="355"/>
        <v>25</v>
      </c>
      <c r="G1971" s="708">
        <f t="shared" si="355"/>
        <v>26</v>
      </c>
      <c r="H1971" s="708">
        <f t="shared" si="355"/>
        <v>27</v>
      </c>
      <c r="I1971" s="708">
        <f t="shared" si="355"/>
        <v>28</v>
      </c>
      <c r="J1971" s="708">
        <f t="shared" si="355"/>
        <v>29</v>
      </c>
      <c r="K1971" s="708">
        <f t="shared" si="355"/>
        <v>30</v>
      </c>
    </row>
    <row r="1972" spans="1:11">
      <c r="A1972" s="708" t="s">
        <v>3643</v>
      </c>
      <c r="B1972" s="708" t="e">
        <f t="shared" ref="B1972:K1972" si="356">$B$14*(1+$B$5)^(B1971-1)</f>
        <v>#VALUE!</v>
      </c>
      <c r="C1972" s="708" t="e">
        <f t="shared" si="356"/>
        <v>#VALUE!</v>
      </c>
      <c r="D1972" s="708" t="e">
        <f t="shared" si="356"/>
        <v>#VALUE!</v>
      </c>
      <c r="E1972" s="708" t="e">
        <f t="shared" si="356"/>
        <v>#VALUE!</v>
      </c>
      <c r="F1972" s="708" t="e">
        <f t="shared" si="356"/>
        <v>#VALUE!</v>
      </c>
      <c r="G1972" s="708" t="e">
        <f t="shared" si="356"/>
        <v>#VALUE!</v>
      </c>
      <c r="H1972" s="708" t="e">
        <f t="shared" si="356"/>
        <v>#VALUE!</v>
      </c>
      <c r="I1972" s="708" t="e">
        <f t="shared" si="356"/>
        <v>#VALUE!</v>
      </c>
      <c r="J1972" s="708" t="e">
        <f t="shared" si="356"/>
        <v>#VALUE!</v>
      </c>
      <c r="K1972" s="708" t="e">
        <f t="shared" si="356"/>
        <v>#VALUE!</v>
      </c>
    </row>
    <row r="1973" spans="1:11">
      <c r="A1973" s="708" t="s">
        <v>1633</v>
      </c>
      <c r="B1973" s="708" t="e">
        <f t="shared" ref="B1973:K1973" si="357">$B$15*(1+$B$5)^(B1971-1)</f>
        <v>#VALUE!</v>
      </c>
      <c r="C1973" s="708" t="e">
        <f t="shared" si="357"/>
        <v>#VALUE!</v>
      </c>
      <c r="D1973" s="708" t="e">
        <f t="shared" si="357"/>
        <v>#VALUE!</v>
      </c>
      <c r="E1973" s="708" t="e">
        <f t="shared" si="357"/>
        <v>#VALUE!</v>
      </c>
      <c r="F1973" s="708" t="e">
        <f t="shared" si="357"/>
        <v>#VALUE!</v>
      </c>
      <c r="G1973" s="708" t="e">
        <f t="shared" si="357"/>
        <v>#VALUE!</v>
      </c>
      <c r="H1973" s="708" t="e">
        <f t="shared" si="357"/>
        <v>#VALUE!</v>
      </c>
      <c r="I1973" s="708" t="e">
        <f t="shared" si="357"/>
        <v>#VALUE!</v>
      </c>
      <c r="J1973" s="708" t="e">
        <f t="shared" si="357"/>
        <v>#VALUE!</v>
      </c>
      <c r="K1973" s="708" t="e">
        <f t="shared" si="357"/>
        <v>#VALUE!</v>
      </c>
    </row>
    <row r="1974" spans="1:11">
      <c r="A1974" s="708" t="s">
        <v>3644</v>
      </c>
      <c r="B1974" s="708" t="e">
        <f t="shared" ref="B1974:K1974" si="358">-(B1972+B1973)*$B$8</f>
        <v>#VALUE!</v>
      </c>
      <c r="C1974" s="708" t="e">
        <f t="shared" si="358"/>
        <v>#VALUE!</v>
      </c>
      <c r="D1974" s="708" t="e">
        <f t="shared" si="358"/>
        <v>#VALUE!</v>
      </c>
      <c r="E1974" s="708" t="e">
        <f t="shared" si="358"/>
        <v>#VALUE!</v>
      </c>
      <c r="F1974" s="708" t="e">
        <f t="shared" si="358"/>
        <v>#VALUE!</v>
      </c>
      <c r="G1974" s="708" t="e">
        <f t="shared" si="358"/>
        <v>#VALUE!</v>
      </c>
      <c r="H1974" s="708" t="e">
        <f t="shared" si="358"/>
        <v>#VALUE!</v>
      </c>
      <c r="I1974" s="708" t="e">
        <f t="shared" si="358"/>
        <v>#VALUE!</v>
      </c>
      <c r="J1974" s="708" t="e">
        <f t="shared" si="358"/>
        <v>#VALUE!</v>
      </c>
      <c r="K1974" s="708" t="e">
        <f t="shared" si="358"/>
        <v>#VALUE!</v>
      </c>
    </row>
    <row r="1975" spans="1:11">
      <c r="A1975" s="708" t="s">
        <v>61</v>
      </c>
      <c r="B1975" s="708">
        <f>'Part VI-Revenues &amp; Expenses'!G2015</f>
        <v>0</v>
      </c>
      <c r="C1975" s="708">
        <f>'Part VI-Revenues &amp; Expenses'!H2015</f>
        <v>0</v>
      </c>
      <c r="D1975" s="708">
        <f>'Part VI-Revenues &amp; Expenses'!I2015</f>
        <v>0</v>
      </c>
      <c r="E1975" s="708">
        <f>'Part VI-Revenues &amp; Expenses'!J2015</f>
        <v>0</v>
      </c>
      <c r="F1975" s="708">
        <f>'Part VI-Revenues &amp; Expenses'!K2015</f>
        <v>0</v>
      </c>
      <c r="G1975" s="708">
        <f>'Part VI-Revenues &amp; Expenses'!L2015</f>
        <v>0</v>
      </c>
      <c r="H1975" s="708">
        <f>'Part VI-Revenues &amp; Expenses'!M2015</f>
        <v>0</v>
      </c>
      <c r="I1975" s="708">
        <f>'Part VI-Revenues &amp; Expenses'!N2015</f>
        <v>0</v>
      </c>
      <c r="J1975" s="708">
        <f>'Part VI-Revenues &amp; Expenses'!O2015</f>
        <v>0</v>
      </c>
      <c r="K1975" s="708">
        <f>'Part VI-Revenues &amp; Expenses'!P2015</f>
        <v>0</v>
      </c>
    </row>
    <row r="1976" spans="1:11">
      <c r="A1976" s="708" t="s">
        <v>62</v>
      </c>
      <c r="B1976" s="708">
        <f>'Part VI-Revenues &amp; Expenses'!G2021</f>
        <v>0</v>
      </c>
      <c r="C1976" s="708">
        <f>'Part VI-Revenues &amp; Expenses'!H2021</f>
        <v>0</v>
      </c>
      <c r="D1976" s="708">
        <f>'Part VI-Revenues &amp; Expenses'!I2021</f>
        <v>0</v>
      </c>
      <c r="E1976" s="708">
        <f>'Part VI-Revenues &amp; Expenses'!J2021</f>
        <v>0</v>
      </c>
      <c r="F1976" s="708">
        <f>'Part VI-Revenues &amp; Expenses'!K2021</f>
        <v>0</v>
      </c>
      <c r="G1976" s="708">
        <f>'Part VI-Revenues &amp; Expenses'!L2021</f>
        <v>0</v>
      </c>
      <c r="H1976" s="708">
        <f>'Part VI-Revenues &amp; Expenses'!M2021</f>
        <v>0</v>
      </c>
      <c r="I1976" s="708">
        <f>'Part VI-Revenues &amp; Expenses'!N2021</f>
        <v>0</v>
      </c>
      <c r="J1976" s="708">
        <f>'Part VI-Revenues &amp; Expenses'!O2021</f>
        <v>0</v>
      </c>
      <c r="K1976" s="708">
        <f>'Part VI-Revenues &amp; Expenses'!P2021</f>
        <v>0</v>
      </c>
    </row>
    <row r="1977" spans="1:11">
      <c r="A1977" s="708" t="s">
        <v>949</v>
      </c>
      <c r="B1977" s="708">
        <f t="shared" ref="B1977:K1977" si="359">$B$19*(1+$B$6)^(B1971-1)</f>
        <v>0</v>
      </c>
      <c r="C1977" s="708">
        <f t="shared" si="359"/>
        <v>0</v>
      </c>
      <c r="D1977" s="708">
        <f t="shared" si="359"/>
        <v>0</v>
      </c>
      <c r="E1977" s="708">
        <f t="shared" si="359"/>
        <v>0</v>
      </c>
      <c r="F1977" s="708">
        <f t="shared" si="359"/>
        <v>0</v>
      </c>
      <c r="G1977" s="708">
        <f t="shared" si="359"/>
        <v>0</v>
      </c>
      <c r="H1977" s="708">
        <f t="shared" si="359"/>
        <v>0</v>
      </c>
      <c r="I1977" s="708">
        <f t="shared" si="359"/>
        <v>0</v>
      </c>
      <c r="J1977" s="708">
        <f t="shared" si="359"/>
        <v>0</v>
      </c>
      <c r="K1977" s="708">
        <f t="shared" si="359"/>
        <v>0</v>
      </c>
    </row>
    <row r="1978" spans="1:11">
      <c r="A1978" s="708" t="s">
        <v>1747</v>
      </c>
      <c r="B1978" s="708">
        <f>IF(AND('Part VII-Pro Forma'!$G$8="Yes",'Part VII-Pro Forma'!$G$9="Yes"),"Choose One!",IF('Part VII-Pro Forma'!$G$8="Yes",ROUND((-$K$8*(1+'Part VII-Pro Forma'!$B$6)^('Part VII-Pro Forma'!B1967-1)),),IF('Part VII-Pro Forma'!$G$9="Yes",ROUND((-(SUM(B1972:B1975)*'Part VII-Pro Forma'!$K$9)),),"Choose mgt fee")))</f>
        <v>0</v>
      </c>
      <c r="C1978" s="708">
        <f>IF(AND('Part VII-Pro Forma'!$G$8="Yes",'Part VII-Pro Forma'!$G$9="Yes"),"Choose One!",IF('Part VII-Pro Forma'!$G$8="Yes",ROUND((-$K$8*(1+'Part VII-Pro Forma'!$B$6)^('Part VII-Pro Forma'!C1967-1)),),IF('Part VII-Pro Forma'!$G$9="Yes",ROUND((-(SUM(C1972:C1975)*'Part VII-Pro Forma'!$K$9)),),"Choose mgt fee")))</f>
        <v>0</v>
      </c>
      <c r="D1978" s="708">
        <f>IF(AND('Part VII-Pro Forma'!$G$8="Yes",'Part VII-Pro Forma'!$G$9="Yes"),"Choose One!",IF('Part VII-Pro Forma'!$G$8="Yes",ROUND((-$K$8*(1+'Part VII-Pro Forma'!$B$6)^('Part VII-Pro Forma'!D1967-1)),),IF('Part VII-Pro Forma'!$G$9="Yes",ROUND((-(SUM(D1972:D1975)*'Part VII-Pro Forma'!$K$9)),),"Choose mgt fee")))</f>
        <v>0</v>
      </c>
      <c r="E1978" s="708">
        <f>IF(AND('Part VII-Pro Forma'!$G$8="Yes",'Part VII-Pro Forma'!$G$9="Yes"),"Choose One!",IF('Part VII-Pro Forma'!$G$8="Yes",ROUND((-$K$8*(1+'Part VII-Pro Forma'!$B$6)^('Part VII-Pro Forma'!E1967-1)),),IF('Part VII-Pro Forma'!$G$9="Yes",ROUND((-(SUM(E1972:E1975)*'Part VII-Pro Forma'!$K$9)),),"Choose mgt fee")))</f>
        <v>0</v>
      </c>
      <c r="F1978" s="708">
        <f>IF(AND('Part VII-Pro Forma'!$G$8="Yes",'Part VII-Pro Forma'!$G$9="Yes"),"Choose One!",IF('Part VII-Pro Forma'!$G$8="Yes",ROUND((-$K$8*(1+'Part VII-Pro Forma'!$B$6)^('Part VII-Pro Forma'!F1967-1)),),IF('Part VII-Pro Forma'!$G$9="Yes",ROUND((-(SUM(F1972:F1975)*'Part VII-Pro Forma'!$K$9)),),"Choose mgt fee")))</f>
        <v>0</v>
      </c>
      <c r="G1978" s="708">
        <f>IF(AND('Part VII-Pro Forma'!$G$8="Yes",'Part VII-Pro Forma'!$G$9="Yes"),"Choose One!",IF('Part VII-Pro Forma'!$G$8="Yes",ROUND((-$K$8*(1+'Part VII-Pro Forma'!$B$6)^('Part VII-Pro Forma'!G1967-1)),),IF('Part VII-Pro Forma'!$G$9="Yes",ROUND((-(SUM(G1972:G1975)*'Part VII-Pro Forma'!$K$9)),),"Choose mgt fee")))</f>
        <v>0</v>
      </c>
      <c r="H1978" s="708">
        <f>IF(AND('Part VII-Pro Forma'!$G$8="Yes",'Part VII-Pro Forma'!$G$9="Yes"),"Choose One!",IF('Part VII-Pro Forma'!$G$8="Yes",ROUND((-$K$8*(1+'Part VII-Pro Forma'!$B$6)^('Part VII-Pro Forma'!H1967-1)),),IF('Part VII-Pro Forma'!$G$9="Yes",ROUND((-(SUM(H1972:H1975)*'Part VII-Pro Forma'!$K$9)),),"Choose mgt fee")))</f>
        <v>0</v>
      </c>
      <c r="I1978" s="708">
        <f>IF(AND('Part VII-Pro Forma'!$G$8="Yes",'Part VII-Pro Forma'!$G$9="Yes"),"Choose One!",IF('Part VII-Pro Forma'!$G$8="Yes",ROUND((-$K$8*(1+'Part VII-Pro Forma'!$B$6)^('Part VII-Pro Forma'!I1967-1)),),IF('Part VII-Pro Forma'!$G$9="Yes",ROUND((-(SUM(I1972:I1975)*'Part VII-Pro Forma'!$K$9)),),"Choose mgt fee")))</f>
        <v>0</v>
      </c>
      <c r="J1978" s="708">
        <f>IF(AND('Part VII-Pro Forma'!$G$8="Yes",'Part VII-Pro Forma'!$G$9="Yes"),"Choose One!",IF('Part VII-Pro Forma'!$G$8="Yes",ROUND((-$K$8*(1+'Part VII-Pro Forma'!$B$6)^('Part VII-Pro Forma'!J1967-1)),),IF('Part VII-Pro Forma'!$G$9="Yes",ROUND((-(SUM(J1972:J1975)*'Part VII-Pro Forma'!$K$9)),),"Choose mgt fee")))</f>
        <v>0</v>
      </c>
      <c r="K1978" s="708">
        <f>IF(AND('Part VII-Pro Forma'!$G$8="Yes",'Part VII-Pro Forma'!$G$9="Yes"),"Choose One!",IF('Part VII-Pro Forma'!$G$8="Yes",ROUND((-$K$8*(1+'Part VII-Pro Forma'!$B$6)^('Part VII-Pro Forma'!K1967-1)),),IF('Part VII-Pro Forma'!$G$9="Yes",ROUND((-(SUM(K1972:K1975)*'Part VII-Pro Forma'!$K$9)),),"Choose mgt fee")))</f>
        <v>0</v>
      </c>
    </row>
    <row r="1979" spans="1:11">
      <c r="A1979" s="708" t="s">
        <v>1863</v>
      </c>
      <c r="B1979" s="708">
        <f t="shared" ref="B1979:K1979" si="360">$B$21*(1+$B$7)^(B1971-1)</f>
        <v>0</v>
      </c>
      <c r="C1979" s="708">
        <f t="shared" si="360"/>
        <v>0</v>
      </c>
      <c r="D1979" s="708">
        <f t="shared" si="360"/>
        <v>0</v>
      </c>
      <c r="E1979" s="708">
        <f t="shared" si="360"/>
        <v>0</v>
      </c>
      <c r="F1979" s="708">
        <f t="shared" si="360"/>
        <v>0</v>
      </c>
      <c r="G1979" s="708">
        <f t="shared" si="360"/>
        <v>0</v>
      </c>
      <c r="H1979" s="708">
        <f t="shared" si="360"/>
        <v>0</v>
      </c>
      <c r="I1979" s="708">
        <f t="shared" si="360"/>
        <v>0</v>
      </c>
      <c r="J1979" s="708">
        <f t="shared" si="360"/>
        <v>0</v>
      </c>
      <c r="K1979" s="708">
        <f t="shared" si="360"/>
        <v>0</v>
      </c>
    </row>
    <row r="1980" spans="1:11">
      <c r="A1980" s="708" t="s">
        <v>1864</v>
      </c>
      <c r="B1980" s="708" t="e">
        <f t="shared" ref="B1980:K1980" si="361">SUM(B1972:B1979)</f>
        <v>#VALUE!</v>
      </c>
      <c r="C1980" s="708" t="e">
        <f t="shared" si="361"/>
        <v>#VALUE!</v>
      </c>
      <c r="D1980" s="708" t="e">
        <f t="shared" si="361"/>
        <v>#VALUE!</v>
      </c>
      <c r="E1980" s="708" t="e">
        <f t="shared" si="361"/>
        <v>#VALUE!</v>
      </c>
      <c r="F1980" s="708" t="e">
        <f t="shared" si="361"/>
        <v>#VALUE!</v>
      </c>
      <c r="G1980" s="708" t="e">
        <f t="shared" si="361"/>
        <v>#VALUE!</v>
      </c>
      <c r="H1980" s="708" t="e">
        <f t="shared" si="361"/>
        <v>#VALUE!</v>
      </c>
      <c r="I1980" s="708" t="e">
        <f t="shared" si="361"/>
        <v>#VALUE!</v>
      </c>
      <c r="J1980" s="708" t="e">
        <f t="shared" si="361"/>
        <v>#VALUE!</v>
      </c>
      <c r="K1980" s="708" t="e">
        <f t="shared" si="361"/>
        <v>#VALUE!</v>
      </c>
    </row>
    <row r="1981" spans="1:11">
      <c r="A1981" s="708" t="str">
        <f t="shared" ref="A1981:A1986" si="362">$A1946</f>
        <v>D/S USDA/HUD Mortgage</v>
      </c>
      <c r="B1981" s="708">
        <f>IF('Part III A-Sources of Funds'!$M$32="", 0,-'Part III A-Sources of Funds'!$M$32)</f>
        <v>0</v>
      </c>
      <c r="C1981" s="708">
        <f>IF('Part III A-Sources of Funds'!$M$32="", 0,-'Part III A-Sources of Funds'!$M$32)</f>
        <v>0</v>
      </c>
      <c r="D1981" s="708">
        <f>IF('Part III A-Sources of Funds'!$M$32="", 0,-'Part III A-Sources of Funds'!$M$32)</f>
        <v>0</v>
      </c>
      <c r="E1981" s="708">
        <f>IF('Part III A-Sources of Funds'!$M$32="", 0,-'Part III A-Sources of Funds'!$M$32)</f>
        <v>0</v>
      </c>
      <c r="F1981" s="708">
        <f>IF('Part III A-Sources of Funds'!$M$32="", 0,-'Part III A-Sources of Funds'!$M$32)</f>
        <v>0</v>
      </c>
      <c r="G1981" s="708">
        <f>IF('Part III A-Sources of Funds'!$M$32="", 0,-'Part III A-Sources of Funds'!$M$32)</f>
        <v>0</v>
      </c>
      <c r="H1981" s="708">
        <f>IF('Part III A-Sources of Funds'!$M$32="", 0,-'Part III A-Sources of Funds'!$M$32)</f>
        <v>0</v>
      </c>
      <c r="I1981" s="708">
        <f>IF('Part III A-Sources of Funds'!$M$32="", 0,-'Part III A-Sources of Funds'!$M$32)</f>
        <v>0</v>
      </c>
      <c r="J1981" s="708">
        <f>IF('Part III A-Sources of Funds'!$M$32="", 0,-'Part III A-Sources of Funds'!$M$32)</f>
        <v>0</v>
      </c>
      <c r="K1981" s="708">
        <f>IF('Part III A-Sources of Funds'!$M$32="", 0,-'Part III A-Sources of Funds'!$M$32)</f>
        <v>0</v>
      </c>
    </row>
    <row r="1982" spans="1:11">
      <c r="A1982" s="708" t="str">
        <f t="shared" si="362"/>
        <v/>
      </c>
      <c r="B1982" s="708">
        <f>IF('Part III A-Sources of Funds'!$E$32="USDA 538 Loan", -'Part III B-USDA 538 Loan'!$C1921,IF('Part III A-Sources of Funds'!$E$32="HUD Insured Loan", -'Part III C-HUD Insured Loan'!$E1912,0))</f>
        <v>0</v>
      </c>
      <c r="C1982" s="708">
        <f>IF('Part III A-Sources of Funds'!$E$32="USDA 538 Loan", -'Part III B-USDA 538 Loan'!$C1922,IF('Part III A-Sources of Funds'!$E$32="HUD Insured Loan", -'Part III C-HUD Insured Loan'!$E1913,0))</f>
        <v>0</v>
      </c>
      <c r="D1982" s="708">
        <f>IF('Part III A-Sources of Funds'!$E$32="USDA 538 Loan", -'Part III B-USDA 538 Loan'!$C1923,IF('Part III A-Sources of Funds'!$E$32="HUD Insured Loan", -'Part III C-HUD Insured Loan'!$E1914,0))</f>
        <v>0</v>
      </c>
      <c r="E1982" s="708">
        <f>IF('Part III A-Sources of Funds'!$E$32="USDA 538 Loan", -'Part III B-USDA 538 Loan'!$C1924,IF('Part III A-Sources of Funds'!$E$32="HUD Insured Loan", -'Part III C-HUD Insured Loan'!$E1915,0))</f>
        <v>0</v>
      </c>
      <c r="F1982" s="708">
        <f>IF('Part III A-Sources of Funds'!$E$32="USDA 538 Loan", -'Part III B-USDA 538 Loan'!$C1925,IF('Part III A-Sources of Funds'!$E$32="HUD Insured Loan", -'Part III C-HUD Insured Loan'!$E1916,0))</f>
        <v>0</v>
      </c>
      <c r="G1982" s="708">
        <f>IF('Part III A-Sources of Funds'!$E$32="USDA 538 Loan", -'Part III B-USDA 538 Loan'!$C1926,IF('Part III A-Sources of Funds'!$E$32="HUD Insured Loan", -'Part III C-HUD Insured Loan'!$E1917,0))</f>
        <v>0</v>
      </c>
      <c r="H1982" s="708">
        <f>IF('Part III A-Sources of Funds'!$E$32="USDA 538 Loan", -'Part III B-USDA 538 Loan'!$C1927,IF('Part III A-Sources of Funds'!$E$32="HUD Insured Loan", -'Part III C-HUD Insured Loan'!$E1918,0))</f>
        <v>0</v>
      </c>
      <c r="I1982" s="708">
        <f>IF('Part III A-Sources of Funds'!$E$32="USDA 538 Loan", -'Part III B-USDA 538 Loan'!$C1928,IF('Part III A-Sources of Funds'!$E$32="HUD Insured Loan", -'Part III C-HUD Insured Loan'!$E1919,0))</f>
        <v>0</v>
      </c>
      <c r="J1982" s="708">
        <f>IF('Part III A-Sources of Funds'!$E$32="USDA 538 Loan", -'Part III B-USDA 538 Loan'!$C1929,IF('Part III A-Sources of Funds'!$E$32="HUD Insured Loan", -'Part III C-HUD Insured Loan'!$E1920,0))</f>
        <v>0</v>
      </c>
      <c r="K1982" s="708">
        <f>IF('Part III A-Sources of Funds'!$E$32="USDA 538 Loan", -'Part III B-USDA 538 Loan'!$C1930,IF('Part III A-Sources of Funds'!$E$32="HUD Insured Loan", -'Part III C-HUD Insured Loan'!$E1921,0))</f>
        <v>0</v>
      </c>
    </row>
    <row r="1983" spans="1:11">
      <c r="A1983" s="708" t="str">
        <f t="shared" si="362"/>
        <v>D/S Mortgage B</v>
      </c>
      <c r="B1983" s="708">
        <f>'Part VII-Pro Forma'!B95</f>
        <v>0</v>
      </c>
      <c r="C1983" s="708">
        <f>'Part VII-Pro Forma'!C95</f>
        <v>0</v>
      </c>
      <c r="D1983" s="708">
        <f>'Part VII-Pro Forma'!D95</f>
        <v>0</v>
      </c>
      <c r="E1983" s="708">
        <f>'Part VII-Pro Forma'!E95</f>
        <v>0</v>
      </c>
      <c r="F1983" s="708">
        <f>'Part VII-Pro Forma'!F95</f>
        <v>0</v>
      </c>
      <c r="G1983" s="708">
        <f>'Part VII-Pro Forma'!G95</f>
        <v>0</v>
      </c>
      <c r="H1983" s="708">
        <f>'Part VII-Pro Forma'!H95</f>
        <v>0</v>
      </c>
      <c r="I1983" s="708">
        <f>'Part VII-Pro Forma'!I95</f>
        <v>0</v>
      </c>
      <c r="J1983" s="708">
        <f>'Part VII-Pro Forma'!J95</f>
        <v>0</v>
      </c>
      <c r="K1983" s="708">
        <f>'Part VII-Pro Forma'!K95</f>
        <v>0</v>
      </c>
    </row>
    <row r="1984" spans="1:11">
      <c r="A1984" s="708" t="str">
        <f t="shared" si="362"/>
        <v>D/S Mortgage C</v>
      </c>
      <c r="B1984" s="708">
        <f>'Part VII-Pro Forma'!B96</f>
        <v>0</v>
      </c>
      <c r="C1984" s="708">
        <f>'Part VII-Pro Forma'!C96</f>
        <v>0</v>
      </c>
      <c r="D1984" s="708">
        <f>'Part VII-Pro Forma'!D96</f>
        <v>0</v>
      </c>
      <c r="E1984" s="708">
        <f>'Part VII-Pro Forma'!E96</f>
        <v>0</v>
      </c>
      <c r="F1984" s="708">
        <f>'Part VII-Pro Forma'!F96</f>
        <v>0</v>
      </c>
      <c r="G1984" s="708">
        <f>'Part VII-Pro Forma'!G96</f>
        <v>0</v>
      </c>
      <c r="H1984" s="708">
        <f>'Part VII-Pro Forma'!H96</f>
        <v>0</v>
      </c>
      <c r="I1984" s="708">
        <f>'Part VII-Pro Forma'!I96</f>
        <v>0</v>
      </c>
      <c r="J1984" s="708">
        <f>'Part VII-Pro Forma'!J96</f>
        <v>0</v>
      </c>
      <c r="K1984" s="708">
        <f>'Part VII-Pro Forma'!K96</f>
        <v>0</v>
      </c>
    </row>
    <row r="1985" spans="1:11">
      <c r="A1985" s="708" t="str">
        <f t="shared" si="362"/>
        <v>D/S Other Source</v>
      </c>
      <c r="B1985" s="708">
        <f>'Part VII-Pro Forma'!B97</f>
        <v>0</v>
      </c>
      <c r="C1985" s="708">
        <f>'Part VII-Pro Forma'!C97</f>
        <v>0</v>
      </c>
      <c r="D1985" s="708">
        <f>'Part VII-Pro Forma'!D97</f>
        <v>0</v>
      </c>
      <c r="E1985" s="708">
        <f>'Part VII-Pro Forma'!E97</f>
        <v>0</v>
      </c>
      <c r="F1985" s="708">
        <f>'Part VII-Pro Forma'!F97</f>
        <v>0</v>
      </c>
      <c r="G1985" s="708">
        <f>'Part VII-Pro Forma'!G97</f>
        <v>0</v>
      </c>
      <c r="H1985" s="708">
        <f>'Part VII-Pro Forma'!H97</f>
        <v>0</v>
      </c>
      <c r="I1985" s="708">
        <f>'Part VII-Pro Forma'!I97</f>
        <v>0</v>
      </c>
      <c r="J1985" s="708">
        <f>'Part VII-Pro Forma'!J97</f>
        <v>0</v>
      </c>
      <c r="K1985" s="708">
        <f>'Part VII-Pro Forma'!K97</f>
        <v>0</v>
      </c>
    </row>
    <row r="1986" spans="1:11">
      <c r="A1986" s="708" t="str">
        <f t="shared" si="362"/>
        <v>D/S Grant from fdn / charity</v>
      </c>
      <c r="B1986" s="708">
        <f>'Part VII-Pro Forma'!B98</f>
        <v>0</v>
      </c>
      <c r="C1986" s="708">
        <f>'Part VII-Pro Forma'!C98</f>
        <v>0</v>
      </c>
      <c r="D1986" s="708">
        <f>'Part VII-Pro Forma'!D98</f>
        <v>0</v>
      </c>
      <c r="E1986" s="708">
        <f>'Part VII-Pro Forma'!E98</f>
        <v>0</v>
      </c>
      <c r="F1986" s="708">
        <f>'Part VII-Pro Forma'!F98</f>
        <v>0</v>
      </c>
      <c r="G1986" s="708">
        <f>'Part VII-Pro Forma'!G98</f>
        <v>0</v>
      </c>
      <c r="H1986" s="708">
        <f>'Part VII-Pro Forma'!H98</f>
        <v>0</v>
      </c>
      <c r="I1986" s="708">
        <f>'Part VII-Pro Forma'!I98</f>
        <v>0</v>
      </c>
      <c r="J1986" s="708">
        <f>'Part VII-Pro Forma'!J98</f>
        <v>0</v>
      </c>
      <c r="K1986" s="708">
        <f>'Part VII-Pro Forma'!K98</f>
        <v>0</v>
      </c>
    </row>
    <row r="1987" spans="1:11">
      <c r="A1987" s="708" t="s">
        <v>1337</v>
      </c>
      <c r="B1987" s="708">
        <f>'Part VII-Pro Forma'!B99</f>
        <v>0</v>
      </c>
      <c r="C1987" s="708">
        <f>'Part VII-Pro Forma'!C99</f>
        <v>0</v>
      </c>
      <c r="D1987" s="708">
        <f>'Part VII-Pro Forma'!D99</f>
        <v>0</v>
      </c>
      <c r="E1987" s="708">
        <f>'Part VII-Pro Forma'!E99</f>
        <v>0</v>
      </c>
      <c r="F1987" s="708">
        <f>'Part VII-Pro Forma'!F99</f>
        <v>0</v>
      </c>
      <c r="G1987" s="708">
        <f>'Part VII-Pro Forma'!G99</f>
        <v>0</v>
      </c>
      <c r="H1987" s="708">
        <f>'Part VII-Pro Forma'!H99</f>
        <v>0</v>
      </c>
      <c r="I1987" s="708">
        <f>'Part VII-Pro Forma'!I99</f>
        <v>0</v>
      </c>
      <c r="J1987" s="708">
        <f>'Part VII-Pro Forma'!J99</f>
        <v>0</v>
      </c>
      <c r="K1987" s="708">
        <f>'Part VII-Pro Forma'!K99</f>
        <v>0</v>
      </c>
    </row>
    <row r="1988" spans="1:11">
      <c r="A1988" s="708" t="s">
        <v>1808</v>
      </c>
      <c r="B1988" s="708">
        <f>'Part VII-Pro Forma'!B100</f>
        <v>0</v>
      </c>
      <c r="C1988" s="708">
        <f>'Part VII-Pro Forma'!C100</f>
        <v>0</v>
      </c>
      <c r="D1988" s="708">
        <f>'Part VII-Pro Forma'!D100</f>
        <v>0</v>
      </c>
      <c r="E1988" s="708">
        <f>'Part VII-Pro Forma'!E100</f>
        <v>0</v>
      </c>
      <c r="F1988" s="708">
        <f>'Part VII-Pro Forma'!F100</f>
        <v>0</v>
      </c>
      <c r="G1988" s="708">
        <f>'Part VII-Pro Forma'!G100</f>
        <v>0</v>
      </c>
      <c r="H1988" s="708">
        <f>'Part VII-Pro Forma'!H100</f>
        <v>0</v>
      </c>
      <c r="I1988" s="708">
        <f>'Part VII-Pro Forma'!I100</f>
        <v>0</v>
      </c>
      <c r="J1988" s="708">
        <f>'Part VII-Pro Forma'!J100</f>
        <v>0</v>
      </c>
      <c r="K1988" s="708">
        <f>'Part VII-Pro Forma'!K100</f>
        <v>0</v>
      </c>
    </row>
    <row r="1989" spans="1:11">
      <c r="A1989" s="708" t="s">
        <v>1865</v>
      </c>
      <c r="B1989" s="708">
        <f>'Part VII-Pro Forma'!B101</f>
        <v>0</v>
      </c>
      <c r="C1989" s="708">
        <f>'Part VII-Pro Forma'!C101</f>
        <v>0</v>
      </c>
      <c r="D1989" s="708">
        <f>'Part VII-Pro Forma'!D101</f>
        <v>0</v>
      </c>
      <c r="E1989" s="708">
        <f>'Part VII-Pro Forma'!E101</f>
        <v>0</v>
      </c>
      <c r="F1989" s="708">
        <f>'Part VII-Pro Forma'!F101</f>
        <v>0</v>
      </c>
      <c r="G1989" s="708">
        <f>'Part VII-Pro Forma'!G101</f>
        <v>0</v>
      </c>
      <c r="H1989" s="708">
        <f>'Part VII-Pro Forma'!H101</f>
        <v>0</v>
      </c>
      <c r="I1989" s="708">
        <f>'Part VII-Pro Forma'!I101</f>
        <v>0</v>
      </c>
      <c r="J1989" s="708">
        <f>'Part VII-Pro Forma'!J101</f>
        <v>0</v>
      </c>
      <c r="K1989" s="708">
        <f>'Part VII-Pro Forma'!K101</f>
        <v>0</v>
      </c>
    </row>
    <row r="1990" spans="1:11">
      <c r="A1990" s="708" t="s">
        <v>1809</v>
      </c>
      <c r="B1990" s="708">
        <f>'Part VII-Pro Forma'!B102</f>
        <v>0</v>
      </c>
      <c r="C1990" s="708">
        <f>'Part VII-Pro Forma'!C102</f>
        <v>0</v>
      </c>
      <c r="D1990" s="708">
        <f>'Part VII-Pro Forma'!D102</f>
        <v>0</v>
      </c>
      <c r="E1990" s="708">
        <f>'Part VII-Pro Forma'!E102</f>
        <v>0</v>
      </c>
      <c r="F1990" s="708">
        <f>'Part VII-Pro Forma'!F102</f>
        <v>0</v>
      </c>
      <c r="G1990" s="708">
        <f>'Part VII-Pro Forma'!G102</f>
        <v>0</v>
      </c>
      <c r="H1990" s="708">
        <f>'Part VII-Pro Forma'!H102</f>
        <v>0</v>
      </c>
      <c r="I1990" s="708">
        <f>'Part VII-Pro Forma'!I102</f>
        <v>0</v>
      </c>
      <c r="J1990" s="708">
        <f>'Part VII-Pro Forma'!J102</f>
        <v>0</v>
      </c>
      <c r="K1990" s="708">
        <f>'Part VII-Pro Forma'!K102</f>
        <v>0</v>
      </c>
    </row>
    <row r="1991" spans="1:11">
      <c r="A1991" s="708" t="s">
        <v>1810</v>
      </c>
      <c r="B1991" s="708" t="e">
        <f t="shared" ref="B1991:K1991" si="363">SUM(B1980:B1990)</f>
        <v>#VALUE!</v>
      </c>
      <c r="C1991" s="708" t="e">
        <f t="shared" si="363"/>
        <v>#VALUE!</v>
      </c>
      <c r="D1991" s="708" t="e">
        <f t="shared" si="363"/>
        <v>#VALUE!</v>
      </c>
      <c r="E1991" s="708" t="e">
        <f t="shared" si="363"/>
        <v>#VALUE!</v>
      </c>
      <c r="F1991" s="708" t="e">
        <f t="shared" si="363"/>
        <v>#VALUE!</v>
      </c>
      <c r="G1991" s="708" t="e">
        <f t="shared" si="363"/>
        <v>#VALUE!</v>
      </c>
      <c r="H1991" s="708" t="e">
        <f t="shared" si="363"/>
        <v>#VALUE!</v>
      </c>
      <c r="I1991" s="708" t="e">
        <f t="shared" si="363"/>
        <v>#VALUE!</v>
      </c>
      <c r="J1991" s="708" t="e">
        <f t="shared" si="363"/>
        <v>#VALUE!</v>
      </c>
      <c r="K1991" s="708" t="e">
        <f t="shared" si="363"/>
        <v>#VALUE!</v>
      </c>
    </row>
    <row r="1992" spans="1:11">
      <c r="A1992" s="708" t="str">
        <f t="shared" ref="A1992:A1997" si="364">$A1957</f>
        <v>DCR First Mortgage</v>
      </c>
      <c r="B1992" s="708" t="str">
        <f>IF(B1981=0,"",-B1980/B1981)</f>
        <v/>
      </c>
      <c r="C1992" s="708" t="str">
        <f t="shared" ref="C1992:K1992" si="365">IF(C1981=0,"",-C1980/C1981)</f>
        <v/>
      </c>
      <c r="D1992" s="708" t="str">
        <f t="shared" si="365"/>
        <v/>
      </c>
      <c r="E1992" s="708" t="str">
        <f t="shared" si="365"/>
        <v/>
      </c>
      <c r="F1992" s="708" t="str">
        <f t="shared" si="365"/>
        <v/>
      </c>
      <c r="G1992" s="708" t="str">
        <f t="shared" si="365"/>
        <v/>
      </c>
      <c r="H1992" s="708" t="str">
        <f t="shared" si="365"/>
        <v/>
      </c>
      <c r="I1992" s="708" t="str">
        <f t="shared" si="365"/>
        <v/>
      </c>
      <c r="J1992" s="708" t="str">
        <f t="shared" si="365"/>
        <v/>
      </c>
      <c r="K1992" s="708" t="str">
        <f t="shared" si="365"/>
        <v/>
      </c>
    </row>
    <row r="1993" spans="1:11">
      <c r="A1993" s="708" t="str">
        <f t="shared" si="364"/>
        <v>DCR USDA/HUD Fee</v>
      </c>
      <c r="B1993" s="708" t="str">
        <f>IF(OR(B1982=0,AND(B1982=0,B1981=0)),"",-B1980/(B1981+B1982))</f>
        <v/>
      </c>
      <c r="C1993" s="708" t="str">
        <f t="shared" ref="C1993:K1993" si="366">IF(OR(C1982=0,AND(C1982=0,C1981=0)),"",-C1980/(C1981+C1982))</f>
        <v/>
      </c>
      <c r="D1993" s="708" t="str">
        <f t="shared" si="366"/>
        <v/>
      </c>
      <c r="E1993" s="708" t="str">
        <f t="shared" si="366"/>
        <v/>
      </c>
      <c r="F1993" s="708" t="str">
        <f t="shared" si="366"/>
        <v/>
      </c>
      <c r="G1993" s="708" t="str">
        <f t="shared" si="366"/>
        <v/>
      </c>
      <c r="H1993" s="708" t="str">
        <f t="shared" si="366"/>
        <v/>
      </c>
      <c r="I1993" s="708" t="str">
        <f t="shared" si="366"/>
        <v/>
      </c>
      <c r="J1993" s="708" t="str">
        <f t="shared" si="366"/>
        <v/>
      </c>
      <c r="K1993" s="708" t="str">
        <f t="shared" si="366"/>
        <v/>
      </c>
    </row>
    <row r="1994" spans="1:11">
      <c r="A1994" s="708" t="str">
        <f t="shared" si="364"/>
        <v>DCR Second Mortgage</v>
      </c>
      <c r="B1994" s="708" t="str">
        <f>IF(OR(B1983=0,AND(B1983=0,B1982=0,B1981=0)),"",-B1980/(B1981+B1982+B1983))</f>
        <v/>
      </c>
      <c r="C1994" s="708" t="str">
        <f t="shared" ref="C1994:K1994" si="367">IF(OR(C1983=0,AND(C1983=0,C1982=0,C1981=0)),"",-C1980/(C1981+C1982+C1983))</f>
        <v/>
      </c>
      <c r="D1994" s="708" t="str">
        <f t="shared" si="367"/>
        <v/>
      </c>
      <c r="E1994" s="708" t="str">
        <f t="shared" si="367"/>
        <v/>
      </c>
      <c r="F1994" s="708" t="str">
        <f t="shared" si="367"/>
        <v/>
      </c>
      <c r="G1994" s="708" t="str">
        <f t="shared" si="367"/>
        <v/>
      </c>
      <c r="H1994" s="708" t="str">
        <f t="shared" si="367"/>
        <v/>
      </c>
      <c r="I1994" s="708" t="str">
        <f t="shared" si="367"/>
        <v/>
      </c>
      <c r="J1994" s="708" t="str">
        <f t="shared" si="367"/>
        <v/>
      </c>
      <c r="K1994" s="708" t="str">
        <f t="shared" si="367"/>
        <v/>
      </c>
    </row>
    <row r="1995" spans="1:11">
      <c r="A1995" s="708" t="str">
        <f t="shared" si="364"/>
        <v>DCR Third Mortgage</v>
      </c>
      <c r="B1995" s="708" t="str">
        <f>IF(OR(B1984=0,AND(B1981=0,B1982=0,B1983=0,B1984=0)),"",-B1980/(B1981+B1982+B1983+B1984))</f>
        <v/>
      </c>
      <c r="C1995" s="708" t="str">
        <f t="shared" ref="C1995:K1995" si="368">IF(OR(C1984=0,AND(C1981=0,C1982=0,C1983=0,C1984=0)),"",-C1980/(C1981+C1982+C1983+C1984))</f>
        <v/>
      </c>
      <c r="D1995" s="708" t="str">
        <f t="shared" si="368"/>
        <v/>
      </c>
      <c r="E1995" s="708" t="str">
        <f t="shared" si="368"/>
        <v/>
      </c>
      <c r="F1995" s="708" t="str">
        <f t="shared" si="368"/>
        <v/>
      </c>
      <c r="G1995" s="708" t="str">
        <f t="shared" si="368"/>
        <v/>
      </c>
      <c r="H1995" s="708" t="str">
        <f t="shared" si="368"/>
        <v/>
      </c>
      <c r="I1995" s="708" t="str">
        <f t="shared" si="368"/>
        <v/>
      </c>
      <c r="J1995" s="708" t="str">
        <f t="shared" si="368"/>
        <v/>
      </c>
      <c r="K1995" s="708" t="str">
        <f t="shared" si="368"/>
        <v/>
      </c>
    </row>
    <row r="1996" spans="1:11">
      <c r="A1996" s="708" t="str">
        <f t="shared" si="364"/>
        <v>DCR Other Source</v>
      </c>
      <c r="B1996" s="708" t="str">
        <f>IF(OR(B1985=0,AND(B1981=0,B1982=0,B1983=0,B1984=0,B1985=0)),"",-B1980/(B1981+B1982+B1983+B1984+B1985))</f>
        <v/>
      </c>
      <c r="C1996" s="708" t="str">
        <f t="shared" ref="C1996:K1996" si="369">IF(OR(C1985=0,AND(C1981=0,C1982=0,C1983=0,C1984=0,C1985=0)),"",-C1980/(C1981+C1982+C1983+C1984+C1985))</f>
        <v/>
      </c>
      <c r="D1996" s="708" t="str">
        <f t="shared" si="369"/>
        <v/>
      </c>
      <c r="E1996" s="708" t="str">
        <f t="shared" si="369"/>
        <v/>
      </c>
      <c r="F1996" s="708" t="str">
        <f t="shared" si="369"/>
        <v/>
      </c>
      <c r="G1996" s="708" t="str">
        <f t="shared" si="369"/>
        <v/>
      </c>
      <c r="H1996" s="708" t="str">
        <f t="shared" si="369"/>
        <v/>
      </c>
      <c r="I1996" s="708" t="str">
        <f t="shared" si="369"/>
        <v/>
      </c>
      <c r="J1996" s="708" t="str">
        <f t="shared" si="369"/>
        <v/>
      </c>
      <c r="K1996" s="708" t="str">
        <f t="shared" si="369"/>
        <v/>
      </c>
    </row>
    <row r="1997" spans="1:11">
      <c r="A1997" s="708" t="str">
        <f t="shared" si="364"/>
        <v>DCR Other Source</v>
      </c>
      <c r="B1997" s="708" t="str">
        <f>IF(OR(B1986=0,AND(B1981=0,B1982=0,B1983=0,B1984=0,B1985=0,B1986=0)),"",-B1980/(B1981+B1982+B1983+B1984+B1985+B1986))</f>
        <v/>
      </c>
      <c r="C1997" s="708" t="str">
        <f t="shared" ref="C1997:K1997" si="370">IF(OR(C1986=0,AND(C1981=0,C1982=0,C1983=0,C1984=0,C1985=0,C1986=0)),"",-C1980/(C1981+C1982+C1983+C1984+C1985+C1986))</f>
        <v/>
      </c>
      <c r="D1997" s="708" t="str">
        <f t="shared" si="370"/>
        <v/>
      </c>
      <c r="E1997" s="708" t="str">
        <f t="shared" si="370"/>
        <v/>
      </c>
      <c r="F1997" s="708" t="str">
        <f t="shared" si="370"/>
        <v/>
      </c>
      <c r="G1997" s="708" t="str">
        <f t="shared" si="370"/>
        <v/>
      </c>
      <c r="H1997" s="708" t="str">
        <f t="shared" si="370"/>
        <v/>
      </c>
      <c r="I1997" s="708" t="str">
        <f t="shared" si="370"/>
        <v/>
      </c>
      <c r="J1997" s="708" t="str">
        <f t="shared" si="370"/>
        <v/>
      </c>
      <c r="K1997" s="708" t="str">
        <f t="shared" si="370"/>
        <v/>
      </c>
    </row>
    <row r="1998" spans="1:11">
      <c r="A1998" s="708" t="s">
        <v>1346</v>
      </c>
      <c r="B1998" s="708" t="e">
        <f>IF(OR(B1978="Choose mgt fee",B1978="Choose One!"),"",(B1972+B1973+B1974+B1975+B1976) / -(B1977+B1978+B1979))</f>
        <v>#VALUE!</v>
      </c>
      <c r="C1998" s="708" t="e">
        <f t="shared" ref="C1998:K1998" si="371">IF(OR(C1978="Choose mgt fee",C1978="Choose One!"),"",(C1972+C1973+C1974+C1975+C1976) / -(C1977+C1978+C1979))</f>
        <v>#VALUE!</v>
      </c>
      <c r="D1998" s="708" t="e">
        <f t="shared" si="371"/>
        <v>#VALUE!</v>
      </c>
      <c r="E1998" s="708" t="e">
        <f t="shared" si="371"/>
        <v>#VALUE!</v>
      </c>
      <c r="F1998" s="708" t="e">
        <f t="shared" si="371"/>
        <v>#VALUE!</v>
      </c>
      <c r="G1998" s="708" t="e">
        <f t="shared" si="371"/>
        <v>#VALUE!</v>
      </c>
      <c r="H1998" s="708" t="e">
        <f t="shared" si="371"/>
        <v>#VALUE!</v>
      </c>
      <c r="I1998" s="708" t="e">
        <f t="shared" si="371"/>
        <v>#VALUE!</v>
      </c>
      <c r="J1998" s="708" t="e">
        <f t="shared" si="371"/>
        <v>#VALUE!</v>
      </c>
      <c r="K1998" s="708" t="e">
        <f t="shared" si="371"/>
        <v>#VALUE!</v>
      </c>
    </row>
    <row r="1999" spans="1:11">
      <c r="A1999" s="708" t="str">
        <f>IF('Part III A-Sources of Funds'!$E$32 = "Neither", "", "First Mortgage Balance")</f>
        <v>First Mortgage Balance</v>
      </c>
      <c r="B1999" s="708">
        <f>'Part VII-Pro Forma'!B111</f>
        <v>0</v>
      </c>
      <c r="C1999" s="708">
        <f>'Part VII-Pro Forma'!C111</f>
        <v>0</v>
      </c>
      <c r="D1999" s="708">
        <f>'Part VII-Pro Forma'!D111</f>
        <v>0</v>
      </c>
      <c r="E1999" s="708">
        <f>'Part VII-Pro Forma'!E111</f>
        <v>0</v>
      </c>
      <c r="F1999" s="708">
        <f>'Part VII-Pro Forma'!F111</f>
        <v>0</v>
      </c>
      <c r="G1999" s="708">
        <f>'Part VII-Pro Forma'!G111</f>
        <v>0</v>
      </c>
      <c r="H1999" s="708">
        <f>'Part VII-Pro Forma'!H111</f>
        <v>0</v>
      </c>
      <c r="I1999" s="708">
        <f>'Part VII-Pro Forma'!I111</f>
        <v>0</v>
      </c>
      <c r="J1999" s="708">
        <f>'Part VII-Pro Forma'!J111</f>
        <v>0</v>
      </c>
      <c r="K1999" s="708">
        <f>'Part VII-Pro Forma'!K111</f>
        <v>0</v>
      </c>
    </row>
    <row r="2000" spans="1:11">
      <c r="A2000" s="708" t="str">
        <f>IF('Part III A-Sources of Funds'!$E$32 = "Neither", "First Mortgage Balance", "Second Mortgage Balance")</f>
        <v>Second Mortgage Balance</v>
      </c>
      <c r="B2000" s="708">
        <f>'Part VII-Pro Forma'!B112</f>
        <v>1086922.3048932771</v>
      </c>
      <c r="C2000" s="708">
        <f>'Part VII-Pro Forma'!C112</f>
        <v>1131769.0489237504</v>
      </c>
      <c r="D2000" s="708">
        <f>'Part VII-Pro Forma'!D112</f>
        <v>1178466.1832177048</v>
      </c>
      <c r="E2000" s="708">
        <f>'Part VII-Pro Forma'!E112</f>
        <v>1227090.0554387488</v>
      </c>
      <c r="F2000" s="708">
        <f>'Part VII-Pro Forma'!F112</f>
        <v>1277720.1633782526</v>
      </c>
      <c r="G2000" s="708">
        <f>'Part VII-Pro Forma'!G112</f>
        <v>1330439.2849305752</v>
      </c>
      <c r="H2000" s="708">
        <f>'Part VII-Pro Forma'!H112</f>
        <v>1385333.6134311077</v>
      </c>
      <c r="I2000" s="708">
        <f>'Part VII-Pro Forma'!I112</f>
        <v>1442492.8985784079</v>
      </c>
      <c r="J2000" s="708">
        <f>'Part VII-Pro Forma'!J112</f>
        <v>1502010.5931708226</v>
      </c>
      <c r="K2000" s="708">
        <f>'Part VII-Pro Forma'!K112</f>
        <v>1563984.005897508</v>
      </c>
    </row>
    <row r="2001" spans="1:11">
      <c r="A2001" s="708" t="str">
        <f>IF('Part III A-Sources of Funds'!$E$32 = "Neither", "Second Mortgage Balance", "Third Mortgage Balance")</f>
        <v>Third Mortgage Balance</v>
      </c>
      <c r="B2001" s="708">
        <f>'Part VII-Pro Forma'!B113</f>
        <v>44194.713935709282</v>
      </c>
      <c r="C2001" s="708">
        <f>'Part VII-Pro Forma'!C113</f>
        <v>44638.692303327553</v>
      </c>
      <c r="D2001" s="708">
        <f>'Part VII-Pro Forma'!D113</f>
        <v>45087.13086026167</v>
      </c>
      <c r="E2001" s="708">
        <f>'Part VII-Pro Forma'!E113</f>
        <v>45540.074413399052</v>
      </c>
      <c r="F2001" s="708">
        <f>'Part VII-Pro Forma'!F113</f>
        <v>45997.568219755354</v>
      </c>
      <c r="G2001" s="708">
        <f>'Part VII-Pro Forma'!G113</f>
        <v>46459.657990996435</v>
      </c>
      <c r="H2001" s="708">
        <f>'Part VII-Pro Forma'!H113</f>
        <v>46926.389898005771</v>
      </c>
      <c r="I2001" s="708">
        <f>'Part VII-Pro Forma'!I113</f>
        <v>47397.810575497722</v>
      </c>
      <c r="J2001" s="708">
        <f>'Part VII-Pro Forma'!J113</f>
        <v>47873.967126677169</v>
      </c>
      <c r="K2001" s="708">
        <f>'Part VII-Pro Forma'!K113</f>
        <v>48354.907127945939</v>
      </c>
    </row>
    <row r="2002" spans="1:11">
      <c r="A2002" s="708" t="s">
        <v>1365</v>
      </c>
      <c r="B2002" s="708" t="str">
        <f>'Part VII-Pro Forma'!B114</f>
        <v/>
      </c>
      <c r="C2002" s="708" t="str">
        <f>'Part VII-Pro Forma'!C114</f>
        <v/>
      </c>
      <c r="D2002" s="708" t="str">
        <f>'Part VII-Pro Forma'!D114</f>
        <v/>
      </c>
      <c r="E2002" s="708" t="str">
        <f>'Part VII-Pro Forma'!E114</f>
        <v/>
      </c>
      <c r="F2002" s="708" t="str">
        <f>'Part VII-Pro Forma'!F114</f>
        <v/>
      </c>
      <c r="G2002" s="708" t="str">
        <f>'Part VII-Pro Forma'!G114</f>
        <v/>
      </c>
      <c r="H2002" s="708" t="str">
        <f>'Part VII-Pro Forma'!H114</f>
        <v/>
      </c>
      <c r="I2002" s="708" t="str">
        <f>'Part VII-Pro Forma'!I114</f>
        <v/>
      </c>
      <c r="J2002" s="708" t="str">
        <f>'Part VII-Pro Forma'!J114</f>
        <v/>
      </c>
      <c r="K2002" s="708" t="str">
        <f>'Part VII-Pro Forma'!K114</f>
        <v/>
      </c>
    </row>
    <row r="2003" spans="1:11">
      <c r="A2003" s="708" t="s">
        <v>1365</v>
      </c>
      <c r="B2003" s="708" t="str">
        <f>'Part VII-Pro Forma'!B115</f>
        <v/>
      </c>
      <c r="C2003" s="708" t="str">
        <f>'Part VII-Pro Forma'!C115</f>
        <v/>
      </c>
      <c r="D2003" s="708" t="str">
        <f>'Part VII-Pro Forma'!D115</f>
        <v/>
      </c>
      <c r="E2003" s="708" t="str">
        <f>'Part VII-Pro Forma'!E115</f>
        <v/>
      </c>
      <c r="F2003" s="708" t="str">
        <f>'Part VII-Pro Forma'!F115</f>
        <v/>
      </c>
      <c r="G2003" s="708" t="str">
        <f>'Part VII-Pro Forma'!G115</f>
        <v/>
      </c>
      <c r="H2003" s="708" t="str">
        <f>'Part VII-Pro Forma'!H115</f>
        <v/>
      </c>
      <c r="I2003" s="708" t="str">
        <f>'Part VII-Pro Forma'!I115</f>
        <v/>
      </c>
      <c r="J2003" s="708" t="str">
        <f>'Part VII-Pro Forma'!J115</f>
        <v/>
      </c>
      <c r="K2003" s="708" t="str">
        <f>'Part VII-Pro Forma'!K115</f>
        <v/>
      </c>
    </row>
    <row r="2004" spans="1:11">
      <c r="A2004" s="708" t="s">
        <v>1900</v>
      </c>
      <c r="B2004" s="708" t="str">
        <f>'Part VII-Pro Forma'!B116</f>
        <v/>
      </c>
      <c r="C2004" s="708" t="str">
        <f>'Part VII-Pro Forma'!C116</f>
        <v/>
      </c>
      <c r="D2004" s="708" t="str">
        <f>'Part VII-Pro Forma'!D116</f>
        <v/>
      </c>
      <c r="E2004" s="708" t="str">
        <f>'Part VII-Pro Forma'!E116</f>
        <v/>
      </c>
      <c r="F2004" s="708" t="str">
        <f>'Part VII-Pro Forma'!F116</f>
        <v/>
      </c>
      <c r="G2004" s="708" t="str">
        <f>'Part VII-Pro Forma'!G116</f>
        <v/>
      </c>
      <c r="H2004" s="708" t="str">
        <f>'Part VII-Pro Forma'!H116</f>
        <v/>
      </c>
      <c r="I2004" s="708" t="str">
        <f>'Part VII-Pro Forma'!I116</f>
        <v/>
      </c>
      <c r="J2004" s="708" t="str">
        <f>'Part VII-Pro Forma'!J116</f>
        <v/>
      </c>
      <c r="K2004" s="708" t="str">
        <f>'Part VII-Pro Forma'!K116</f>
        <v/>
      </c>
    </row>
    <row r="2006" spans="1:11">
      <c r="A2006" s="708" t="s">
        <v>3753</v>
      </c>
      <c r="B2006" s="708">
        <f>K1971+1</f>
        <v>31</v>
      </c>
      <c r="C2006" s="708">
        <f>B2006+1</f>
        <v>32</v>
      </c>
      <c r="D2006" s="708">
        <f>C2006+1</f>
        <v>33</v>
      </c>
      <c r="E2006" s="708">
        <f>D2006+1</f>
        <v>34</v>
      </c>
      <c r="F2006" s="708">
        <f>E2006+1</f>
        <v>35</v>
      </c>
    </row>
    <row r="2007" spans="1:11">
      <c r="A2007" s="708" t="s">
        <v>3643</v>
      </c>
      <c r="B2007" s="708" t="e">
        <f>$B$14*(1+$B$5)^(B2006-1)</f>
        <v>#VALUE!</v>
      </c>
      <c r="C2007" s="708" t="e">
        <f>$B$14*(1+$B$5)^(C2006-1)</f>
        <v>#VALUE!</v>
      </c>
      <c r="D2007" s="708" t="e">
        <f>$B$14*(1+$B$5)^(D2006-1)</f>
        <v>#VALUE!</v>
      </c>
      <c r="E2007" s="708" t="e">
        <f>$B$14*(1+$B$5)^(E2006-1)</f>
        <v>#VALUE!</v>
      </c>
      <c r="F2007" s="708" t="e">
        <f>$B$14*(1+$B$5)^(F2006-1)</f>
        <v>#VALUE!</v>
      </c>
    </row>
    <row r="2008" spans="1:11">
      <c r="A2008" s="708" t="s">
        <v>1633</v>
      </c>
      <c r="B2008" s="708" t="e">
        <f>$B$15*(1+$B$5)^(B2006-1)</f>
        <v>#VALUE!</v>
      </c>
      <c r="C2008" s="708" t="e">
        <f>$B$15*(1+$B$5)^(C2006-1)</f>
        <v>#VALUE!</v>
      </c>
      <c r="D2008" s="708" t="e">
        <f>$B$15*(1+$B$5)^(D2006-1)</f>
        <v>#VALUE!</v>
      </c>
      <c r="E2008" s="708" t="e">
        <f>$B$15*(1+$B$5)^(E2006-1)</f>
        <v>#VALUE!</v>
      </c>
      <c r="F2008" s="708" t="e">
        <f>$B$15*(1+$B$5)^(F2006-1)</f>
        <v>#VALUE!</v>
      </c>
    </row>
    <row r="2009" spans="1:11">
      <c r="A2009" s="708" t="s">
        <v>3644</v>
      </c>
      <c r="B2009" s="708" t="e">
        <f>-(B2007+B2008)*$B$8</f>
        <v>#VALUE!</v>
      </c>
      <c r="C2009" s="708" t="e">
        <f>-(C2007+C2008)*$B$8</f>
        <v>#VALUE!</v>
      </c>
      <c r="D2009" s="708" t="e">
        <f>-(D2007+D2008)*$B$8</f>
        <v>#VALUE!</v>
      </c>
      <c r="E2009" s="708" t="e">
        <f>-(E2007+E2008)*$B$8</f>
        <v>#VALUE!</v>
      </c>
      <c r="F2009" s="708" t="e">
        <f>-(F2007+F2008)*$B$8</f>
        <v>#VALUE!</v>
      </c>
    </row>
    <row r="2010" spans="1:11">
      <c r="A2010" s="708" t="s">
        <v>61</v>
      </c>
      <c r="B2010" s="708">
        <f>'Part VII-Pro Forma'!B122</f>
        <v>0</v>
      </c>
      <c r="C2010" s="708">
        <f>'Part VII-Pro Forma'!C122</f>
        <v>0</v>
      </c>
      <c r="D2010" s="708">
        <f>'Part VII-Pro Forma'!D122</f>
        <v>0</v>
      </c>
      <c r="E2010" s="708">
        <f>'Part VII-Pro Forma'!E122</f>
        <v>0</v>
      </c>
      <c r="F2010" s="708">
        <f>'Part VII-Pro Forma'!F122</f>
        <v>0</v>
      </c>
    </row>
    <row r="2011" spans="1:11">
      <c r="A2011" s="708" t="s">
        <v>62</v>
      </c>
      <c r="B2011" s="708">
        <f>'Part VII-Pro Forma'!B123</f>
        <v>0</v>
      </c>
      <c r="C2011" s="708">
        <f>'Part VII-Pro Forma'!C123</f>
        <v>0</v>
      </c>
      <c r="D2011" s="708">
        <f>'Part VII-Pro Forma'!D123</f>
        <v>0</v>
      </c>
      <c r="E2011" s="708">
        <f>'Part VII-Pro Forma'!E123</f>
        <v>0</v>
      </c>
      <c r="F2011" s="708">
        <f>'Part VII-Pro Forma'!F123</f>
        <v>0</v>
      </c>
    </row>
    <row r="2012" spans="1:11">
      <c r="A2012" s="708" t="s">
        <v>949</v>
      </c>
      <c r="B2012" s="708">
        <f>$B$19*(1+$B$6)^(B2006-1)</f>
        <v>0</v>
      </c>
      <c r="C2012" s="708">
        <f>$B$19*(1+$B$6)^(C2006-1)</f>
        <v>0</v>
      </c>
      <c r="D2012" s="708">
        <f>$B$19*(1+$B$6)^(D2006-1)</f>
        <v>0</v>
      </c>
      <c r="E2012" s="708">
        <f>$B$19*(1+$B$6)^(E2006-1)</f>
        <v>0</v>
      </c>
      <c r="F2012" s="708">
        <f>$B$19*(1+$B$6)^(F2006-1)</f>
        <v>0</v>
      </c>
    </row>
    <row r="2013" spans="1:11">
      <c r="A2013" s="708" t="s">
        <v>1747</v>
      </c>
      <c r="B2013" s="708">
        <f>IF(AND('Part VII-Pro Forma'!$G$8="Yes",'Part VII-Pro Forma'!$G$9="Yes"),"Choose One!",IF('Part VII-Pro Forma'!$G$8="Yes",ROUND((-$K$8*(1+'Part VII-Pro Forma'!$B$6)^('Part VII-Pro Forma'!B2002-1)),),IF('Part VII-Pro Forma'!$G$9="Yes",ROUND((-(SUM(B2007:B2010)*'Part VII-Pro Forma'!$K$9)),),"Choose mgt fee")))</f>
        <v>0</v>
      </c>
      <c r="C2013" s="708">
        <f>IF(AND('Part VII-Pro Forma'!$G$8="Yes",'Part VII-Pro Forma'!$G$9="Yes"),"Choose One!",IF('Part VII-Pro Forma'!$G$8="Yes",ROUND((-$K$8*(1+'Part VII-Pro Forma'!$B$6)^('Part VII-Pro Forma'!C2002-1)),),IF('Part VII-Pro Forma'!$G$9="Yes",ROUND((-(SUM(C2007:C2010)*'Part VII-Pro Forma'!$K$9)),),"Choose mgt fee")))</f>
        <v>0</v>
      </c>
      <c r="D2013" s="708">
        <f>IF(AND('Part VII-Pro Forma'!$G$8="Yes",'Part VII-Pro Forma'!$G$9="Yes"),"Choose One!",IF('Part VII-Pro Forma'!$G$8="Yes",ROUND((-$K$8*(1+'Part VII-Pro Forma'!$B$6)^('Part VII-Pro Forma'!D2002-1)),),IF('Part VII-Pro Forma'!$G$9="Yes",ROUND((-(SUM(D2007:D2010)*'Part VII-Pro Forma'!$K$9)),),"Choose mgt fee")))</f>
        <v>0</v>
      </c>
      <c r="E2013" s="708">
        <f>IF(AND('Part VII-Pro Forma'!$G$8="Yes",'Part VII-Pro Forma'!$G$9="Yes"),"Choose One!",IF('Part VII-Pro Forma'!$G$8="Yes",ROUND((-$K$8*(1+'Part VII-Pro Forma'!$B$6)^('Part VII-Pro Forma'!E2002-1)),),IF('Part VII-Pro Forma'!$G$9="Yes",ROUND((-(SUM(E2007:E2010)*'Part VII-Pro Forma'!$K$9)),),"Choose mgt fee")))</f>
        <v>0</v>
      </c>
      <c r="F2013" s="708">
        <f>IF(AND('Part VII-Pro Forma'!$G$8="Yes",'Part VII-Pro Forma'!$G$9="Yes"),"Choose One!",IF('Part VII-Pro Forma'!$G$8="Yes",ROUND((-$K$8*(1+'Part VII-Pro Forma'!$B$6)^('Part VII-Pro Forma'!F2002-1)),),IF('Part VII-Pro Forma'!$G$9="Yes",ROUND((-(SUM(F2007:F2010)*'Part VII-Pro Forma'!$K$9)),),"Choose mgt fee")))</f>
        <v>0</v>
      </c>
    </row>
    <row r="2014" spans="1:11">
      <c r="A2014" s="708" t="s">
        <v>1863</v>
      </c>
      <c r="B2014" s="708">
        <f>$B$21*(1+$B$7)^(B2006-1)</f>
        <v>0</v>
      </c>
      <c r="C2014" s="708">
        <f>$B$21*(1+$B$7)^(C2006-1)</f>
        <v>0</v>
      </c>
      <c r="D2014" s="708">
        <f>$B$21*(1+$B$7)^(D2006-1)</f>
        <v>0</v>
      </c>
      <c r="E2014" s="708">
        <f>$B$21*(1+$B$7)^(E2006-1)</f>
        <v>0</v>
      </c>
      <c r="F2014" s="708">
        <f>$B$21*(1+$B$7)^(F2006-1)</f>
        <v>0</v>
      </c>
    </row>
    <row r="2015" spans="1:11">
      <c r="A2015" s="708" t="s">
        <v>1864</v>
      </c>
      <c r="B2015" s="708" t="e">
        <f>SUM(B2007:B2014)</f>
        <v>#VALUE!</v>
      </c>
      <c r="C2015" s="708" t="e">
        <f>SUM(C2007:C2014)</f>
        <v>#VALUE!</v>
      </c>
      <c r="D2015" s="708" t="e">
        <f>SUM(D2007:D2014)</f>
        <v>#VALUE!</v>
      </c>
      <c r="E2015" s="708" t="e">
        <f>SUM(E2007:E2014)</f>
        <v>#VALUE!</v>
      </c>
      <c r="F2015" s="708" t="e">
        <f>SUM(F2007:F2014)</f>
        <v>#VALUE!</v>
      </c>
    </row>
    <row r="2016" spans="1:11">
      <c r="A2016" s="708" t="str">
        <f t="shared" ref="A2016:A2021" si="372">$A1981</f>
        <v>D/S USDA/HUD Mortgage</v>
      </c>
      <c r="B2016" s="708">
        <f>IF('Part III A-Sources of Funds'!$M$32="", 0,-'Part III A-Sources of Funds'!$M$32)</f>
        <v>0</v>
      </c>
      <c r="C2016" s="708">
        <f>IF('Part III A-Sources of Funds'!$M$32="", 0,-'Part III A-Sources of Funds'!$M$32)</f>
        <v>0</v>
      </c>
      <c r="D2016" s="708">
        <f>IF('Part III A-Sources of Funds'!$M$32="", 0,-'Part III A-Sources of Funds'!$M$32)</f>
        <v>0</v>
      </c>
      <c r="E2016" s="708">
        <f>IF('Part III A-Sources of Funds'!$M$32="", 0,-'Part III A-Sources of Funds'!$M$32)</f>
        <v>0</v>
      </c>
      <c r="F2016" s="708">
        <f>IF('Part III A-Sources of Funds'!$M$32="", 0,-'Part III A-Sources of Funds'!$M$32)</f>
        <v>0</v>
      </c>
    </row>
    <row r="2017" spans="1:6">
      <c r="A2017" s="708" t="str">
        <f t="shared" si="372"/>
        <v/>
      </c>
      <c r="B2017" s="708">
        <f>IF('Part III A-Sources of Funds'!$E$32="USDA 538 Loan", -'Part III B-USDA 538 Loan'!$C1931,IF('Part III A-Sources of Funds'!$E$32="HUD Insured Loan", -'Part III C-HUD Insured Loan'!$E1922,0))</f>
        <v>0</v>
      </c>
      <c r="C2017" s="708">
        <f>IF('Part III A-Sources of Funds'!$E$32="USDA 538 Loan", -'Part III B-USDA 538 Loan'!$C1932,IF('Part III A-Sources of Funds'!$E$32="HUD Insured Loan", -'Part III C-HUD Insured Loan'!$E1923,0))</f>
        <v>0</v>
      </c>
      <c r="D2017" s="708">
        <f>IF('Part III A-Sources of Funds'!$E$32="USDA 538 Loan", -'Part III B-USDA 538 Loan'!$C1933,IF('Part III A-Sources of Funds'!$E$32="HUD Insured Loan", -'Part III C-HUD Insured Loan'!$E1924,0))</f>
        <v>0</v>
      </c>
      <c r="E2017" s="708">
        <f>IF('Part III A-Sources of Funds'!$E$32="USDA 538 Loan", -'Part III B-USDA 538 Loan'!$C1934,IF('Part III A-Sources of Funds'!$E$32="HUD Insured Loan", -'Part III C-HUD Insured Loan'!$E1925,0))</f>
        <v>0</v>
      </c>
      <c r="F2017" s="708">
        <f>IF('Part III A-Sources of Funds'!$E$32="USDA 538 Loan", -'Part III B-USDA 538 Loan'!$C1935,IF('Part III A-Sources of Funds'!$E$32="HUD Insured Loan", -'Part III C-HUD Insured Loan'!$E1926,0))</f>
        <v>0</v>
      </c>
    </row>
    <row r="2018" spans="1:6">
      <c r="A2018" s="708" t="str">
        <f t="shared" si="372"/>
        <v>D/S Mortgage B</v>
      </c>
      <c r="B2018" s="708">
        <f>'Part VII-Pro Forma'!B130</f>
        <v>0</v>
      </c>
      <c r="C2018" s="708">
        <f>'Part VII-Pro Forma'!C130</f>
        <v>0</v>
      </c>
      <c r="D2018" s="708">
        <f>'Part VII-Pro Forma'!D130</f>
        <v>0</v>
      </c>
      <c r="E2018" s="708">
        <f>'Part VII-Pro Forma'!E130</f>
        <v>0</v>
      </c>
      <c r="F2018" s="708">
        <f>'Part VII-Pro Forma'!F130</f>
        <v>0</v>
      </c>
    </row>
    <row r="2019" spans="1:6">
      <c r="A2019" s="708" t="str">
        <f t="shared" si="372"/>
        <v>D/S Mortgage C</v>
      </c>
      <c r="B2019" s="708">
        <f>'Part VII-Pro Forma'!B131</f>
        <v>0</v>
      </c>
      <c r="C2019" s="708">
        <f>'Part VII-Pro Forma'!C131</f>
        <v>0</v>
      </c>
      <c r="D2019" s="708">
        <f>'Part VII-Pro Forma'!D131</f>
        <v>0</v>
      </c>
      <c r="E2019" s="708">
        <f>'Part VII-Pro Forma'!E131</f>
        <v>0</v>
      </c>
      <c r="F2019" s="708">
        <f>'Part VII-Pro Forma'!F131</f>
        <v>0</v>
      </c>
    </row>
    <row r="2020" spans="1:6">
      <c r="A2020" s="708" t="str">
        <f t="shared" si="372"/>
        <v>D/S Other Source</v>
      </c>
      <c r="B2020" s="708">
        <f>'Part VII-Pro Forma'!B132</f>
        <v>0</v>
      </c>
      <c r="C2020" s="708">
        <f>'Part VII-Pro Forma'!C132</f>
        <v>0</v>
      </c>
      <c r="D2020" s="708">
        <f>'Part VII-Pro Forma'!D132</f>
        <v>0</v>
      </c>
      <c r="E2020" s="708">
        <f>'Part VII-Pro Forma'!E132</f>
        <v>0</v>
      </c>
      <c r="F2020" s="708">
        <f>'Part VII-Pro Forma'!F132</f>
        <v>0</v>
      </c>
    </row>
    <row r="2021" spans="1:6">
      <c r="A2021" s="708" t="str">
        <f t="shared" si="372"/>
        <v>D/S Grant from fdn / charity</v>
      </c>
      <c r="B2021" s="708">
        <f>'Part VII-Pro Forma'!B133</f>
        <v>0</v>
      </c>
      <c r="C2021" s="708">
        <f>'Part VII-Pro Forma'!C133</f>
        <v>0</v>
      </c>
      <c r="D2021" s="708">
        <f>'Part VII-Pro Forma'!D133</f>
        <v>0</v>
      </c>
      <c r="E2021" s="708">
        <f>'Part VII-Pro Forma'!E133</f>
        <v>0</v>
      </c>
      <c r="F2021" s="708">
        <f>'Part VII-Pro Forma'!F133</f>
        <v>0</v>
      </c>
    </row>
    <row r="2022" spans="1:6">
      <c r="A2022" s="708" t="s">
        <v>1337</v>
      </c>
      <c r="B2022" s="708">
        <f>'Part VII-Pro Forma'!B134</f>
        <v>0</v>
      </c>
      <c r="C2022" s="708">
        <f>'Part VII-Pro Forma'!C134</f>
        <v>0</v>
      </c>
      <c r="D2022" s="708">
        <f>'Part VII-Pro Forma'!D134</f>
        <v>0</v>
      </c>
      <c r="E2022" s="708">
        <f>'Part VII-Pro Forma'!E134</f>
        <v>0</v>
      </c>
      <c r="F2022" s="708">
        <f>'Part VII-Pro Forma'!F134</f>
        <v>0</v>
      </c>
    </row>
    <row r="2023" spans="1:6">
      <c r="A2023" s="708" t="s">
        <v>1808</v>
      </c>
      <c r="B2023" s="708">
        <f>'Part VII-Pro Forma'!B135</f>
        <v>0</v>
      </c>
      <c r="C2023" s="708">
        <f>'Part VII-Pro Forma'!C135</f>
        <v>0</v>
      </c>
      <c r="D2023" s="708">
        <f>'Part VII-Pro Forma'!D135</f>
        <v>0</v>
      </c>
      <c r="E2023" s="708">
        <f>'Part VII-Pro Forma'!E135</f>
        <v>0</v>
      </c>
      <c r="F2023" s="708">
        <f>'Part VII-Pro Forma'!F135</f>
        <v>0</v>
      </c>
    </row>
    <row r="2024" spans="1:6">
      <c r="A2024" s="708" t="s">
        <v>1865</v>
      </c>
      <c r="B2024" s="708">
        <f>'Part VII-Pro Forma'!B136</f>
        <v>0</v>
      </c>
      <c r="C2024" s="708">
        <f>'Part VII-Pro Forma'!C136</f>
        <v>0</v>
      </c>
      <c r="D2024" s="708">
        <f>'Part VII-Pro Forma'!D136</f>
        <v>0</v>
      </c>
      <c r="E2024" s="708">
        <f>'Part VII-Pro Forma'!E136</f>
        <v>0</v>
      </c>
      <c r="F2024" s="708">
        <f>'Part VII-Pro Forma'!F136</f>
        <v>0</v>
      </c>
    </row>
    <row r="2025" spans="1:6">
      <c r="A2025" s="708" t="s">
        <v>1809</v>
      </c>
      <c r="B2025" s="708">
        <f>'Part VII-Pro Forma'!B137</f>
        <v>0</v>
      </c>
      <c r="C2025" s="708">
        <f>'Part VII-Pro Forma'!C137</f>
        <v>0</v>
      </c>
      <c r="D2025" s="708">
        <f>'Part VII-Pro Forma'!D137</f>
        <v>0</v>
      </c>
      <c r="E2025" s="708">
        <f>'Part VII-Pro Forma'!E137</f>
        <v>0</v>
      </c>
      <c r="F2025" s="708">
        <f>'Part VII-Pro Forma'!F137</f>
        <v>0</v>
      </c>
    </row>
    <row r="2026" spans="1:6">
      <c r="A2026" s="708" t="s">
        <v>1810</v>
      </c>
      <c r="B2026" s="708" t="e">
        <f>SUM(B2015:B2025)</f>
        <v>#VALUE!</v>
      </c>
      <c r="C2026" s="708" t="e">
        <f>SUM(C2015:C2025)</f>
        <v>#VALUE!</v>
      </c>
      <c r="D2026" s="708" t="e">
        <f>SUM(D2015:D2025)</f>
        <v>#VALUE!</v>
      </c>
      <c r="E2026" s="708" t="e">
        <f>SUM(E2015:E2025)</f>
        <v>#VALUE!</v>
      </c>
      <c r="F2026" s="708" t="e">
        <f>SUM(F2015:F2025)</f>
        <v>#VALUE!</v>
      </c>
    </row>
    <row r="2027" spans="1:6">
      <c r="A2027" s="708" t="str">
        <f t="shared" ref="A2027:A2032" si="373">$A1992</f>
        <v>DCR First Mortgage</v>
      </c>
      <c r="B2027" s="708" t="str">
        <f>IF(B2016=0,"",-B2015/B2016)</f>
        <v/>
      </c>
      <c r="C2027" s="708" t="str">
        <f>IF(C2016=0,"",-C2015/C2016)</f>
        <v/>
      </c>
      <c r="D2027" s="708" t="str">
        <f>IF(D2016=0,"",-D2015/D2016)</f>
        <v/>
      </c>
      <c r="E2027" s="708" t="str">
        <f>IF(E2016=0,"",-E2015/E2016)</f>
        <v/>
      </c>
      <c r="F2027" s="708" t="str">
        <f>IF(F2016=0,"",-F2015/F2016)</f>
        <v/>
      </c>
    </row>
    <row r="2028" spans="1:6">
      <c r="A2028" s="708" t="str">
        <f t="shared" si="373"/>
        <v>DCR USDA/HUD Fee</v>
      </c>
      <c r="B2028" s="708" t="str">
        <f>IF(OR(B2017=0,AND(B2017=0,B2016=0)),"",-B2015/(B2016+B2017))</f>
        <v/>
      </c>
      <c r="C2028" s="708" t="str">
        <f>IF(OR(C2017=0,AND(C2017=0,C2016=0)),"",-C2015/(C2016+C2017))</f>
        <v/>
      </c>
      <c r="D2028" s="708" t="str">
        <f>IF(OR(D2017=0,AND(D2017=0,D2016=0)),"",-D2015/(D2016+D2017))</f>
        <v/>
      </c>
      <c r="E2028" s="708" t="str">
        <f>IF(OR(E2017=0,AND(E2017=0,E2016=0)),"",-E2015/(E2016+E2017))</f>
        <v/>
      </c>
      <c r="F2028" s="708" t="str">
        <f>IF(OR(F2017=0,AND(F2017=0,F2016=0)),"",-F2015/(F2016+F2017))</f>
        <v/>
      </c>
    </row>
    <row r="2029" spans="1:6">
      <c r="A2029" s="708" t="str">
        <f t="shared" si="373"/>
        <v>DCR Second Mortgage</v>
      </c>
      <c r="B2029" s="708" t="str">
        <f>IF(OR(B2018=0,AND(B2018=0,B2017=0,B2016=0)),"",-B2015/(B2016+B2017+B2018))</f>
        <v/>
      </c>
      <c r="C2029" s="708" t="str">
        <f>IF(OR(C2018=0,AND(C2018=0,C2017=0,C2016=0)),"",-C2015/(C2016+C2017+C2018))</f>
        <v/>
      </c>
      <c r="D2029" s="708" t="str">
        <f>IF(OR(D2018=0,AND(D2018=0,D2017=0,D2016=0)),"",-D2015/(D2016+D2017+D2018))</f>
        <v/>
      </c>
      <c r="E2029" s="708" t="str">
        <f>IF(OR(E2018=0,AND(E2018=0,E2017=0,E2016=0)),"",-E2015/(E2016+E2017+E2018))</f>
        <v/>
      </c>
      <c r="F2029" s="708" t="str">
        <f>IF(OR(F2018=0,AND(F2018=0,F2017=0,F2016=0)),"",-F2015/(F2016+F2017+F2018))</f>
        <v/>
      </c>
    </row>
    <row r="2030" spans="1:6">
      <c r="A2030" s="708" t="str">
        <f t="shared" si="373"/>
        <v>DCR Third Mortgage</v>
      </c>
      <c r="B2030" s="708" t="str">
        <f>IF(OR(B2019=0,AND(B2016=0,B2017=0,B2018=0,B2019=0)),"",-B2015/(B2016+B2017+B2018+B2019))</f>
        <v/>
      </c>
      <c r="C2030" s="708" t="str">
        <f>IF(OR(C2019=0,AND(C2016=0,C2017=0,C2018=0,C2019=0)),"",-C2015/(C2016+C2017+C2018+C2019))</f>
        <v/>
      </c>
      <c r="D2030" s="708" t="str">
        <f>IF(OR(D2019=0,AND(D2016=0,D2017=0,D2018=0,D2019=0)),"",-D2015/(D2016+D2017+D2018+D2019))</f>
        <v/>
      </c>
      <c r="E2030" s="708" t="str">
        <f>IF(OR(E2019=0,AND(E2016=0,E2017=0,E2018=0,E2019=0)),"",-E2015/(E2016+E2017+E2018+E2019))</f>
        <v/>
      </c>
      <c r="F2030" s="708" t="str">
        <f>IF(OR(F2019=0,AND(F2016=0,F2017=0,F2018=0,F2019=0)),"",-F2015/(F2016+F2017+F2018+F2019))</f>
        <v/>
      </c>
    </row>
    <row r="2031" spans="1:6">
      <c r="A2031" s="708" t="str">
        <f t="shared" si="373"/>
        <v>DCR Other Source</v>
      </c>
      <c r="B2031" s="708" t="str">
        <f>IF(OR(B2020=0,AND(B2016=0,B2017=0,B2018=0,B2019=0,B2020=0)),"",-B2015/(B2016+B2017+B2018+B2019+B2020))</f>
        <v/>
      </c>
      <c r="C2031" s="708" t="str">
        <f>IF(OR(C2020=0,AND(C2016=0,C2017=0,C2018=0,C2019=0,C2020=0)),"",-C2015/(C2016+C2017+C2018+C2019+C2020))</f>
        <v/>
      </c>
      <c r="D2031" s="708" t="str">
        <f>IF(OR(D2020=0,AND(D2016=0,D2017=0,D2018=0,D2019=0,D2020=0)),"",-D2015/(D2016+D2017+D2018+D2019+D2020))</f>
        <v/>
      </c>
      <c r="E2031" s="708" t="str">
        <f>IF(OR(E2020=0,AND(E2016=0,E2017=0,E2018=0,E2019=0,E2020=0)),"",-E2015/(E2016+E2017+E2018+E2019+E2020))</f>
        <v/>
      </c>
      <c r="F2031" s="708" t="str">
        <f>IF(OR(F2020=0,AND(F2016=0,F2017=0,F2018=0,F2019=0,F2020=0)),"",-F2015/(F2016+F2017+F2018+F2019+F2020))</f>
        <v/>
      </c>
    </row>
    <row r="2032" spans="1:6">
      <c r="A2032" s="708" t="str">
        <f t="shared" si="373"/>
        <v>DCR Other Source</v>
      </c>
      <c r="B2032" s="708" t="str">
        <f>IF(OR(B2021=0,AND(B2016=0,B2017=0,B2018=0,B2019=0,B2020=0,B2021=0)),"",-B2015/(B2016+B2017+B2018+B2019+B2020+B2021))</f>
        <v/>
      </c>
      <c r="C2032" s="708" t="str">
        <f>IF(OR(C2021=0,AND(C2016=0,C2017=0,C2018=0,C2019=0,C2020=0,C2021=0)),"",-C2015/(C2016+C2017+C2018+C2019+C2020+C2021))</f>
        <v/>
      </c>
      <c r="D2032" s="708" t="str">
        <f>IF(OR(D2021=0,AND(D2016=0,D2017=0,D2018=0,D2019=0,D2020=0,D2021=0)),"",-D2015/(D2016+D2017+D2018+D2019+D2020+D2021))</f>
        <v/>
      </c>
      <c r="E2032" s="708" t="str">
        <f>IF(OR(E2021=0,AND(E2016=0,E2017=0,E2018=0,E2019=0,E2020=0,E2021=0)),"",-E2015/(E2016+E2017+E2018+E2019+E2020+E2021))</f>
        <v/>
      </c>
      <c r="F2032" s="708" t="str">
        <f>IF(OR(F2021=0,AND(F2016=0,F2017=0,F2018=0,F2019=0,F2020=0,F2021=0)),"",-F2015/(F2016+F2017+F2018+F2019+F2020+F2021))</f>
        <v/>
      </c>
    </row>
    <row r="2033" spans="1:7">
      <c r="A2033" s="708" t="s">
        <v>1346</v>
      </c>
      <c r="B2033" s="708" t="e">
        <f>IF(OR(B2013="Choose mgt fee",B2013="Choose One!"),"",(B2007+B2008+B2009+B2010+B2011) / -(B2012+B2013+B2014))</f>
        <v>#VALUE!</v>
      </c>
      <c r="C2033" s="708" t="e">
        <f>IF(OR(C2013="Choose mgt fee",C2013="Choose One!"),"",(C2007+C2008+C2009+C2010+C2011) / -(C2012+C2013+C2014))</f>
        <v>#VALUE!</v>
      </c>
      <c r="D2033" s="708" t="e">
        <f>IF(OR(D2013="Choose mgt fee",D2013="Choose One!"),"",(D2007+D2008+D2009+D2010+D2011) / -(D2012+D2013+D2014))</f>
        <v>#VALUE!</v>
      </c>
      <c r="E2033" s="708" t="e">
        <f>IF(OR(E2013="Choose mgt fee",E2013="Choose One!"),"",(E2007+E2008+E2009+E2010+E2011) / -(E2012+E2013+E2014))</f>
        <v>#VALUE!</v>
      </c>
      <c r="F2033" s="708" t="e">
        <f>IF(OR(F2013="Choose mgt fee",F2013="Choose One!"),"",(F2007+F2008+F2009+F2010+F2011) / -(F2012+F2013+F2014))</f>
        <v>#VALUE!</v>
      </c>
    </row>
    <row r="2034" spans="1:7">
      <c r="A2034" s="708" t="str">
        <f>IF('Part III A-Sources of Funds'!$E$32 = "Neither", "", "First Mortgage Balance")</f>
        <v>First Mortgage Balance</v>
      </c>
      <c r="B2034" s="708">
        <f>'Part VII-Pro Forma'!B146</f>
        <v>0</v>
      </c>
      <c r="C2034" s="708">
        <f>'Part VII-Pro Forma'!C146</f>
        <v>0</v>
      </c>
      <c r="D2034" s="708">
        <f>'Part VII-Pro Forma'!D146</f>
        <v>0</v>
      </c>
      <c r="E2034" s="708">
        <f>'Part VII-Pro Forma'!E146</f>
        <v>0</v>
      </c>
      <c r="F2034" s="708">
        <f>'Part VII-Pro Forma'!F146</f>
        <v>0</v>
      </c>
    </row>
    <row r="2035" spans="1:7">
      <c r="A2035" s="708" t="str">
        <f>IF('Part III A-Sources of Funds'!$E$32 = "Neither", "First Mortgage Balance", "Second Mortgage Balance")</f>
        <v>Second Mortgage Balance</v>
      </c>
      <c r="B2035" s="708">
        <f>'Part VII-Pro Forma'!B147</f>
        <v>1628514.4604336552</v>
      </c>
      <c r="C2035" s="708">
        <f>'Part VII-Pro Forma'!C147</f>
        <v>1695707.4611000309</v>
      </c>
      <c r="D2035" s="708">
        <f>'Part VII-Pro Forma'!D147</f>
        <v>1765672.8653576828</v>
      </c>
      <c r="E2035" s="708">
        <f>'Part VII-Pro Forma'!E147</f>
        <v>1838525.0634198282</v>
      </c>
      <c r="F2035" s="708">
        <f>'Part VII-Pro Forma'!F147</f>
        <v>1914383.1652745828</v>
      </c>
    </row>
    <row r="2036" spans="1:7">
      <c r="A2036" s="708" t="str">
        <f>IF('Part III A-Sources of Funds'!$E$32 = "Neither", "Second Mortgage Balance", "Third Mortgage Balance")</f>
        <v>Third Mortgage Balance</v>
      </c>
      <c r="B2036" s="708">
        <f>'Part VII-Pro Forma'!B148</f>
        <v>48840.678633656535</v>
      </c>
      <c r="C2036" s="708">
        <f>'Part VII-Pro Forma'!C148</f>
        <v>49331.330180913603</v>
      </c>
      <c r="D2036" s="708">
        <f>'Part VII-Pro Forma'!D148</f>
        <v>49826.910794423653</v>
      </c>
      <c r="E2036" s="708">
        <f>'Part VII-Pro Forma'!E148</f>
        <v>50327.469991393467</v>
      </c>
      <c r="F2036" s="708">
        <f>'Part VII-Pro Forma'!F148</f>
        <v>50833.057786477759</v>
      </c>
    </row>
    <row r="2037" spans="1:7">
      <c r="A2037" s="708" t="s">
        <v>1365</v>
      </c>
      <c r="B2037" s="708" t="str">
        <f>'Part VII-Pro Forma'!B149</f>
        <v/>
      </c>
      <c r="C2037" s="708" t="str">
        <f>'Part VII-Pro Forma'!C149</f>
        <v/>
      </c>
      <c r="D2037" s="708" t="str">
        <f>'Part VII-Pro Forma'!D149</f>
        <v/>
      </c>
      <c r="E2037" s="708" t="str">
        <f>'Part VII-Pro Forma'!E149</f>
        <v/>
      </c>
      <c r="F2037" s="708" t="str">
        <f>'Part VII-Pro Forma'!F149</f>
        <v/>
      </c>
    </row>
    <row r="2038" spans="1:7">
      <c r="A2038" s="708" t="s">
        <v>1365</v>
      </c>
      <c r="B2038" s="708" t="str">
        <f>'Part VII-Pro Forma'!B150</f>
        <v/>
      </c>
      <c r="C2038" s="708" t="str">
        <f>'Part VII-Pro Forma'!C150</f>
        <v/>
      </c>
      <c r="D2038" s="708" t="str">
        <f>'Part VII-Pro Forma'!D150</f>
        <v/>
      </c>
      <c r="E2038" s="708" t="str">
        <f>'Part VII-Pro Forma'!E150</f>
        <v/>
      </c>
      <c r="F2038" s="708" t="str">
        <f>'Part VII-Pro Forma'!F150</f>
        <v/>
      </c>
    </row>
    <row r="2039" spans="1:7">
      <c r="A2039" s="708" t="s">
        <v>1900</v>
      </c>
      <c r="B2039" s="708" t="str">
        <f>'Part VII-Pro Forma'!B151</f>
        <v/>
      </c>
      <c r="C2039" s="708" t="str">
        <f>'Part VII-Pro Forma'!C151</f>
        <v/>
      </c>
      <c r="D2039" s="708" t="str">
        <f>'Part VII-Pro Forma'!D151</f>
        <v/>
      </c>
      <c r="E2039" s="708" t="str">
        <f>'Part VII-Pro Forma'!E151</f>
        <v/>
      </c>
      <c r="F2039" s="708" t="str">
        <f>'Part VII-Pro Forma'!F151</f>
        <v/>
      </c>
    </row>
    <row r="2041" spans="1:7">
      <c r="A2041" s="708" t="s">
        <v>879</v>
      </c>
      <c r="G2041" s="708" t="s">
        <v>1655</v>
      </c>
    </row>
    <row r="2043" spans="1:7">
      <c r="A2043" s="708" t="str">
        <f>'Part VII-Pro Forma'!A155</f>
        <v>This is a 20 year term HOME Loan, therefore there are no debt service payments shown after Year 20.  During the HOME Loan term the Debt Coverage Ratio requirements are met per the 2011 QAP guidelines.</v>
      </c>
      <c r="G2043" s="708">
        <f>'Part VII-Pro Forma'!G155</f>
        <v>0</v>
      </c>
    </row>
    <row r="2044" spans="1:7">
      <c r="A2044" s="708">
        <f>'Part VII-Pro Forma'!A156</f>
        <v>0</v>
      </c>
      <c r="G2044" s="708">
        <f>'Part VII-Pro Forma'!G156</f>
        <v>0</v>
      </c>
    </row>
    <row r="2045" spans="1:7">
      <c r="A2045" s="708">
        <f>'Part VII-Pro Forma'!A157</f>
        <v>0</v>
      </c>
      <c r="G2045" s="708">
        <f>'Part VII-Pro Forma'!G157</f>
        <v>0</v>
      </c>
    </row>
    <row r="2046" spans="1:7">
      <c r="A2046" s="708">
        <f>'Part VII-Pro Forma'!A158</f>
        <v>0</v>
      </c>
      <c r="G2046" s="708">
        <f>'Part VII-Pro Forma'!G158</f>
        <v>0</v>
      </c>
    </row>
    <row r="2049" spans="1:17">
      <c r="A2049" s="708" t="str">
        <f>CONCATENATE("PART EIGHT - THRESHOLD CRITERIA","  -  ",'Part I-Project Information'!$O$4," ",'Part I-Project Information'!$F$22,", ",'Part I-Project Information'!F2068,", ",'Part I-Project Information'!J2069," County")</f>
        <v>PART EIGHT - THRESHOLD CRITERIA  -  2011-044 Brentwood Place Apartments, ,  County</v>
      </c>
    </row>
    <row r="2051" spans="1:17">
      <c r="A2051" s="70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0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08" t="s">
        <v>1531</v>
      </c>
      <c r="Q2051" s="708" t="s">
        <v>2890</v>
      </c>
    </row>
    <row r="2054" spans="1:17">
      <c r="A2054" s="708" t="s">
        <v>865</v>
      </c>
      <c r="P2054" s="708">
        <f>'Part VIII-Threshold Criteria'!P6</f>
        <v>0</v>
      </c>
    </row>
    <row r="2055" spans="1:17">
      <c r="A2055" s="708" t="s">
        <v>367</v>
      </c>
    </row>
    <row r="2056" spans="1:17">
      <c r="A2056" s="708" t="str">
        <f>'Part VIII-Threshold Criteria'!A8</f>
        <v xml:space="preserve">1.) </v>
      </c>
    </row>
    <row r="2057" spans="1:17">
      <c r="A2057" s="708" t="str">
        <f>'Part VIII-Threshold Criteria'!A9</f>
        <v>2.)</v>
      </c>
    </row>
    <row r="2058" spans="1:17">
      <c r="A2058" s="708" t="str">
        <f>'Part VIII-Threshold Criteria'!A10</f>
        <v>3.)</v>
      </c>
    </row>
    <row r="2059" spans="1:17">
      <c r="A2059" s="708" t="str">
        <f>'Part VIII-Threshold Criteria'!A11</f>
        <v>4.)</v>
      </c>
    </row>
    <row r="2060" spans="1:17">
      <c r="A2060" s="708" t="str">
        <f>'Part VIII-Threshold Criteria'!A12</f>
        <v>5.)</v>
      </c>
    </row>
    <row r="2061" spans="1:17">
      <c r="A2061" s="708" t="str">
        <f>'Part VIII-Threshold Criteria'!A13</f>
        <v>6.)</v>
      </c>
    </row>
    <row r="2062" spans="1:17">
      <c r="A2062" s="708" t="str">
        <f>'Part VIII-Threshold Criteria'!A14</f>
        <v>7.)</v>
      </c>
    </row>
    <row r="2063" spans="1:17">
      <c r="A2063" s="708" t="str">
        <f>'Part VIII-Threshold Criteria'!A15</f>
        <v xml:space="preserve">8.) </v>
      </c>
    </row>
    <row r="2064" spans="1:17">
      <c r="A2064" s="708" t="str">
        <f>'Part VIII-Threshold Criteria'!A16</f>
        <v>9.)</v>
      </c>
    </row>
    <row r="2065" spans="1:17">
      <c r="A2065" s="708" t="str">
        <f>'Part VIII-Threshold Criteria'!A17</f>
        <v>10.)</v>
      </c>
    </row>
    <row r="2066" spans="1:17">
      <c r="A2066" s="708" t="str">
        <f>'Part VIII-Threshold Criteria'!A18</f>
        <v>11.)</v>
      </c>
    </row>
    <row r="2067" spans="1:17">
      <c r="A2067" s="708" t="str">
        <f>'Part VIII-Threshold Criteria'!A19</f>
        <v>12.)</v>
      </c>
    </row>
    <row r="2068" spans="1:17">
      <c r="A2068" s="708" t="str">
        <f>'Part VIII-Threshold Criteria'!A20</f>
        <v>13.)</v>
      </c>
    </row>
    <row r="2069" spans="1:17">
      <c r="A2069" s="708" t="str">
        <f>'Part VIII-Threshold Criteria'!A21</f>
        <v>14.)</v>
      </c>
    </row>
    <row r="2070" spans="1:17">
      <c r="A2070" s="708" t="str">
        <f>'Part VIII-Threshold Criteria'!A22</f>
        <v xml:space="preserve">15.) </v>
      </c>
    </row>
    <row r="2071" spans="1:17">
      <c r="A2071" s="708" t="str">
        <f>'Part VIII-Threshold Criteria'!A23</f>
        <v>16.)</v>
      </c>
    </row>
    <row r="2072" spans="1:17">
      <c r="A2072" s="708" t="str">
        <f>'Part VIII-Threshold Criteria'!A24</f>
        <v>17.)</v>
      </c>
    </row>
    <row r="2073" spans="1:17">
      <c r="A2073" s="708" t="str">
        <f>'Part VIII-Threshold Criteria'!A25</f>
        <v>18.)</v>
      </c>
    </row>
    <row r="2074" spans="1:17">
      <c r="A2074" s="708" t="str">
        <f>'Part VIII-Threshold Criteria'!A26</f>
        <v>19.)</v>
      </c>
    </row>
    <row r="2075" spans="1:17">
      <c r="A2075" s="708" t="str">
        <f>'Part VIII-Threshold Criteria'!A27</f>
        <v>20.)</v>
      </c>
    </row>
    <row r="2077" spans="1:17">
      <c r="A2077" s="708">
        <v>1</v>
      </c>
      <c r="B2077" s="708" t="s">
        <v>102</v>
      </c>
      <c r="O2077" s="708" t="s">
        <v>2923</v>
      </c>
      <c r="P2077" s="708">
        <f>'Part VIII-Threshold Criteria'!P29</f>
        <v>0</v>
      </c>
    </row>
    <row r="2079" spans="1:17">
      <c r="B2079" s="708" t="s">
        <v>3060</v>
      </c>
      <c r="C2079" s="708" t="s">
        <v>1078</v>
      </c>
      <c r="O2079" s="708" t="s">
        <v>924</v>
      </c>
      <c r="P2079" s="708" t="str">
        <f>'Part VIII-Threshold Criteria'!P31</f>
        <v>No</v>
      </c>
      <c r="Q2079" s="708">
        <f>'Part VIII-Threshold Criteria'!Q31</f>
        <v>0</v>
      </c>
    </row>
    <row r="2080" spans="1:17">
      <c r="B2080" s="708" t="s">
        <v>3063</v>
      </c>
      <c r="C2080" s="708" t="s">
        <v>1079</v>
      </c>
      <c r="J2080" s="708" t="str">
        <f>'Part VIII-Threshold Criteria'!J32</f>
        <v>&lt;&lt; Select &gt;&gt;</v>
      </c>
    </row>
    <row r="2081" spans="1:17">
      <c r="B2081" s="708" t="s">
        <v>2921</v>
      </c>
    </row>
    <row r="2082" spans="1:17">
      <c r="A2082" s="708" t="str">
        <f>'Part VIII-Threshold Criteria'!A34</f>
        <v xml:space="preserve">We have provided the consent from DCA for the DCA HOME Loan; we have provided the documents that evidence the award of the AHP Grant.  We have included commitment letter for the Construction </v>
      </c>
    </row>
    <row r="2083" spans="1:17">
      <c r="A2083" s="708" t="str">
        <f>'Part VIII-Threshold Criteria'!A35</f>
        <v>loan.  There are no pending or "Under Consideration" commitments.</v>
      </c>
    </row>
    <row r="2084" spans="1:17">
      <c r="A2084" s="708">
        <f>'Part VIII-Threshold Criteria'!A36</f>
        <v>0</v>
      </c>
    </row>
    <row r="2085" spans="1:17">
      <c r="B2085" s="708" t="s">
        <v>2922</v>
      </c>
    </row>
    <row r="2086" spans="1:17">
      <c r="A2086" s="708">
        <f>'Part VIII-Threshold Criteria'!A38</f>
        <v>0</v>
      </c>
    </row>
    <row r="2087" spans="1:17">
      <c r="A2087" s="708">
        <f>'Part VIII-Threshold Criteria'!A39</f>
        <v>0</v>
      </c>
    </row>
    <row r="2088" spans="1:17">
      <c r="A2088" s="708">
        <f>'Part VIII-Threshold Criteria'!A40</f>
        <v>0</v>
      </c>
    </row>
    <row r="2089" spans="1:17">
      <c r="A2089" s="708">
        <f>'Part VIII-Threshold Criteria'!A41</f>
        <v>0</v>
      </c>
    </row>
    <row r="2090" spans="1:17">
      <c r="A2090" s="708">
        <f>'Part VIII-Threshold Criteria'!A42</f>
        <v>0</v>
      </c>
    </row>
    <row r="2091" spans="1:17">
      <c r="A2091" s="708">
        <f>'Part VIII-Threshold Criteria'!A43</f>
        <v>0</v>
      </c>
    </row>
    <row r="2093" spans="1:17">
      <c r="A2093" s="708">
        <v>2</v>
      </c>
      <c r="B2093" s="708" t="s">
        <v>2085</v>
      </c>
      <c r="O2093" s="708" t="s">
        <v>2923</v>
      </c>
      <c r="P2093" s="708">
        <f>'Part VIII-Threshold Criteria'!P45</f>
        <v>0</v>
      </c>
    </row>
    <row r="2095" spans="1:17">
      <c r="C2095" s="708" t="s">
        <v>113</v>
      </c>
      <c r="J2095" s="708" t="str">
        <f>'Part VIII-Threshold Criteria'!J47</f>
        <v>Family</v>
      </c>
      <c r="P2095" s="708" t="str">
        <f>'Part VIII-Threshold Criteria'!P47</f>
        <v>Yes</v>
      </c>
      <c r="Q2095" s="708">
        <f>'Part VIII-Threshold Criteria'!Q47</f>
        <v>0</v>
      </c>
    </row>
    <row r="2096" spans="1:17">
      <c r="B2096" s="708" t="s">
        <v>2921</v>
      </c>
      <c r="K2096" s="708" t="s">
        <v>2922</v>
      </c>
    </row>
    <row r="2097" spans="1:17">
      <c r="A2097" s="708" t="str">
        <f>'Part VIII-Threshold Criteria'!A49</f>
        <v>This is a project with a Family tenancy.</v>
      </c>
      <c r="K2097" s="708">
        <f>'Part VIII-Threshold Criteria'!K49</f>
        <v>0</v>
      </c>
    </row>
    <row r="2099" spans="1:17">
      <c r="A2099" s="708">
        <v>3</v>
      </c>
      <c r="B2099" s="708" t="s">
        <v>682</v>
      </c>
      <c r="O2099" s="708" t="s">
        <v>2923</v>
      </c>
      <c r="P2099" s="708">
        <f>'Part VIII-Threshold Criteria'!P51</f>
        <v>0</v>
      </c>
    </row>
    <row r="2101" spans="1:17">
      <c r="B2101" s="708" t="s">
        <v>3060</v>
      </c>
      <c r="C2101" s="708" t="s">
        <v>4101</v>
      </c>
      <c r="P2101" s="708" t="str">
        <f>'Part VIII-Threshold Criteria'!P53</f>
        <v>Agree</v>
      </c>
      <c r="Q2101" s="708">
        <f>'Part VIII-Threshold Criteria'!Q53</f>
        <v>0</v>
      </c>
    </row>
    <row r="2102" spans="1:17">
      <c r="B2102" s="708" t="s">
        <v>3063</v>
      </c>
      <c r="C2102" s="708" t="s">
        <v>2230</v>
      </c>
    </row>
    <row r="2103" spans="1:17">
      <c r="C2103" s="708" t="s">
        <v>2765</v>
      </c>
      <c r="D2103" s="708" t="s">
        <v>883</v>
      </c>
      <c r="O2103" s="708" t="s">
        <v>2765</v>
      </c>
      <c r="P2103" s="708" t="str">
        <f>'Part VIII-Threshold Criteria'!P55</f>
        <v>Yes</v>
      </c>
      <c r="Q2103" s="708">
        <f>'Part VIII-Threshold Criteria'!Q55</f>
        <v>0</v>
      </c>
    </row>
    <row r="2104" spans="1:17">
      <c r="C2104" s="708" t="s">
        <v>2766</v>
      </c>
      <c r="D2104" s="708" t="s">
        <v>2846</v>
      </c>
      <c r="O2104" s="708" t="s">
        <v>2766</v>
      </c>
      <c r="P2104" s="708">
        <f>'Part VIII-Threshold Criteria'!P56</f>
        <v>0</v>
      </c>
      <c r="Q2104" s="708">
        <f>'Part VIII-Threshold Criteria'!Q56</f>
        <v>0</v>
      </c>
    </row>
    <row r="2105" spans="1:17">
      <c r="C2105" s="708" t="s">
        <v>2767</v>
      </c>
      <c r="D2105" s="708" t="s">
        <v>401</v>
      </c>
      <c r="K2105" s="708" t="s">
        <v>2767</v>
      </c>
      <c r="L2105" s="708">
        <f>'Part VIII-Threshold Criteria'!L57</f>
        <v>0</v>
      </c>
      <c r="Q2105" s="708">
        <f>'Part VIII-Threshold Criteria'!Q57</f>
        <v>0</v>
      </c>
    </row>
    <row r="2106" spans="1:17">
      <c r="B2106" s="708" t="s">
        <v>2921</v>
      </c>
    </row>
    <row r="2107" spans="1:17">
      <c r="A2107" s="708" t="str">
        <f>'Part VIII-Threshold Criteria'!A59</f>
        <v>We will provide regular social and recreational programs, overseen by the project manager.</v>
      </c>
    </row>
    <row r="2108" spans="1:17">
      <c r="A2108" s="708">
        <f>'Part VIII-Threshold Criteria'!A60</f>
        <v>0</v>
      </c>
    </row>
    <row r="2109" spans="1:17">
      <c r="B2109" s="708" t="s">
        <v>2922</v>
      </c>
    </row>
    <row r="2110" spans="1:17">
      <c r="A2110" s="708">
        <f>'Part VIII-Threshold Criteria'!A62</f>
        <v>0</v>
      </c>
    </row>
    <row r="2111" spans="1:17">
      <c r="A2111" s="708">
        <f>'Part VIII-Threshold Criteria'!A63</f>
        <v>0</v>
      </c>
    </row>
    <row r="2113" spans="1:17">
      <c r="A2113" s="708">
        <v>4</v>
      </c>
      <c r="B2113" s="708" t="s">
        <v>3702</v>
      </c>
      <c r="O2113" s="708" t="s">
        <v>2923</v>
      </c>
      <c r="P2113" s="708">
        <f>'Part VIII-Threshold Criteria'!P65</f>
        <v>0</v>
      </c>
    </row>
    <row r="2115" spans="1:17">
      <c r="B2115" s="708" t="s">
        <v>3060</v>
      </c>
      <c r="C2115" s="708" t="s">
        <v>3729</v>
      </c>
      <c r="L2115" s="708" t="s">
        <v>3060</v>
      </c>
      <c r="M2115" s="708" t="str">
        <f>'Part VIII-Threshold Criteria'!M67</f>
        <v>Real Property Research Group</v>
      </c>
      <c r="Q2115" s="708">
        <f>'Part VIII-Threshold Criteria'!Q67</f>
        <v>0</v>
      </c>
    </row>
    <row r="2116" spans="1:17">
      <c r="B2116" s="708" t="s">
        <v>3063</v>
      </c>
      <c r="C2116" s="708" t="s">
        <v>3118</v>
      </c>
      <c r="L2116" s="708" t="s">
        <v>3063</v>
      </c>
      <c r="M2116" s="708" t="str">
        <f>'Part VIII-Threshold Criteria'!M68</f>
        <v>10 months (chart on page ix)</v>
      </c>
      <c r="Q2116" s="708">
        <f>'Part VIII-Threshold Criteria'!Q68</f>
        <v>0</v>
      </c>
    </row>
    <row r="2117" spans="1:17">
      <c r="B2117" s="708" t="s">
        <v>1239</v>
      </c>
      <c r="C2117" s="708" t="s">
        <v>3730</v>
      </c>
      <c r="L2117" s="708" t="s">
        <v>1239</v>
      </c>
      <c r="M2117" s="708" t="str">
        <f>'Part VIII-Threshold Criteria'!M69</f>
        <v>January 2013 through November 2013</v>
      </c>
      <c r="Q2117" s="708">
        <f>'Part VIII-Threshold Criteria'!Q69</f>
        <v>0</v>
      </c>
    </row>
    <row r="2118" spans="1:17">
      <c r="B2118" s="708" t="s">
        <v>3212</v>
      </c>
      <c r="C2118" s="708" t="s">
        <v>3731</v>
      </c>
      <c r="L2118" s="708" t="s">
        <v>3212</v>
      </c>
      <c r="M2118" s="708" t="str">
        <f>'Part VIII-Threshold Criteria'!M70</f>
        <v>20.7% (chart on Page ix)</v>
      </c>
      <c r="Q2118" s="708">
        <f>'Part VIII-Threshold Criteria'!Q70</f>
        <v>0</v>
      </c>
    </row>
    <row r="2119" spans="1:17">
      <c r="B2119" s="708" t="s">
        <v>2763</v>
      </c>
      <c r="C2119" s="708" t="s">
        <v>3556</v>
      </c>
      <c r="O2119" s="708" t="s">
        <v>2763</v>
      </c>
      <c r="P2119" s="708" t="str">
        <f>'Part VIII-Threshold Criteria'!P71</f>
        <v>Yes</v>
      </c>
      <c r="Q2119" s="708">
        <f>'Part VIII-Threshold Criteria'!Q71</f>
        <v>0</v>
      </c>
    </row>
    <row r="2120" spans="1:17">
      <c r="D2120" s="708" t="s">
        <v>3593</v>
      </c>
      <c r="E2120" s="708" t="s">
        <v>952</v>
      </c>
      <c r="H2120" s="708" t="s">
        <v>3593</v>
      </c>
      <c r="I2120" s="708" t="s">
        <v>952</v>
      </c>
      <c r="L2120" s="708" t="s">
        <v>3593</v>
      </c>
      <c r="M2120" s="708" t="s">
        <v>952</v>
      </c>
    </row>
    <row r="2121" spans="1:17">
      <c r="C2121" s="708">
        <v>1</v>
      </c>
      <c r="D2121" s="708" t="str">
        <f>'Part VIII-Threshold Criteria'!D73</f>
        <v>NONE</v>
      </c>
      <c r="E2121" s="708">
        <f>'Part VIII-Threshold Criteria'!E73</f>
        <v>0</v>
      </c>
      <c r="G2121" s="708">
        <v>4</v>
      </c>
      <c r="H2121" s="708">
        <f>'Part VIII-Threshold Criteria'!H73</f>
        <v>0</v>
      </c>
      <c r="I2121" s="708">
        <f>'Part VIII-Threshold Criteria'!I73</f>
        <v>0</v>
      </c>
      <c r="K2121" s="708">
        <v>7</v>
      </c>
      <c r="L2121" s="708">
        <f>'Part VIII-Threshold Criteria'!L73</f>
        <v>0</v>
      </c>
      <c r="M2121" s="708">
        <f>'Part VIII-Threshold Criteria'!M73</f>
        <v>0</v>
      </c>
    </row>
    <row r="2122" spans="1:17">
      <c r="C2122" s="708">
        <v>2</v>
      </c>
      <c r="D2122" s="708">
        <f>'Part VIII-Threshold Criteria'!D74</f>
        <v>0</v>
      </c>
      <c r="E2122" s="708">
        <f>'Part VIII-Threshold Criteria'!E74</f>
        <v>0</v>
      </c>
      <c r="G2122" s="708">
        <v>5</v>
      </c>
      <c r="H2122" s="708">
        <f>'Part VIII-Threshold Criteria'!H74</f>
        <v>0</v>
      </c>
      <c r="I2122" s="708">
        <f>'Part VIII-Threshold Criteria'!I74</f>
        <v>0</v>
      </c>
      <c r="K2122" s="708">
        <v>8</v>
      </c>
      <c r="L2122" s="708">
        <f>'Part VIII-Threshold Criteria'!L74</f>
        <v>0</v>
      </c>
      <c r="M2122" s="708">
        <f>'Part VIII-Threshold Criteria'!M74</f>
        <v>0</v>
      </c>
    </row>
    <row r="2123" spans="1:17">
      <c r="C2123" s="708">
        <v>3</v>
      </c>
      <c r="D2123" s="708">
        <f>'Part VIII-Threshold Criteria'!D75</f>
        <v>0</v>
      </c>
      <c r="E2123" s="708">
        <f>'Part VIII-Threshold Criteria'!E75</f>
        <v>0</v>
      </c>
      <c r="G2123" s="708">
        <v>6</v>
      </c>
      <c r="H2123" s="708">
        <f>'Part VIII-Threshold Criteria'!H75</f>
        <v>0</v>
      </c>
      <c r="I2123" s="708">
        <f>'Part VIII-Threshold Criteria'!I75</f>
        <v>0</v>
      </c>
      <c r="K2123" s="708">
        <v>9</v>
      </c>
      <c r="L2123" s="708">
        <f>'Part VIII-Threshold Criteria'!L75</f>
        <v>0</v>
      </c>
      <c r="M2123" s="708">
        <f>'Part VIII-Threshold Criteria'!M75</f>
        <v>0</v>
      </c>
    </row>
    <row r="2124" spans="1:17">
      <c r="B2124" s="708" t="s">
        <v>2764</v>
      </c>
      <c r="C2124" s="708" t="s">
        <v>1</v>
      </c>
      <c r="O2124" s="708" t="s">
        <v>2764</v>
      </c>
      <c r="P2124" s="708" t="str">
        <f>'Part VIII-Threshold Criteria'!P76</f>
        <v>Yes</v>
      </c>
      <c r="Q2124" s="708">
        <f>'Part VIII-Threshold Criteria'!Q76</f>
        <v>0</v>
      </c>
    </row>
    <row r="2125" spans="1:17">
      <c r="B2125" s="708" t="s">
        <v>2921</v>
      </c>
    </row>
    <row r="2126" spans="1:17">
      <c r="A2126" s="708" t="str">
        <f>'Part VIII-Threshold Criteria'!A78</f>
        <v xml:space="preserve">The project greatly exceeds DCA's minimum market threshold criteria:  Absorption period is much shorter than the maximum 24 months allowed; the overall capture rate is well below the maximum 35% for rural projects (and individual unit type/income type capture rates are also well below the maximums stated in the QAP), and the market study concludes that Brentwood Place will not have an adverse impact on existing multi-family product in the area.  </v>
      </c>
    </row>
    <row r="2127" spans="1:17">
      <c r="A2127" s="708" t="str">
        <f>'Part VIII-Threshold Criteria'!A79</f>
        <v>There are no 2008 to 2010 DCA tax credit projects within 10 miles of the subject location.</v>
      </c>
    </row>
    <row r="2128" spans="1:17">
      <c r="B2128" s="708" t="s">
        <v>2922</v>
      </c>
    </row>
    <row r="2129" spans="1:17">
      <c r="A2129" s="708">
        <f>'Part VIII-Threshold Criteria'!A81</f>
        <v>0</v>
      </c>
    </row>
    <row r="2130" spans="1:17">
      <c r="A2130" s="708">
        <f>'Part VIII-Threshold Criteria'!A82</f>
        <v>0</v>
      </c>
    </row>
    <row r="2131" spans="1:17">
      <c r="A2131" s="708">
        <v>5</v>
      </c>
      <c r="B2131" s="708" t="s">
        <v>291</v>
      </c>
      <c r="O2131" s="708" t="s">
        <v>2923</v>
      </c>
      <c r="P2131" s="708">
        <f>'Part VIII-Threshold Criteria'!P83</f>
        <v>0</v>
      </c>
    </row>
    <row r="2133" spans="1:17">
      <c r="B2133" s="708" t="s">
        <v>3060</v>
      </c>
      <c r="C2133" s="708" t="s">
        <v>730</v>
      </c>
      <c r="O2133" s="708" t="s">
        <v>3060</v>
      </c>
      <c r="P2133" s="708" t="str">
        <f>'Part VIII-Threshold Criteria'!P85</f>
        <v>No</v>
      </c>
      <c r="Q2133" s="708">
        <f>'Part VIII-Threshold Criteria'!Q85</f>
        <v>0</v>
      </c>
    </row>
    <row r="2134" spans="1:17">
      <c r="B2134" s="708" t="s">
        <v>3063</v>
      </c>
      <c r="C2134" s="708" t="s">
        <v>2006</v>
      </c>
      <c r="O2134" s="708" t="s">
        <v>3063</v>
      </c>
      <c r="P2134" s="708" t="str">
        <f>'Part VIII-Threshold Criteria'!P86</f>
        <v>Yes</v>
      </c>
      <c r="Q2134" s="708">
        <f>'Part VIII-Threshold Criteria'!Q86</f>
        <v>0</v>
      </c>
    </row>
    <row r="2135" spans="1:17">
      <c r="D2135" s="708" t="s">
        <v>850</v>
      </c>
      <c r="K2135" s="708" t="s">
        <v>851</v>
      </c>
      <c r="M2135" s="708" t="str">
        <f>'Part VIII-Threshold Criteria'!M87</f>
        <v>Novogradac</v>
      </c>
      <c r="Q2135" s="708">
        <f>'Part VIII-Threshold Criteria'!Q87</f>
        <v>0</v>
      </c>
    </row>
    <row r="2136" spans="1:17">
      <c r="C2136" s="708" t="s">
        <v>2765</v>
      </c>
      <c r="D2136" s="708" t="s">
        <v>679</v>
      </c>
      <c r="O2136" s="708" t="s">
        <v>2765</v>
      </c>
      <c r="P2136" s="708" t="str">
        <f>'Part VIII-Threshold Criteria'!P88</f>
        <v>No</v>
      </c>
      <c r="Q2136" s="708">
        <f>'Part VIII-Threshold Criteria'!Q88</f>
        <v>0</v>
      </c>
    </row>
    <row r="2137" spans="1:17">
      <c r="C2137" s="708" t="s">
        <v>2766</v>
      </c>
      <c r="D2137" s="708" t="s">
        <v>187</v>
      </c>
      <c r="O2137" s="708" t="s">
        <v>2766</v>
      </c>
      <c r="P2137" s="708" t="str">
        <f>'Part VIII-Threshold Criteria'!P89</f>
        <v>Yes</v>
      </c>
      <c r="Q2137" s="708">
        <f>'Part VIII-Threshold Criteria'!Q89</f>
        <v>0</v>
      </c>
    </row>
    <row r="2138" spans="1:17">
      <c r="C2138" s="708" t="s">
        <v>2767</v>
      </c>
      <c r="D2138" s="708" t="s">
        <v>188</v>
      </c>
      <c r="O2138" s="708" t="s">
        <v>2767</v>
      </c>
      <c r="P2138" s="708">
        <f>'Part VIII-Threshold Criteria'!P90</f>
        <v>0</v>
      </c>
      <c r="Q2138" s="708">
        <f>'Part VIII-Threshold Criteria'!Q90</f>
        <v>0</v>
      </c>
    </row>
    <row r="2139" spans="1:17">
      <c r="B2139" s="708" t="s">
        <v>1239</v>
      </c>
      <c r="C2139" s="708" t="s">
        <v>191</v>
      </c>
      <c r="O2139" s="708" t="s">
        <v>1239</v>
      </c>
      <c r="P2139" s="708">
        <f>'Part VIII-Threshold Criteria'!P91</f>
        <v>0</v>
      </c>
      <c r="Q2139" s="708">
        <f>'Part VIII-Threshold Criteria'!Q91</f>
        <v>0</v>
      </c>
    </row>
    <row r="2140" spans="1:17">
      <c r="B2140" s="708" t="s">
        <v>3212</v>
      </c>
      <c r="C2140" s="708" t="s">
        <v>2149</v>
      </c>
    </row>
    <row r="2141" spans="1:17">
      <c r="C2141" s="708" t="s">
        <v>2765</v>
      </c>
      <c r="D2141" s="708" t="s">
        <v>2150</v>
      </c>
      <c r="O2141" s="708" t="s">
        <v>2765</v>
      </c>
      <c r="P2141" s="708" t="str">
        <f>'Part VIII-Threshold Criteria'!P93</f>
        <v>No</v>
      </c>
      <c r="Q2141" s="708">
        <f>'Part VIII-Threshold Criteria'!Q93</f>
        <v>0</v>
      </c>
    </row>
    <row r="2142" spans="1:17">
      <c r="C2142" s="708" t="s">
        <v>2766</v>
      </c>
      <c r="D2142" s="708" t="s">
        <v>2151</v>
      </c>
      <c r="O2142" s="708" t="s">
        <v>2766</v>
      </c>
      <c r="P2142" s="708" t="str">
        <f>'Part VIII-Threshold Criteria'!P94</f>
        <v>No</v>
      </c>
      <c r="Q2142" s="708">
        <f>'Part VIII-Threshold Criteria'!Q94</f>
        <v>0</v>
      </c>
    </row>
    <row r="2143" spans="1:17">
      <c r="C2143" s="708" t="s">
        <v>2767</v>
      </c>
      <c r="D2143" s="708" t="s">
        <v>2152</v>
      </c>
      <c r="O2143" s="708" t="s">
        <v>2767</v>
      </c>
      <c r="P2143" s="708" t="str">
        <f>'Part VIII-Threshold Criteria'!P95</f>
        <v>No</v>
      </c>
      <c r="Q2143" s="708">
        <f>'Part VIII-Threshold Criteria'!Q95</f>
        <v>0</v>
      </c>
    </row>
    <row r="2144" spans="1:17">
      <c r="B2144" s="708" t="s">
        <v>2921</v>
      </c>
    </row>
    <row r="2145" spans="1:17">
      <c r="A2145" s="708" t="str">
        <f>'Part VIII-Threshold Criteria'!A97</f>
        <v>We have included an as-is land value appraisal in Tab 10, to be assured that our agreed-upon purchase price for the land is not more than the appraised value of the land.  The value equals the purchase price.</v>
      </c>
    </row>
    <row r="2146" spans="1:17">
      <c r="A2146" s="708" t="str">
        <f>'Part VIII-Threshold Criteria'!A98</f>
        <v>Item 5(B)(3) does not apply to new construction, and item 5(C) is not applicable.</v>
      </c>
    </row>
    <row r="2147" spans="1:17">
      <c r="B2147" s="708" t="s">
        <v>2922</v>
      </c>
    </row>
    <row r="2148" spans="1:17">
      <c r="A2148" s="708">
        <f>'Part VIII-Threshold Criteria'!A100</f>
        <v>0</v>
      </c>
    </row>
    <row r="2149" spans="1:17">
      <c r="A2149" s="708">
        <f>'Part VIII-Threshold Criteria'!A101</f>
        <v>0</v>
      </c>
    </row>
    <row r="2151" spans="1:17">
      <c r="A2151" s="708">
        <v>6</v>
      </c>
      <c r="B2151" s="708" t="s">
        <v>331</v>
      </c>
      <c r="O2151" s="708" t="s">
        <v>2923</v>
      </c>
      <c r="P2151" s="708">
        <f>'Part VIII-Threshold Criteria'!P103</f>
        <v>0</v>
      </c>
    </row>
    <row r="2153" spans="1:17">
      <c r="B2153" s="708" t="s">
        <v>3060</v>
      </c>
      <c r="C2153" s="708" t="s">
        <v>202</v>
      </c>
      <c r="L2153" s="708" t="s">
        <v>3060</v>
      </c>
      <c r="M2153" s="708" t="str">
        <f>'Part VIII-Threshold Criteria'!M105</f>
        <v>United Consulting</v>
      </c>
      <c r="Q2153" s="708">
        <f>'Part VIII-Threshold Criteria'!Q105</f>
        <v>0</v>
      </c>
    </row>
    <row r="2154" spans="1:17">
      <c r="B2154" s="708" t="s">
        <v>3063</v>
      </c>
      <c r="C2154" s="708" t="s">
        <v>2292</v>
      </c>
      <c r="O2154" s="708" t="s">
        <v>3063</v>
      </c>
      <c r="P2154" s="708" t="str">
        <f>'Part VIII-Threshold Criteria'!P106</f>
        <v>No</v>
      </c>
      <c r="Q2154" s="708">
        <f>'Part VIII-Threshold Criteria'!Q106</f>
        <v>0</v>
      </c>
    </row>
    <row r="2155" spans="1:17">
      <c r="B2155" s="708" t="s">
        <v>1239</v>
      </c>
      <c r="C2155" s="708" t="s">
        <v>205</v>
      </c>
      <c r="O2155" s="708" t="s">
        <v>1239</v>
      </c>
      <c r="P2155" s="708" t="str">
        <f>'Part VIII-Threshold Criteria'!P107</f>
        <v>Yes</v>
      </c>
      <c r="Q2155" s="708">
        <f>'Part VIII-Threshold Criteria'!Q107</f>
        <v>0</v>
      </c>
    </row>
    <row r="2156" spans="1:17">
      <c r="C2156" s="708" t="s">
        <v>2843</v>
      </c>
      <c r="P2156" s="708">
        <f>'Part VIII-Threshold Criteria'!P108</f>
        <v>57</v>
      </c>
      <c r="Q2156" s="708">
        <f>'Part VIII-Threshold Criteria'!Q108</f>
        <v>0</v>
      </c>
    </row>
    <row r="2157" spans="1:17">
      <c r="C2157" s="708" t="s">
        <v>2090</v>
      </c>
    </row>
    <row r="2158" spans="1:17">
      <c r="C2158" s="708" t="str">
        <f>'Part VIII-Threshold Criteria'!C110</f>
        <v>West Main Street, Norfolk Southern Railway, per Exhibit 9, table I.</v>
      </c>
    </row>
    <row r="2159" spans="1:17">
      <c r="B2159" s="708" t="s">
        <v>3212</v>
      </c>
      <c r="C2159" s="708" t="s">
        <v>1945</v>
      </c>
      <c r="O2159" s="708" t="s">
        <v>3212</v>
      </c>
    </row>
    <row r="2160" spans="1:17">
      <c r="C2160" s="708" t="s">
        <v>2765</v>
      </c>
      <c r="D2160" s="708" t="s">
        <v>203</v>
      </c>
      <c r="O2160" s="708" t="s">
        <v>2765</v>
      </c>
      <c r="P2160" s="708" t="str">
        <f>'Part VIII-Threshold Criteria'!P112</f>
        <v>No</v>
      </c>
      <c r="Q2160" s="708">
        <f>'Part VIII-Threshold Criteria'!Q112</f>
        <v>0</v>
      </c>
    </row>
    <row r="2161" spans="2:17">
      <c r="C2161" s="708" t="s">
        <v>2766</v>
      </c>
      <c r="D2161" s="708" t="s">
        <v>1946</v>
      </c>
      <c r="O2161" s="708" t="s">
        <v>2766</v>
      </c>
      <c r="P2161" s="708" t="str">
        <f>'Part VIII-Threshold Criteria'!P113</f>
        <v>No</v>
      </c>
      <c r="Q2161" s="708">
        <f>'Part VIII-Threshold Criteria'!Q113</f>
        <v>0</v>
      </c>
    </row>
    <row r="2162" spans="2:17">
      <c r="D2162" s="708" t="s">
        <v>2970</v>
      </c>
      <c r="P2162" s="708">
        <f>'Part VIII-Threshold Criteria'!P114</f>
        <v>0</v>
      </c>
      <c r="Q2162" s="708">
        <f>'Part VIII-Threshold Criteria'!Q114</f>
        <v>0</v>
      </c>
    </row>
    <row r="2163" spans="2:17">
      <c r="D2163" s="708" t="s">
        <v>3662</v>
      </c>
      <c r="P2163" s="708">
        <f>'Part VIII-Threshold Criteria'!P115</f>
        <v>0</v>
      </c>
      <c r="Q2163" s="708">
        <f>'Part VIII-Threshold Criteria'!Q115</f>
        <v>0</v>
      </c>
    </row>
    <row r="2164" spans="2:17">
      <c r="D2164" s="708" t="s">
        <v>3244</v>
      </c>
      <c r="P2164" s="708">
        <f>'Part VIII-Threshold Criteria'!P116</f>
        <v>0</v>
      </c>
      <c r="Q2164" s="708">
        <f>'Part VIII-Threshold Criteria'!Q116</f>
        <v>0</v>
      </c>
    </row>
    <row r="2165" spans="2:17">
      <c r="C2165" s="708" t="s">
        <v>2767</v>
      </c>
      <c r="D2165" s="708" t="s">
        <v>1947</v>
      </c>
      <c r="O2165" s="708" t="s">
        <v>2767</v>
      </c>
      <c r="P2165" s="708" t="str">
        <f>'Part VIII-Threshold Criteria'!P117</f>
        <v>No</v>
      </c>
      <c r="Q2165" s="708">
        <f>'Part VIII-Threshold Criteria'!Q117</f>
        <v>0</v>
      </c>
    </row>
    <row r="2166" spans="2:17">
      <c r="D2166" s="708" t="s">
        <v>1408</v>
      </c>
      <c r="P2166" s="708">
        <f>'Part VIII-Threshold Criteria'!P118</f>
        <v>0</v>
      </c>
      <c r="Q2166" s="708">
        <f>'Part VIII-Threshold Criteria'!Q118</f>
        <v>0</v>
      </c>
    </row>
    <row r="2167" spans="2:17">
      <c r="D2167" s="708" t="s">
        <v>3245</v>
      </c>
      <c r="P2167" s="708">
        <f>'Part VIII-Threshold Criteria'!P119</f>
        <v>0</v>
      </c>
      <c r="Q2167" s="708">
        <f>'Part VIII-Threshold Criteria'!Q119</f>
        <v>0</v>
      </c>
    </row>
    <row r="2168" spans="2:17">
      <c r="D2168" s="708" t="s">
        <v>3244</v>
      </c>
      <c r="P2168" s="708">
        <f>'Part VIII-Threshold Criteria'!P120</f>
        <v>0</v>
      </c>
      <c r="Q2168" s="708">
        <f>'Part VIII-Threshold Criteria'!Q120</f>
        <v>0</v>
      </c>
    </row>
    <row r="2169" spans="2:17">
      <c r="C2169" s="708" t="s">
        <v>3571</v>
      </c>
      <c r="D2169" s="708" t="s">
        <v>727</v>
      </c>
      <c r="O2169" s="708" t="s">
        <v>3571</v>
      </c>
      <c r="P2169" s="708" t="str">
        <f>'Part VIII-Threshold Criteria'!P121</f>
        <v>Yes</v>
      </c>
      <c r="Q2169" s="708">
        <f>'Part VIII-Threshold Criteria'!Q121</f>
        <v>0</v>
      </c>
    </row>
    <row r="2170" spans="2:17">
      <c r="B2170" s="708" t="s">
        <v>2763</v>
      </c>
      <c r="C2170" s="708" t="s">
        <v>3658</v>
      </c>
      <c r="O2170" s="708" t="s">
        <v>2763</v>
      </c>
      <c r="P2170" s="708">
        <f>'Part VIII-Threshold Criteria'!P122</f>
        <v>0</v>
      </c>
      <c r="Q2170" s="708">
        <f>'Part VIII-Threshold Criteria'!Q122</f>
        <v>0</v>
      </c>
    </row>
    <row r="2171" spans="2:17">
      <c r="C2171" s="708" t="s">
        <v>2765</v>
      </c>
      <c r="D2171" s="708" t="s">
        <v>3659</v>
      </c>
      <c r="F2171" s="708" t="str">
        <f>'Part VIII-Threshold Criteria'!F123</f>
        <v>No</v>
      </c>
      <c r="G2171" s="708">
        <f>'Part VIII-Threshold Criteria'!G123</f>
        <v>0</v>
      </c>
      <c r="H2171" s="708" t="s">
        <v>2767</v>
      </c>
      <c r="I2171" s="708" t="s">
        <v>2306</v>
      </c>
      <c r="J2171" s="708" t="str">
        <f>'Part VIII-Threshold Criteria'!J123</f>
        <v>No</v>
      </c>
      <c r="K2171" s="708">
        <f>'Part VIII-Threshold Criteria'!K123</f>
        <v>0</v>
      </c>
      <c r="L2171" s="708" t="s">
        <v>2304</v>
      </c>
      <c r="M2171" s="708" t="s">
        <v>3621</v>
      </c>
      <c r="N2171" s="708" t="str">
        <f>'Part VIII-Threshold Criteria'!N123</f>
        <v>No</v>
      </c>
      <c r="O2171" s="708">
        <f>'Part VIII-Threshold Criteria'!O123</f>
        <v>0</v>
      </c>
    </row>
    <row r="2172" spans="2:17">
      <c r="C2172" s="708" t="s">
        <v>2766</v>
      </c>
      <c r="D2172" s="708" t="s">
        <v>3774</v>
      </c>
      <c r="F2172" s="708" t="str">
        <f>'Part VIII-Threshold Criteria'!F124</f>
        <v>No</v>
      </c>
      <c r="G2172" s="708">
        <f>'Part VIII-Threshold Criteria'!G124</f>
        <v>0</v>
      </c>
      <c r="H2172" s="708" t="s">
        <v>3571</v>
      </c>
      <c r="I2172" s="708" t="s">
        <v>2307</v>
      </c>
      <c r="J2172" s="708" t="str">
        <f>'Part VIII-Threshold Criteria'!J124</f>
        <v>No</v>
      </c>
      <c r="K2172" s="708">
        <f>'Part VIII-Threshold Criteria'!K124</f>
        <v>0</v>
      </c>
      <c r="L2172" s="708" t="s">
        <v>2305</v>
      </c>
      <c r="M2172" s="708" t="s">
        <v>2308</v>
      </c>
      <c r="N2172" s="708" t="str">
        <f>'Part VIII-Threshold Criteria'!N124</f>
        <v>No</v>
      </c>
      <c r="O2172" s="708">
        <f>'Part VIII-Threshold Criteria'!O124</f>
        <v>0</v>
      </c>
    </row>
    <row r="2173" spans="2:17">
      <c r="C2173" s="708" t="s">
        <v>112</v>
      </c>
      <c r="D2173" s="708" t="s">
        <v>53</v>
      </c>
      <c r="J2173" s="708" t="str">
        <f>'Part VIII-Threshold Criteria'!J125</f>
        <v>No</v>
      </c>
    </row>
    <row r="2174" spans="2:17">
      <c r="B2174" s="708" t="s">
        <v>2764</v>
      </c>
      <c r="C2174" s="708" t="s">
        <v>1984</v>
      </c>
      <c r="O2174" s="708" t="s">
        <v>2764</v>
      </c>
      <c r="P2174" s="708" t="str">
        <f>'Part VIII-Threshold Criteria'!P126</f>
        <v>Yes</v>
      </c>
      <c r="Q2174" s="708">
        <f>'Part VIII-Threshold Criteria'!Q126</f>
        <v>0</v>
      </c>
    </row>
    <row r="2175" spans="2:17">
      <c r="C2175" s="708" t="s">
        <v>2765</v>
      </c>
      <c r="D2175" s="708" t="s">
        <v>1080</v>
      </c>
      <c r="O2175" s="708" t="s">
        <v>2765</v>
      </c>
      <c r="P2175" s="708" t="str">
        <f>'Part VIII-Threshold Criteria'!P127</f>
        <v>No</v>
      </c>
      <c r="Q2175" s="708">
        <f>'Part VIII-Threshold Criteria'!Q127</f>
        <v>0</v>
      </c>
    </row>
    <row r="2176" spans="2:17">
      <c r="C2176" s="708" t="s">
        <v>2766</v>
      </c>
      <c r="D2176" s="708" t="s">
        <v>726</v>
      </c>
      <c r="O2176" s="708" t="s">
        <v>2766</v>
      </c>
      <c r="P2176" s="708" t="str">
        <f>'Part VIII-Threshold Criteria'!P128</f>
        <v>Yes</v>
      </c>
      <c r="Q2176" s="708">
        <f>'Part VIII-Threshold Criteria'!Q128</f>
        <v>0</v>
      </c>
    </row>
    <row r="2177" spans="1:17">
      <c r="C2177" s="708" t="s">
        <v>2767</v>
      </c>
      <c r="D2177" s="708" t="s">
        <v>1032</v>
      </c>
      <c r="O2177" s="708" t="s">
        <v>2767</v>
      </c>
      <c r="P2177" s="708" t="str">
        <f>'Part VIII-Threshold Criteria'!P129</f>
        <v>Yes</v>
      </c>
      <c r="Q2177" s="708">
        <f>'Part VIII-Threshold Criteria'!Q129</f>
        <v>0</v>
      </c>
    </row>
    <row r="2178" spans="1:17">
      <c r="B2178" s="708" t="s">
        <v>3020</v>
      </c>
      <c r="C2178" s="708" t="s">
        <v>2782</v>
      </c>
      <c r="O2178" s="708" t="s">
        <v>3020</v>
      </c>
      <c r="P2178" s="708" t="str">
        <f>'Part VIII-Threshold Criteria'!P130</f>
        <v>N/A</v>
      </c>
      <c r="Q2178" s="708">
        <f>'Part VIII-Threshold Criteria'!Q130</f>
        <v>0</v>
      </c>
    </row>
    <row r="2180" spans="1:17">
      <c r="B2180" s="708" t="s">
        <v>2921</v>
      </c>
    </row>
    <row r="2181" spans="1:17">
      <c r="A2181" s="708" t="str">
        <f>'Part VIII-Threshold Criteria'!A133</f>
        <v xml:space="preserve">The Phase 1 did not identify any environmental concerns.  There is a state waters stream on the southern portion of the property.  All development will be at least 100 feet from the stream, in keeping with </v>
      </c>
    </row>
    <row r="2182" spans="1:17">
      <c r="A2182" s="708" t="str">
        <f>'Part VIII-Threshold Criteria'!A134</f>
        <v>DCA's 100' buffer requirement for state waters/streams.  There is a small wetland just north of the project site.  As such, we are abiding by the 100' wetland buffer as well by not developing Brentwood Place within 100' of the neighboring wetland.  The site plan reflects both of these areas, the buffers, and the proposed development.  Since there is no floodplain or wetland on the property, we have not proceeded with the 8 Step Process (only required for addressing floodplains and wetlands on property).</v>
      </c>
    </row>
    <row r="2183" spans="1:17">
      <c r="A2183" s="708">
        <f>'Part VIII-Threshold Criteria'!A135</f>
        <v>0</v>
      </c>
    </row>
    <row r="2184" spans="1:17">
      <c r="B2184" s="708" t="s">
        <v>2922</v>
      </c>
    </row>
    <row r="2185" spans="1:17">
      <c r="A2185" s="708">
        <f>'Part VIII-Threshold Criteria'!A137</f>
        <v>0</v>
      </c>
    </row>
    <row r="2186" spans="1:17">
      <c r="A2186" s="708">
        <f>'Part VIII-Threshold Criteria'!A138</f>
        <v>0</v>
      </c>
    </row>
    <row r="2187" spans="1:17">
      <c r="A2187" s="708">
        <f>'Part VIII-Threshold Criteria'!A139</f>
        <v>0</v>
      </c>
    </row>
    <row r="2189" spans="1:17">
      <c r="A2189" s="708">
        <v>7</v>
      </c>
      <c r="B2189" s="708" t="s">
        <v>1601</v>
      </c>
      <c r="O2189" s="708" t="s">
        <v>2923</v>
      </c>
      <c r="P2189" s="708">
        <f>'Part VIII-Threshold Criteria'!P141</f>
        <v>0</v>
      </c>
    </row>
    <row r="2190" spans="1:17">
      <c r="B2190" s="708" t="s">
        <v>3060</v>
      </c>
      <c r="C2190" s="708" t="s">
        <v>3120</v>
      </c>
      <c r="O2190" s="708" t="s">
        <v>3060</v>
      </c>
      <c r="P2190" s="708" t="str">
        <f>'Part VIII-Threshold Criteria'!P142</f>
        <v>Yes</v>
      </c>
      <c r="Q2190" s="708">
        <f>'Part VIII-Threshold Criteria'!Q142</f>
        <v>0</v>
      </c>
    </row>
    <row r="2191" spans="1:17">
      <c r="B2191" s="708" t="s">
        <v>3063</v>
      </c>
      <c r="C2191" s="708" t="s">
        <v>204</v>
      </c>
      <c r="M2191" s="708" t="s">
        <v>3063</v>
      </c>
      <c r="N2191" s="708" t="str">
        <f>'Part VIII-Threshold Criteria'!N143</f>
        <v>Contract/Option</v>
      </c>
      <c r="P2191" s="708">
        <f>'Part VIII-Threshold Criteria'!P143</f>
        <v>0</v>
      </c>
    </row>
    <row r="2192" spans="1:17">
      <c r="B2192" s="708" t="s">
        <v>1239</v>
      </c>
      <c r="C2192" s="708" t="s">
        <v>1033</v>
      </c>
      <c r="J2192" s="708" t="s">
        <v>1239</v>
      </c>
      <c r="K2192" s="708" t="str">
        <f>'Part VIII-Threshold Criteria'!K144</f>
        <v>Brentwood Partners, LP</v>
      </c>
      <c r="P2192" s="708" t="str">
        <f>'Part VIII-Threshold Criteria'!P144</f>
        <v>Yes</v>
      </c>
      <c r="Q2192" s="708">
        <f>'Part VIII-Threshold Criteria'!Q144</f>
        <v>0</v>
      </c>
    </row>
    <row r="2193" spans="1:17">
      <c r="B2193" s="708" t="s">
        <v>2921</v>
      </c>
    </row>
    <row r="2194" spans="1:17">
      <c r="A2194" s="708" t="str">
        <f>'Part VIII-Threshold Criteria'!A146</f>
        <v>Brentwood Partners, LP has executed a Purchase and Sale Agreement with the land sellers that maintains control of the property through December 31, 2011. Please Tab 12.</v>
      </c>
    </row>
    <row r="2195" spans="1:17">
      <c r="A2195" s="708">
        <f>'Part VIII-Threshold Criteria'!A147</f>
        <v>0</v>
      </c>
    </row>
    <row r="2196" spans="1:17">
      <c r="B2196" s="708" t="s">
        <v>2922</v>
      </c>
    </row>
    <row r="2197" spans="1:17">
      <c r="A2197" s="708">
        <f>'Part VIII-Threshold Criteria'!A149</f>
        <v>0</v>
      </c>
    </row>
    <row r="2198" spans="1:17">
      <c r="A2198" s="708">
        <f>'Part VIII-Threshold Criteria'!A150</f>
        <v>0</v>
      </c>
    </row>
    <row r="2200" spans="1:17">
      <c r="A2200" s="708">
        <v>8</v>
      </c>
      <c r="B2200" s="708" t="s">
        <v>683</v>
      </c>
      <c r="O2200" s="708" t="s">
        <v>2923</v>
      </c>
      <c r="P2200" s="708">
        <f>'Part VIII-Threshold Criteria'!P152</f>
        <v>0</v>
      </c>
    </row>
    <row r="2201" spans="1:17">
      <c r="B2201" s="708" t="s">
        <v>3060</v>
      </c>
      <c r="C2201" s="708" t="s">
        <v>109</v>
      </c>
      <c r="O2201" s="708" t="s">
        <v>3060</v>
      </c>
      <c r="P2201" s="708" t="str">
        <f>'Part VIII-Threshold Criteria'!P153</f>
        <v>Yes</v>
      </c>
      <c r="Q2201" s="708">
        <f>'Part VIII-Threshold Criteria'!Q153</f>
        <v>0</v>
      </c>
    </row>
    <row r="2202" spans="1:17">
      <c r="B2202" s="708" t="s">
        <v>3063</v>
      </c>
      <c r="C2202" s="708" t="s">
        <v>3790</v>
      </c>
      <c r="O2202" s="708" t="s">
        <v>3063</v>
      </c>
      <c r="P2202" s="708" t="str">
        <f>'Part VIII-Threshold Criteria'!P154</f>
        <v>Yes</v>
      </c>
      <c r="Q2202" s="708">
        <f>'Part VIII-Threshold Criteria'!Q154</f>
        <v>0</v>
      </c>
    </row>
    <row r="2203" spans="1:17">
      <c r="B2203" s="708" t="s">
        <v>2921</v>
      </c>
    </row>
    <row r="2204" spans="1:17">
      <c r="A2204" s="708" t="str">
        <f>'Part VIII-Threshold Criteria'!A156</f>
        <v>While we could access the property from multiple fully paved roads, we have elected to access the site at the termination of Brentwood Place.  This affords the most private, but still visable, entrance to the property.  It also works best for the lay-out of the site.  There is a small portion of the Brentwood Place road that is not paved (approximately 80 feet), where the street terminates just before the site boundary.  We have included a letter from the City of Forsyth that verifies that they will pave the balance of the road needed to gain paved access to the site.  See also the site plan, where this small section is detailed.  Brentwood Partners, LP will not pay for this paving, which is beyond the site borders; the City will pay for the paving, as commited in their letter, which also outlines the timing of the paving.  Please see Tab 13.</v>
      </c>
    </row>
    <row r="2205" spans="1:17">
      <c r="A2205" s="708">
        <f>'Part VIII-Threshold Criteria'!A157</f>
        <v>0</v>
      </c>
    </row>
    <row r="2206" spans="1:17">
      <c r="B2206" s="708" t="s">
        <v>2922</v>
      </c>
    </row>
    <row r="2207" spans="1:17">
      <c r="A2207" s="708">
        <f>'Part VIII-Threshold Criteria'!A159</f>
        <v>0</v>
      </c>
    </row>
    <row r="2208" spans="1:17">
      <c r="A2208" s="708">
        <f>'Part VIII-Threshold Criteria'!A160</f>
        <v>0</v>
      </c>
    </row>
    <row r="2210" spans="1:17">
      <c r="A2210" s="708">
        <v>9</v>
      </c>
      <c r="B2210" s="708" t="s">
        <v>332</v>
      </c>
      <c r="O2210" s="708" t="s">
        <v>2923</v>
      </c>
      <c r="P2210" s="708">
        <f>'Part VIII-Threshold Criteria'!P162</f>
        <v>0</v>
      </c>
    </row>
    <row r="2211" spans="1:17">
      <c r="B2211" s="708" t="s">
        <v>3060</v>
      </c>
      <c r="C2211" s="708" t="s">
        <v>697</v>
      </c>
      <c r="O2211" s="708" t="s">
        <v>3060</v>
      </c>
      <c r="P2211" s="708" t="str">
        <f>'Part VIII-Threshold Criteria'!P163</f>
        <v>Yes</v>
      </c>
      <c r="Q2211" s="708">
        <f>'Part VIII-Threshold Criteria'!Q163</f>
        <v>0</v>
      </c>
    </row>
    <row r="2212" spans="1:17">
      <c r="B2212" s="708" t="s">
        <v>3063</v>
      </c>
      <c r="C2212" s="708" t="s">
        <v>722</v>
      </c>
      <c r="O2212" s="708" t="s">
        <v>3063</v>
      </c>
      <c r="P2212" s="708" t="str">
        <f>'Part VIII-Threshold Criteria'!P164</f>
        <v>Yes</v>
      </c>
      <c r="Q2212" s="708">
        <f>'Part VIII-Threshold Criteria'!Q164</f>
        <v>0</v>
      </c>
    </row>
    <row r="2213" spans="1:17">
      <c r="B2213" s="708" t="s">
        <v>1239</v>
      </c>
      <c r="C2213" s="708" t="s">
        <v>929</v>
      </c>
      <c r="O2213" s="708" t="s">
        <v>1239</v>
      </c>
      <c r="P2213" s="708" t="str">
        <f>'Part VIII-Threshold Criteria'!P165</f>
        <v>Yes</v>
      </c>
      <c r="Q2213" s="708">
        <f>'Part VIII-Threshold Criteria'!Q165</f>
        <v>0</v>
      </c>
    </row>
    <row r="2214" spans="1:17">
      <c r="B2214" s="708" t="s">
        <v>3212</v>
      </c>
      <c r="C2214" s="708" t="s">
        <v>930</v>
      </c>
      <c r="O2214" s="708" t="s">
        <v>3212</v>
      </c>
      <c r="P2214" s="708" t="str">
        <f>'Part VIII-Threshold Criteria'!P166</f>
        <v>Yes</v>
      </c>
      <c r="Q2214" s="708">
        <f>'Part VIII-Threshold Criteria'!Q166</f>
        <v>0</v>
      </c>
    </row>
    <row r="2215" spans="1:17">
      <c r="B2215" s="708" t="s">
        <v>2763</v>
      </c>
      <c r="C2215" s="708" t="s">
        <v>3594</v>
      </c>
      <c r="O2215" s="708" t="s">
        <v>2763</v>
      </c>
      <c r="P2215" s="708" t="str">
        <f>'Part VIII-Threshold Criteria'!P167</f>
        <v>Yes</v>
      </c>
      <c r="Q2215" s="708">
        <f>'Part VIII-Threshold Criteria'!Q167</f>
        <v>0</v>
      </c>
    </row>
    <row r="2216" spans="1:17">
      <c r="B2216" s="708" t="s">
        <v>2921</v>
      </c>
    </row>
    <row r="2217" spans="1:17">
      <c r="A2217" s="708" t="str">
        <f>'Part VIII-Threshold Criteria'!A169</f>
        <v>Note that the zoning letter also confirms that no prime or unique farmland is contained within this site.  Please see Tab 14.</v>
      </c>
    </row>
    <row r="2218" spans="1:17">
      <c r="A2218" s="708">
        <f>'Part VIII-Threshold Criteria'!A170</f>
        <v>0</v>
      </c>
    </row>
    <row r="2219" spans="1:17">
      <c r="B2219" s="708" t="s">
        <v>2922</v>
      </c>
    </row>
    <row r="2220" spans="1:17">
      <c r="A2220" s="708">
        <f>'Part VIII-Threshold Criteria'!A172</f>
        <v>0</v>
      </c>
    </row>
    <row r="2221" spans="1:17">
      <c r="A2221" s="708">
        <f>'Part VIII-Threshold Criteria'!A173</f>
        <v>0</v>
      </c>
    </row>
    <row r="2223" spans="1:17">
      <c r="A2223" s="708">
        <v>10</v>
      </c>
      <c r="B2223" s="708" t="s">
        <v>348</v>
      </c>
      <c r="O2223" s="708" t="s">
        <v>2923</v>
      </c>
      <c r="P2223" s="708">
        <f>'Part VIII-Threshold Criteria'!P175</f>
        <v>0</v>
      </c>
    </row>
    <row r="2224" spans="1:17">
      <c r="B2224" s="708" t="s">
        <v>3060</v>
      </c>
      <c r="C2224" s="708" t="s">
        <v>110</v>
      </c>
      <c r="H2224" s="708" t="s">
        <v>2765</v>
      </c>
      <c r="I2224" s="708" t="s">
        <v>206</v>
      </c>
      <c r="J2224" s="708" t="str">
        <f>'Part VIII-Threshold Criteria'!J176</f>
        <v>n/a - the site will not have natural gas utilities</v>
      </c>
      <c r="O2224" s="708" t="s">
        <v>2765</v>
      </c>
      <c r="P2224" s="708" t="str">
        <f>'Part VIII-Threshold Criteria'!P176</f>
        <v>No</v>
      </c>
      <c r="Q2224" s="708">
        <f>'Part VIII-Threshold Criteria'!Q176</f>
        <v>0</v>
      </c>
    </row>
    <row r="2225" spans="1:17">
      <c r="H2225" s="708" t="s">
        <v>2766</v>
      </c>
      <c r="I2225" s="708" t="s">
        <v>2358</v>
      </c>
      <c r="J2225" s="708" t="str">
        <f>'Part VIII-Threshold Criteria'!J177</f>
        <v>City of Forsyth</v>
      </c>
      <c r="O2225" s="708" t="s">
        <v>2766</v>
      </c>
      <c r="P2225" s="708" t="str">
        <f>'Part VIII-Threshold Criteria'!P177</f>
        <v>Yes</v>
      </c>
      <c r="Q2225" s="708">
        <f>'Part VIII-Threshold Criteria'!Q177</f>
        <v>0</v>
      </c>
    </row>
    <row r="2226" spans="1:17">
      <c r="B2226" s="708" t="s">
        <v>2921</v>
      </c>
    </row>
    <row r="2227" spans="1:17">
      <c r="A2227" s="708" t="str">
        <f>'Part VIII-Threshold Criteria'!A179</f>
        <v>This will be an all electric site.  The City of Forsyth provides electrical service to this site.  Please see Tab 15.</v>
      </c>
    </row>
    <row r="2228" spans="1:17">
      <c r="B2228" s="708" t="s">
        <v>2922</v>
      </c>
    </row>
    <row r="2229" spans="1:17">
      <c r="A2229" s="708">
        <f>'Part VIII-Threshold Criteria'!A181</f>
        <v>0</v>
      </c>
    </row>
    <row r="2231" spans="1:17">
      <c r="A2231" s="708">
        <v>11</v>
      </c>
      <c r="B2231" s="708" t="s">
        <v>3701</v>
      </c>
      <c r="O2231" s="708" t="s">
        <v>2923</v>
      </c>
      <c r="P2231" s="708">
        <f>'Part VIII-Threshold Criteria'!P183</f>
        <v>0</v>
      </c>
    </row>
    <row r="2233" spans="1:17">
      <c r="B2233" s="708" t="s">
        <v>3060</v>
      </c>
      <c r="C2233" s="708" t="s">
        <v>2765</v>
      </c>
      <c r="D2233" s="708" t="s">
        <v>802</v>
      </c>
      <c r="O2233" s="708" t="s">
        <v>2231</v>
      </c>
      <c r="P2233" s="708" t="str">
        <f>'Part VIII-Threshold Criteria'!P185</f>
        <v>No</v>
      </c>
      <c r="Q2233" s="708">
        <f>'Part VIII-Threshold Criteria'!Q185</f>
        <v>0</v>
      </c>
    </row>
    <row r="2234" spans="1:17">
      <c r="C2234" s="708" t="s">
        <v>2766</v>
      </c>
      <c r="D2234" s="708" t="s">
        <v>2201</v>
      </c>
      <c r="O2234" s="708" t="s">
        <v>2766</v>
      </c>
      <c r="P2234" s="708">
        <f>'Part VIII-Threshold Criteria'!P186</f>
        <v>0</v>
      </c>
      <c r="Q2234" s="708">
        <f>'Part VIII-Threshold Criteria'!Q186</f>
        <v>0</v>
      </c>
    </row>
    <row r="2235" spans="1:17">
      <c r="B2235" s="708" t="s">
        <v>3063</v>
      </c>
      <c r="C2235" s="708" t="s">
        <v>2903</v>
      </c>
      <c r="H2235" s="708" t="s">
        <v>2765</v>
      </c>
      <c r="I2235" s="708" t="s">
        <v>972</v>
      </c>
      <c r="J2235" s="708" t="str">
        <f>'Part VIII-Threshold Criteria'!J187</f>
        <v>City of Forsyth</v>
      </c>
      <c r="O2235" s="708" t="s">
        <v>2171</v>
      </c>
      <c r="P2235" s="708" t="str">
        <f>'Part VIII-Threshold Criteria'!P187</f>
        <v>Yes</v>
      </c>
      <c r="Q2235" s="708">
        <f>'Part VIII-Threshold Criteria'!Q187</f>
        <v>0</v>
      </c>
    </row>
    <row r="2236" spans="1:17">
      <c r="H2236" s="708" t="s">
        <v>2766</v>
      </c>
      <c r="I2236" s="708" t="s">
        <v>131</v>
      </c>
      <c r="J2236" s="708" t="str">
        <f>'Part VIII-Threshold Criteria'!J188</f>
        <v>City of Forsyth</v>
      </c>
      <c r="O2236" s="708" t="s">
        <v>2766</v>
      </c>
      <c r="P2236" s="708" t="str">
        <f>'Part VIII-Threshold Criteria'!P188</f>
        <v>Yes</v>
      </c>
      <c r="Q2236" s="708">
        <f>'Part VIII-Threshold Criteria'!Q188</f>
        <v>0</v>
      </c>
    </row>
    <row r="2237" spans="1:17">
      <c r="B2237" s="708" t="s">
        <v>2921</v>
      </c>
    </row>
    <row r="2238" spans="1:17">
      <c r="A2238" s="708" t="str">
        <f>'Part VIII-Threshold Criteria'!A190</f>
        <v>Public water and sewer are available to the site and will be connected to the mains via lines that run down S. Jackson Street and Sharp Street.  Please see Tab 15.</v>
      </c>
    </row>
    <row r="2239" spans="1:17">
      <c r="B2239" s="708" t="s">
        <v>2922</v>
      </c>
    </row>
    <row r="2240" spans="1:17">
      <c r="A2240" s="708">
        <f>'Part VIII-Threshold Criteria'!A192</f>
        <v>0</v>
      </c>
    </row>
    <row r="2242" spans="1:17">
      <c r="A2242" s="708">
        <v>12</v>
      </c>
      <c r="B2242" s="708" t="s">
        <v>192</v>
      </c>
      <c r="O2242" s="708" t="s">
        <v>2923</v>
      </c>
      <c r="P2242" s="708">
        <f>'Part VIII-Threshold Criteria'!P194</f>
        <v>0</v>
      </c>
    </row>
    <row r="2243" spans="1:17">
      <c r="B2243" s="708" t="s">
        <v>193</v>
      </c>
    </row>
    <row r="2244" spans="1:17">
      <c r="B2244" s="708" t="s">
        <v>3060</v>
      </c>
      <c r="C2244" s="708" t="s">
        <v>197</v>
      </c>
      <c r="O2244" s="708" t="s">
        <v>3060</v>
      </c>
      <c r="P2244" s="708" t="str">
        <f>'Part VIII-Threshold Criteria'!P196</f>
        <v>Yes</v>
      </c>
      <c r="Q2244" s="708">
        <f>'Part VIII-Threshold Criteria'!Q196</f>
        <v>0</v>
      </c>
    </row>
    <row r="2245" spans="1:17">
      <c r="B2245" s="708" t="s">
        <v>3063</v>
      </c>
      <c r="C2245" s="708" t="s">
        <v>194</v>
      </c>
      <c r="O2245" s="708" t="s">
        <v>3063</v>
      </c>
      <c r="P2245" s="708" t="str">
        <f>'Part VIII-Threshold Criteria'!P197</f>
        <v>Yes</v>
      </c>
      <c r="Q2245" s="708">
        <f>'Part VIII-Threshold Criteria'!Q197</f>
        <v>0</v>
      </c>
    </row>
    <row r="2246" spans="1:17">
      <c r="B2246" s="708" t="s">
        <v>1239</v>
      </c>
      <c r="C2246" s="708" t="s">
        <v>195</v>
      </c>
      <c r="O2246" s="708" t="s">
        <v>1239</v>
      </c>
      <c r="P2246" s="708" t="str">
        <f>'Part VIII-Threshold Criteria'!P198</f>
        <v>Yes</v>
      </c>
      <c r="Q2246" s="708">
        <f>'Part VIII-Threshold Criteria'!Q198</f>
        <v>0</v>
      </c>
    </row>
    <row r="2247" spans="1:17">
      <c r="B2247" s="708" t="s">
        <v>3212</v>
      </c>
      <c r="C2247" s="708" t="s">
        <v>196</v>
      </c>
      <c r="O2247" s="708" t="s">
        <v>3212</v>
      </c>
      <c r="P2247" s="708" t="str">
        <f>'Part VIII-Threshold Criteria'!P199</f>
        <v>Yes</v>
      </c>
      <c r="Q2247" s="708">
        <f>'Part VIII-Threshold Criteria'!Q199</f>
        <v>0</v>
      </c>
    </row>
    <row r="2248" spans="1:17">
      <c r="B2248" s="708" t="s">
        <v>2921</v>
      </c>
    </row>
    <row r="2249" spans="1:17">
      <c r="A2249" s="708" t="str">
        <f>'Part VIII-Threshold Criteria'!A201</f>
        <v>The City of Forsyth elected body is in strong support of this project.  We have evidence, through meeting minutes and the Resolution of Support, in addition to support letters from the community.  Please see Tab 16.</v>
      </c>
    </row>
    <row r="2250" spans="1:17">
      <c r="A2250" s="708">
        <f>'Part VIII-Threshold Criteria'!A202</f>
        <v>0</v>
      </c>
    </row>
    <row r="2252" spans="1:17">
      <c r="B2252" s="708" t="s">
        <v>2922</v>
      </c>
    </row>
    <row r="2253" spans="1:17">
      <c r="A2253" s="708">
        <f>'Part VIII-Threshold Criteria'!A205</f>
        <v>0</v>
      </c>
    </row>
    <row r="2254" spans="1:17">
      <c r="A2254" s="708">
        <f>'Part VIII-Threshold Criteria'!A206</f>
        <v>0</v>
      </c>
    </row>
    <row r="2256" spans="1:17">
      <c r="A2256" s="708">
        <v>13</v>
      </c>
      <c r="B2256" s="708" t="s">
        <v>681</v>
      </c>
      <c r="O2256" s="708" t="s">
        <v>2923</v>
      </c>
      <c r="P2256" s="708">
        <f>'Part VIII-Threshold Criteria'!P208</f>
        <v>0</v>
      </c>
    </row>
    <row r="2257" spans="2:17">
      <c r="B2257" s="708" t="s">
        <v>1839</v>
      </c>
      <c r="P2257" s="708" t="str">
        <f>'Part VIII-Threshold Criteria'!P209</f>
        <v>No</v>
      </c>
      <c r="Q2257" s="708">
        <f>'Part VIII-Threshold Criteria'!Q209</f>
        <v>0</v>
      </c>
    </row>
    <row r="2258" spans="2:17">
      <c r="B2258" s="708" t="s">
        <v>3060</v>
      </c>
      <c r="C2258" s="708" t="s">
        <v>2087</v>
      </c>
    </row>
    <row r="2259" spans="2:17">
      <c r="C2259" s="708" t="s">
        <v>2765</v>
      </c>
      <c r="D2259" s="708" t="s">
        <v>3003</v>
      </c>
      <c r="L2259" s="708" t="s">
        <v>2231</v>
      </c>
      <c r="M2259" s="708" t="str">
        <f>'Part VIII-Threshold Criteria'!M211</f>
        <v>Room</v>
      </c>
      <c r="P2259" s="708" t="str">
        <f>'Part VIII-Threshold Criteria'!P211</f>
        <v>Agree</v>
      </c>
      <c r="Q2259" s="708">
        <f>'Part VIII-Threshold Criteria'!Q211</f>
        <v>0</v>
      </c>
    </row>
    <row r="2260" spans="2:17">
      <c r="C2260" s="708" t="s">
        <v>2766</v>
      </c>
      <c r="D2260" s="708" t="s">
        <v>198</v>
      </c>
      <c r="L2260" s="708" t="s">
        <v>2232</v>
      </c>
      <c r="M2260" s="708" t="str">
        <f>'Part VIII-Threshold Criteria'!M212</f>
        <v>Covered Porch</v>
      </c>
      <c r="P2260" s="708" t="str">
        <f>'Part VIII-Threshold Criteria'!P212</f>
        <v>Agree</v>
      </c>
      <c r="Q2260" s="708">
        <f>'Part VIII-Threshold Criteria'!Q212</f>
        <v>0</v>
      </c>
    </row>
    <row r="2261" spans="2:17">
      <c r="C2261" s="708" t="s">
        <v>2767</v>
      </c>
      <c r="D2261" s="708" t="s">
        <v>856</v>
      </c>
      <c r="L2261" s="708" t="s">
        <v>2233</v>
      </c>
      <c r="M2261" s="708" t="str">
        <f>'Part VIII-Threshold Criteria'!M213</f>
        <v>On-site laundry</v>
      </c>
      <c r="P2261" s="708" t="str">
        <f>'Part VIII-Threshold Criteria'!P213</f>
        <v>Agree</v>
      </c>
      <c r="Q2261" s="708">
        <f>'Part VIII-Threshold Criteria'!Q213</f>
        <v>0</v>
      </c>
    </row>
    <row r="2263" spans="2:17">
      <c r="B2263" s="708" t="s">
        <v>3063</v>
      </c>
      <c r="C2263" s="708" t="s">
        <v>3792</v>
      </c>
      <c r="O2263" s="708" t="s">
        <v>3063</v>
      </c>
      <c r="P2263" s="708" t="str">
        <f>'Part VIII-Threshold Criteria'!P215</f>
        <v>Agree</v>
      </c>
      <c r="Q2263" s="708">
        <f>'Part VIII-Threshold Criteria'!Q215</f>
        <v>0</v>
      </c>
    </row>
    <row r="2264" spans="2:17">
      <c r="C2264" s="708" t="s">
        <v>4102</v>
      </c>
      <c r="P2264" s="708" t="s">
        <v>4</v>
      </c>
    </row>
    <row r="2265" spans="2:17">
      <c r="D2265" s="708" t="s">
        <v>3</v>
      </c>
      <c r="I2265" s="708" t="s">
        <v>1350</v>
      </c>
      <c r="J2265" s="708" t="s">
        <v>1351</v>
      </c>
      <c r="L2265" s="708" t="s">
        <v>3</v>
      </c>
      <c r="P2265" s="708" t="s">
        <v>1350</v>
      </c>
      <c r="Q2265" s="708" t="s">
        <v>1351</v>
      </c>
    </row>
    <row r="2266" spans="2:17">
      <c r="C2266" s="708" t="s">
        <v>2765</v>
      </c>
      <c r="D2266" s="708" t="str">
        <f>'Part VIII-Threshold Criteria'!D218</f>
        <v>Equipped Playground</v>
      </c>
      <c r="I2266" s="708">
        <f>'Part VIII-Threshold Criteria'!I218</f>
        <v>0</v>
      </c>
      <c r="J2266" s="708">
        <f>'Part VIII-Threshold Criteria'!J218</f>
        <v>0</v>
      </c>
      <c r="K2266" s="708" t="s">
        <v>2767</v>
      </c>
      <c r="L2266" s="708">
        <f>'Part VIII-Threshold Criteria'!L218</f>
        <v>0</v>
      </c>
      <c r="P2266" s="708">
        <f>'Part VIII-Threshold Criteria'!P218</f>
        <v>0</v>
      </c>
      <c r="Q2266" s="708">
        <f>'Part VIII-Threshold Criteria'!Q218</f>
        <v>0</v>
      </c>
    </row>
    <row r="2267" spans="2:17">
      <c r="C2267" s="708" t="s">
        <v>2766</v>
      </c>
      <c r="D2267" s="708" t="str">
        <f>'Part VIII-Threshold Criteria'!D219</f>
        <v>Covered gazebo with BBQ area</v>
      </c>
      <c r="I2267" s="708">
        <f>'Part VIII-Threshold Criteria'!I219</f>
        <v>0</v>
      </c>
      <c r="J2267" s="708">
        <f>'Part VIII-Threshold Criteria'!J219</f>
        <v>0</v>
      </c>
      <c r="K2267" s="708" t="s">
        <v>3571</v>
      </c>
      <c r="L2267" s="708">
        <f>'Part VIII-Threshold Criteria'!L219</f>
        <v>0</v>
      </c>
      <c r="P2267" s="708">
        <f>'Part VIII-Threshold Criteria'!P219</f>
        <v>0</v>
      </c>
      <c r="Q2267" s="708">
        <f>'Part VIII-Threshold Criteria'!Q219</f>
        <v>0</v>
      </c>
    </row>
    <row r="2269" spans="2:17">
      <c r="B2269" s="708" t="s">
        <v>1239</v>
      </c>
      <c r="C2269" s="708" t="s">
        <v>2088</v>
      </c>
      <c r="O2269" s="708" t="s">
        <v>1239</v>
      </c>
      <c r="P2269" s="708" t="str">
        <f>'Part VIII-Threshold Criteria'!P221</f>
        <v>Agree</v>
      </c>
      <c r="Q2269" s="708">
        <f>'Part VIII-Threshold Criteria'!Q221</f>
        <v>0</v>
      </c>
    </row>
    <row r="2270" spans="2:17">
      <c r="C2270" s="708" t="s">
        <v>2765</v>
      </c>
      <c r="D2270" s="708" t="s">
        <v>207</v>
      </c>
      <c r="O2270" s="708" t="s">
        <v>2765</v>
      </c>
      <c r="P2270" s="708" t="str">
        <f>'Part VIII-Threshold Criteria'!P222</f>
        <v>Yes</v>
      </c>
      <c r="Q2270" s="708">
        <f>'Part VIII-Threshold Criteria'!Q222</f>
        <v>0</v>
      </c>
    </row>
    <row r="2271" spans="2:17">
      <c r="C2271" s="708" t="s">
        <v>2766</v>
      </c>
      <c r="D2271" s="708" t="s">
        <v>2648</v>
      </c>
      <c r="O2271" s="708" t="s">
        <v>2766</v>
      </c>
      <c r="P2271" s="708" t="str">
        <f>'Part VIII-Threshold Criteria'!P223</f>
        <v>Yes</v>
      </c>
      <c r="Q2271" s="708">
        <f>'Part VIII-Threshold Criteria'!Q223</f>
        <v>0</v>
      </c>
    </row>
    <row r="2272" spans="2:17">
      <c r="C2272" s="708" t="s">
        <v>2767</v>
      </c>
      <c r="D2272" s="708" t="s">
        <v>2257</v>
      </c>
      <c r="O2272" s="708" t="s">
        <v>2767</v>
      </c>
      <c r="P2272" s="708" t="str">
        <f>'Part VIII-Threshold Criteria'!P224</f>
        <v>Yes</v>
      </c>
      <c r="Q2272" s="708">
        <f>'Part VIII-Threshold Criteria'!Q224</f>
        <v>0</v>
      </c>
    </row>
    <row r="2273" spans="1:17">
      <c r="C2273" s="708" t="s">
        <v>3571</v>
      </c>
      <c r="D2273" s="708" t="s">
        <v>208</v>
      </c>
      <c r="O2273" s="708" t="s">
        <v>3571</v>
      </c>
      <c r="P2273" s="708" t="str">
        <f>'Part VIII-Threshold Criteria'!P225</f>
        <v>Yes</v>
      </c>
      <c r="Q2273" s="708">
        <f>'Part VIII-Threshold Criteria'!Q225</f>
        <v>0</v>
      </c>
    </row>
    <row r="2274" spans="1:17">
      <c r="C2274" s="708" t="s">
        <v>2304</v>
      </c>
      <c r="D2274" s="708" t="s">
        <v>1352</v>
      </c>
      <c r="O2274" s="708" t="s">
        <v>1353</v>
      </c>
      <c r="P2274" s="708" t="str">
        <f>'Part VIII-Threshold Criteria'!P226</f>
        <v>Yes</v>
      </c>
      <c r="Q2274" s="708">
        <f>'Part VIII-Threshold Criteria'!Q226</f>
        <v>0</v>
      </c>
    </row>
    <row r="2275" spans="1:17">
      <c r="D2275" s="708" t="s">
        <v>2234</v>
      </c>
      <c r="O2275" s="708" t="s">
        <v>1354</v>
      </c>
      <c r="P2275" s="708" t="str">
        <f>'Part VIII-Threshold Criteria'!P227</f>
        <v>No</v>
      </c>
      <c r="Q2275" s="708">
        <f>'Part VIII-Threshold Criteria'!Q227</f>
        <v>0</v>
      </c>
    </row>
    <row r="2277" spans="1:17">
      <c r="B2277" s="708" t="s">
        <v>3212</v>
      </c>
      <c r="C2277" s="708" t="s">
        <v>2345</v>
      </c>
      <c r="O2277" s="708" t="s">
        <v>3212</v>
      </c>
      <c r="P2277" s="708">
        <f>'Part VIII-Threshold Criteria'!P229</f>
        <v>0</v>
      </c>
      <c r="Q2277" s="708">
        <f>'Part VIII-Threshold Criteria'!Q229</f>
        <v>0</v>
      </c>
    </row>
    <row r="2278" spans="1:17">
      <c r="C2278" s="708" t="s">
        <v>2765</v>
      </c>
      <c r="D2278" s="708" t="s">
        <v>1934</v>
      </c>
      <c r="O2278" s="708" t="s">
        <v>2765</v>
      </c>
      <c r="P2278" s="708">
        <f>'Part VIII-Threshold Criteria'!P230</f>
        <v>0</v>
      </c>
      <c r="Q2278" s="708">
        <f>'Part VIII-Threshold Criteria'!Q230</f>
        <v>0</v>
      </c>
    </row>
    <row r="2279" spans="1:17">
      <c r="C2279" s="708" t="s">
        <v>2766</v>
      </c>
      <c r="D2279" s="708" t="s">
        <v>199</v>
      </c>
      <c r="O2279" s="708" t="s">
        <v>2766</v>
      </c>
      <c r="P2279" s="708">
        <f>'Part VIII-Threshold Criteria'!P231</f>
        <v>0</v>
      </c>
      <c r="Q2279" s="708">
        <f>'Part VIII-Threshold Criteria'!Q231</f>
        <v>0</v>
      </c>
    </row>
    <row r="2280" spans="1:17">
      <c r="C2280" s="708" t="s">
        <v>2767</v>
      </c>
      <c r="D2280" s="708" t="s">
        <v>2626</v>
      </c>
      <c r="O2280" s="708" t="s">
        <v>3581</v>
      </c>
      <c r="P2280" s="708">
        <f>'Part VIII-Threshold Criteria'!P232</f>
        <v>0</v>
      </c>
      <c r="Q2280" s="708">
        <f>'Part VIII-Threshold Criteria'!Q232</f>
        <v>0</v>
      </c>
    </row>
    <row r="2281" spans="1:17">
      <c r="D2281" s="708" t="s">
        <v>1985</v>
      </c>
      <c r="O2281" s="708" t="s">
        <v>3582</v>
      </c>
      <c r="P2281" s="708">
        <f>'Part VIII-Threshold Criteria'!P233</f>
        <v>0</v>
      </c>
      <c r="Q2281" s="708">
        <f>'Part VIII-Threshold Criteria'!Q233</f>
        <v>0</v>
      </c>
    </row>
    <row r="2282" spans="1:17">
      <c r="B2282" s="708" t="s">
        <v>2921</v>
      </c>
    </row>
    <row r="2283" spans="1:17">
      <c r="A2283" s="708" t="str">
        <f>'Part VIII-Threshold Criteria'!A235</f>
        <v>The additional site amenities have been selected to serve our Family tenancy best.  They are clearly shown on the site plan in Tab 18.</v>
      </c>
    </row>
    <row r="2284" spans="1:17">
      <c r="A2284" s="708">
        <f>'Part VIII-Threshold Criteria'!A236</f>
        <v>0</v>
      </c>
    </row>
    <row r="2285" spans="1:17">
      <c r="B2285" s="708" t="s">
        <v>2922</v>
      </c>
    </row>
    <row r="2286" spans="1:17">
      <c r="A2286" s="708">
        <f>'Part VIII-Threshold Criteria'!A238</f>
        <v>0</v>
      </c>
    </row>
    <row r="2287" spans="1:17">
      <c r="A2287" s="708">
        <f>'Part VIII-Threshold Criteria'!A239</f>
        <v>0</v>
      </c>
    </row>
    <row r="2289" spans="1:17">
      <c r="A2289" s="708">
        <v>14</v>
      </c>
      <c r="B2289" s="708" t="s">
        <v>3121</v>
      </c>
      <c r="O2289" s="708" t="s">
        <v>2923</v>
      </c>
      <c r="P2289" s="708">
        <f>'Part VIII-Threshold Criteria'!P241</f>
        <v>0</v>
      </c>
    </row>
    <row r="2291" spans="1:17">
      <c r="B2291" s="708" t="s">
        <v>3060</v>
      </c>
      <c r="C2291" s="708" t="s">
        <v>1953</v>
      </c>
      <c r="L2291" s="708" t="s">
        <v>3060</v>
      </c>
      <c r="M2291" s="708" t="str">
        <f>'Part VIII-Threshold Criteria'!M243</f>
        <v>&lt;&lt;Select&gt;&gt;</v>
      </c>
      <c r="P2291" s="708" t="str">
        <f>'Part VIII-Threshold Criteria'!P243</f>
        <v>&lt;&lt;Select&gt;&gt;</v>
      </c>
    </row>
    <row r="2292" spans="1:17">
      <c r="B2292" s="708" t="s">
        <v>3063</v>
      </c>
      <c r="C2292" s="708" t="s">
        <v>1922</v>
      </c>
      <c r="L2292" s="708" t="s">
        <v>3063</v>
      </c>
      <c r="M2292" s="708">
        <f>'Part VIII-Threshold Criteria'!M244</f>
        <v>0</v>
      </c>
      <c r="P2292" s="708">
        <f>'Part VIII-Threshold Criteria'!P244</f>
        <v>0</v>
      </c>
    </row>
    <row r="2293" spans="1:17">
      <c r="B2293" s="708" t="s">
        <v>1239</v>
      </c>
      <c r="C2293" s="708" t="s">
        <v>3017</v>
      </c>
      <c r="L2293" s="708" t="s">
        <v>1239</v>
      </c>
      <c r="M2293" s="708">
        <f>'Part VIII-Threshold Criteria'!M245</f>
        <v>0</v>
      </c>
      <c r="P2293" s="708">
        <f>'Part VIII-Threshold Criteria'!P245</f>
        <v>0</v>
      </c>
    </row>
    <row r="2294" spans="1:17">
      <c r="B2294" s="708" t="s">
        <v>3212</v>
      </c>
      <c r="C2294" s="708" t="s">
        <v>3841</v>
      </c>
      <c r="O2294" s="708" t="s">
        <v>3212</v>
      </c>
      <c r="P2294" s="708">
        <f>'Part VIII-Threshold Criteria'!P246</f>
        <v>0</v>
      </c>
      <c r="Q2294" s="708">
        <f>'Part VIII-Threshold Criteria'!Q246</f>
        <v>0</v>
      </c>
    </row>
    <row r="2295" spans="1:17">
      <c r="B2295" s="708" t="s">
        <v>2763</v>
      </c>
      <c r="C2295" s="708" t="s">
        <v>4103</v>
      </c>
      <c r="O2295" s="708" t="s">
        <v>2763</v>
      </c>
      <c r="P2295" s="708">
        <f>'Part VIII-Threshold Criteria'!P247</f>
        <v>0</v>
      </c>
      <c r="Q2295" s="708">
        <f>'Part VIII-Threshold Criteria'!Q247</f>
        <v>0</v>
      </c>
    </row>
    <row r="2296" spans="1:17">
      <c r="B2296" s="708" t="s">
        <v>2921</v>
      </c>
    </row>
    <row r="2297" spans="1:17">
      <c r="A2297" s="708" t="str">
        <f>'Part VIII-Threshold Criteria'!A249</f>
        <v>This is a new construction project; there will be no rehabilitation involved.</v>
      </c>
    </row>
    <row r="2298" spans="1:17">
      <c r="A2298" s="708">
        <f>'Part VIII-Threshold Criteria'!A250</f>
        <v>0</v>
      </c>
    </row>
    <row r="2299" spans="1:17">
      <c r="B2299" s="708" t="s">
        <v>2922</v>
      </c>
    </row>
    <row r="2300" spans="1:17">
      <c r="A2300" s="708">
        <f>'Part VIII-Threshold Criteria'!A252</f>
        <v>0</v>
      </c>
    </row>
    <row r="2301" spans="1:17">
      <c r="A2301" s="708">
        <f>'Part VIII-Threshold Criteria'!A253</f>
        <v>0</v>
      </c>
    </row>
    <row r="2303" spans="1:17">
      <c r="A2303" s="708">
        <v>15</v>
      </c>
      <c r="B2303" s="708" t="s">
        <v>2820</v>
      </c>
      <c r="O2303" s="708" t="s">
        <v>2923</v>
      </c>
      <c r="P2303" s="708">
        <f>'Part VIII-Threshold Criteria'!P255</f>
        <v>0</v>
      </c>
    </row>
    <row r="2305" spans="1:17">
      <c r="B2305" s="708" t="s">
        <v>3060</v>
      </c>
      <c r="C2305" s="708" t="s">
        <v>3125</v>
      </c>
      <c r="O2305" s="708" t="s">
        <v>3060</v>
      </c>
      <c r="P2305" s="708" t="str">
        <f>'Part VIII-Threshold Criteria'!P257</f>
        <v>Yes</v>
      </c>
      <c r="Q2305" s="708">
        <f>'Part VIII-Threshold Criteria'!Q257</f>
        <v>0</v>
      </c>
    </row>
    <row r="2306" spans="1:17">
      <c r="B2306" s="708" t="s">
        <v>3063</v>
      </c>
      <c r="C2306" s="708" t="s">
        <v>2114</v>
      </c>
      <c r="O2306" s="708" t="s">
        <v>3063</v>
      </c>
      <c r="P2306" s="708" t="str">
        <f>'Part VIII-Threshold Criteria'!P258</f>
        <v>Yes</v>
      </c>
      <c r="Q2306" s="708">
        <f>'Part VIII-Threshold Criteria'!Q258</f>
        <v>0</v>
      </c>
    </row>
    <row r="2307" spans="1:17">
      <c r="B2307" s="708" t="s">
        <v>2921</v>
      </c>
    </row>
    <row r="2308" spans="1:17">
      <c r="A2308" s="708" t="str">
        <f>'Part VIII-Threshold Criteria'!A260</f>
        <v>The site plan included in Tab 18 contains all of the required features, as required under the 2011 QAP.</v>
      </c>
    </row>
    <row r="2309" spans="1:17">
      <c r="A2309" s="708">
        <f>'Part VIII-Threshold Criteria'!A261</f>
        <v>0</v>
      </c>
    </row>
    <row r="2310" spans="1:17">
      <c r="B2310" s="708" t="s">
        <v>2922</v>
      </c>
    </row>
    <row r="2311" spans="1:17">
      <c r="A2311" s="708">
        <f>'Part VIII-Threshold Criteria'!A263</f>
        <v>0</v>
      </c>
    </row>
    <row r="2312" spans="1:17">
      <c r="A2312" s="708">
        <f>'Part VIII-Threshold Criteria'!A264</f>
        <v>0</v>
      </c>
    </row>
    <row r="2314" spans="1:17">
      <c r="A2314" s="708">
        <v>16</v>
      </c>
      <c r="B2314" s="708" t="s">
        <v>1090</v>
      </c>
      <c r="O2314" s="708" t="s">
        <v>2923</v>
      </c>
      <c r="P2314" s="708">
        <f>'Part VIII-Threshold Criteria'!P266</f>
        <v>0</v>
      </c>
    </row>
    <row r="2316" spans="1:17" ht="24" customHeight="1">
      <c r="B2316" s="708" t="s">
        <v>3060</v>
      </c>
      <c r="C2316" s="708" t="s">
        <v>1208</v>
      </c>
      <c r="O2316" s="708" t="s">
        <v>3060</v>
      </c>
      <c r="P2316" s="708" t="str">
        <f>'Part VIII-Threshold Criteria'!P268</f>
        <v>Agree</v>
      </c>
      <c r="Q2316" s="708">
        <f>'Part VIII-Threshold Criteria'!Q268</f>
        <v>0</v>
      </c>
    </row>
    <row r="2317" spans="1:17" ht="24" customHeight="1">
      <c r="B2317" s="708" t="s">
        <v>3063</v>
      </c>
      <c r="C2317" s="708" t="s">
        <v>1209</v>
      </c>
      <c r="O2317" s="708" t="s">
        <v>3063</v>
      </c>
      <c r="P2317" s="708" t="str">
        <f>'Part VIII-Threshold Criteria'!P269</f>
        <v>Agree</v>
      </c>
      <c r="Q2317" s="708">
        <f>'Part VIII-Threshold Criteria'!Q269</f>
        <v>0</v>
      </c>
    </row>
    <row r="2318" spans="1:17" ht="33" customHeight="1">
      <c r="B2318" s="708" t="s">
        <v>1239</v>
      </c>
      <c r="C2318" s="708" t="s">
        <v>1210</v>
      </c>
      <c r="O2318" s="708" t="s">
        <v>3063</v>
      </c>
      <c r="P2318" s="708">
        <f>'Part VIII-Threshold Criteria'!P270</f>
        <v>0</v>
      </c>
      <c r="Q2318" s="708">
        <f>'Part VIII-Threshold Criteria'!Q270</f>
        <v>0</v>
      </c>
    </row>
    <row r="2319" spans="1:17">
      <c r="B2319" s="708" t="s">
        <v>2921</v>
      </c>
    </row>
    <row r="2320" spans="1:17">
      <c r="A2320" s="708" t="str">
        <f>'Part VIII-Threshold Criteria'!A272</f>
        <v>This is a 9% project, and item "C" does not apply to this project.  Please see Tab 29 for our Earthcraft score sheet.</v>
      </c>
    </row>
    <row r="2321" spans="1:17">
      <c r="A2321" s="708">
        <f>'Part VIII-Threshold Criteria'!A273</f>
        <v>0</v>
      </c>
    </row>
    <row r="2322" spans="1:17">
      <c r="B2322" s="708" t="s">
        <v>2922</v>
      </c>
    </row>
    <row r="2323" spans="1:17">
      <c r="A2323" s="708">
        <f>'Part VIII-Threshold Criteria'!A275</f>
        <v>0</v>
      </c>
    </row>
    <row r="2324" spans="1:17">
      <c r="A2324" s="708">
        <f>'Part VIII-Threshold Criteria'!A276</f>
        <v>0</v>
      </c>
    </row>
    <row r="2326" spans="1:17">
      <c r="A2326" s="708">
        <v>17</v>
      </c>
      <c r="B2326" s="708" t="s">
        <v>878</v>
      </c>
      <c r="O2326" s="708" t="s">
        <v>2923</v>
      </c>
      <c r="P2326" s="708">
        <f>'Part VIII-Threshold Criteria'!P278</f>
        <v>0</v>
      </c>
    </row>
    <row r="2327" spans="1:17">
      <c r="B2327" s="708" t="s">
        <v>3060</v>
      </c>
      <c r="C2327" s="708" t="s">
        <v>2944</v>
      </c>
      <c r="O2327" s="708" t="s">
        <v>3060</v>
      </c>
      <c r="P2327" s="708" t="str">
        <f>'Part VIII-Threshold Criteria'!P279</f>
        <v>Yes</v>
      </c>
      <c r="Q2327" s="708">
        <f>'Part VIII-Threshold Criteria'!Q279</f>
        <v>0</v>
      </c>
    </row>
    <row r="2328" spans="1:17">
      <c r="B2328" s="708" t="s">
        <v>3063</v>
      </c>
      <c r="C2328" s="708" t="s">
        <v>3119</v>
      </c>
      <c r="O2328" s="708" t="s">
        <v>3063</v>
      </c>
      <c r="P2328" s="708" t="str">
        <f>'Part VIII-Threshold Criteria'!P280</f>
        <v>Yes</v>
      </c>
      <c r="Q2328" s="708">
        <f>'Part VIII-Threshold Criteria'!Q280</f>
        <v>0</v>
      </c>
    </row>
    <row r="2329" spans="1:17">
      <c r="B2329" s="708" t="s">
        <v>1239</v>
      </c>
      <c r="C2329" s="708" t="s">
        <v>2888</v>
      </c>
      <c r="O2329" s="708" t="s">
        <v>1239</v>
      </c>
      <c r="P2329" s="708" t="str">
        <f>'Part VIII-Threshold Criteria'!P281</f>
        <v>Yes</v>
      </c>
      <c r="Q2329" s="708">
        <f>'Part VIII-Threshold Criteria'!Q281</f>
        <v>0</v>
      </c>
    </row>
    <row r="2330" spans="1:17">
      <c r="B2330" s="708" t="s">
        <v>3212</v>
      </c>
      <c r="C2330" s="708" t="s">
        <v>2889</v>
      </c>
      <c r="O2330" s="708" t="s">
        <v>3212</v>
      </c>
      <c r="P2330" s="708" t="str">
        <f>'Part VIII-Threshold Criteria'!P282</f>
        <v>Yes</v>
      </c>
      <c r="Q2330" s="708">
        <f>'Part VIII-Threshold Criteria'!Q282</f>
        <v>0</v>
      </c>
    </row>
    <row r="2331" spans="1:17">
      <c r="B2331" s="708" t="s">
        <v>2763</v>
      </c>
      <c r="C2331" s="708" t="s">
        <v>1081</v>
      </c>
      <c r="O2331" s="708" t="s">
        <v>2763</v>
      </c>
      <c r="P2331" s="708" t="str">
        <f>'Part VIII-Threshold Criteria'!P283</f>
        <v>Yes</v>
      </c>
      <c r="Q2331" s="708">
        <f>'Part VIII-Threshold Criteria'!Q283</f>
        <v>0</v>
      </c>
    </row>
    <row r="2332" spans="1:17">
      <c r="B2332" s="708" t="s">
        <v>2921</v>
      </c>
    </row>
    <row r="2333" spans="1:17">
      <c r="A2333" s="708" t="str">
        <f>'Part VIII-Threshold Criteria'!A285</f>
        <v>This site will be developed to conform to the required accessibility standards.  Please see Tab 18 for the Site Plan.</v>
      </c>
    </row>
    <row r="2334" spans="1:17">
      <c r="A2334" s="708">
        <f>'Part VIII-Threshold Criteria'!A286</f>
        <v>0</v>
      </c>
    </row>
    <row r="2335" spans="1:17">
      <c r="B2335" s="708" t="s">
        <v>2922</v>
      </c>
    </row>
    <row r="2336" spans="1:17">
      <c r="A2336" s="708">
        <f>'Part VIII-Threshold Criteria'!A288</f>
        <v>0</v>
      </c>
    </row>
    <row r="2337" spans="1:17">
      <c r="A2337" s="708">
        <f>'Part VIII-Threshold Criteria'!A289</f>
        <v>0</v>
      </c>
    </row>
    <row r="2338" spans="1:17">
      <c r="A2338" s="708">
        <v>18</v>
      </c>
      <c r="B2338" s="708" t="s">
        <v>3325</v>
      </c>
      <c r="O2338" s="708" t="s">
        <v>2923</v>
      </c>
      <c r="P2338" s="708">
        <f>'Part VIII-Threshold Criteria'!P290</f>
        <v>0</v>
      </c>
    </row>
    <row r="2339" spans="1:17">
      <c r="B2339" s="708" t="s">
        <v>3382</v>
      </c>
      <c r="P2339" s="708" t="str">
        <f>'Part VIII-Threshold Criteria'!P291</f>
        <v>No</v>
      </c>
      <c r="Q2339" s="708">
        <f>'Part VIII-Threshold Criteria'!Q291</f>
        <v>0</v>
      </c>
    </row>
    <row r="2340" spans="1:17">
      <c r="B2340" s="708" t="s">
        <v>3326</v>
      </c>
      <c r="P2340" s="708" t="str">
        <f>'Part VIII-Threshold Criteria'!P292</f>
        <v>Yes</v>
      </c>
      <c r="Q2340" s="708">
        <f>'Part VIII-Threshold Criteria'!Q292</f>
        <v>0</v>
      </c>
    </row>
    <row r="2341" spans="1:17">
      <c r="B2341" s="708" t="s">
        <v>3060</v>
      </c>
      <c r="C2341" s="708" t="s">
        <v>3609</v>
      </c>
    </row>
    <row r="2342" spans="1:17">
      <c r="C2342" s="708" t="s">
        <v>1082</v>
      </c>
      <c r="O2342" s="708" t="s">
        <v>3060</v>
      </c>
      <c r="P2342" s="708" t="str">
        <f>'Part VIII-Threshold Criteria'!P294</f>
        <v>Yes</v>
      </c>
      <c r="Q2342" s="708">
        <f>'Part VIII-Threshold Criteria'!Q294</f>
        <v>0</v>
      </c>
    </row>
    <row r="2344" spans="1:17">
      <c r="B2344" s="708" t="s">
        <v>3063</v>
      </c>
      <c r="C2344" s="708" t="s">
        <v>675</v>
      </c>
      <c r="O2344" s="708" t="s">
        <v>3063</v>
      </c>
      <c r="P2344" s="708" t="str">
        <f>'Part VIII-Threshold Criteria'!P296</f>
        <v>Yes</v>
      </c>
      <c r="Q2344" s="708">
        <f>'Part VIII-Threshold Criteria'!Q296</f>
        <v>0</v>
      </c>
    </row>
    <row r="2345" spans="1:17">
      <c r="C2345" s="708" t="s">
        <v>2765</v>
      </c>
      <c r="D2345" s="708" t="s">
        <v>1767</v>
      </c>
      <c r="G2345" s="708" t="str">
        <f>'Part VIII-Threshold Criteria'!G297</f>
        <v>Exterior wall faces will have an excess of 40% brick or stone on each total wall surface</v>
      </c>
      <c r="O2345" s="708" t="s">
        <v>2765</v>
      </c>
      <c r="P2345" s="708" t="str">
        <f>'Part VIII-Threshold Criteria'!P297</f>
        <v>Yes</v>
      </c>
      <c r="Q2345" s="708">
        <f>'Part VIII-Threshold Criteria'!Q297</f>
        <v>0</v>
      </c>
    </row>
    <row r="2346" spans="1:17" ht="13.15" customHeight="1">
      <c r="C2346" s="708" t="s">
        <v>2766</v>
      </c>
      <c r="D2346" s="708" t="s">
        <v>4104</v>
      </c>
      <c r="G2346" s="708" t="str">
        <f>'Part VIII-Threshold Criteria'!G298</f>
        <v>Addition of or the redesign of existing covered entries</v>
      </c>
      <c r="O2346" s="708" t="s">
        <v>2766</v>
      </c>
      <c r="P2346" s="708" t="str">
        <f>'Part VIII-Threshold Criteria'!P298</f>
        <v>Yes</v>
      </c>
      <c r="Q2346" s="708">
        <f>'Part VIII-Threshold Criteria'!Q298</f>
        <v>0</v>
      </c>
    </row>
    <row r="2347" spans="1:17" ht="13.15" customHeight="1">
      <c r="G2347" s="708" t="str">
        <f>'Part VIII-Threshold Criteria'!G299</f>
        <v>Addition of new or redesign of existing durable attractive stair and railing elements</v>
      </c>
      <c r="P2347" s="708" t="str">
        <f>'Part VIII-Threshold Criteria'!P299</f>
        <v>Yes</v>
      </c>
      <c r="Q2347" s="708">
        <f>'Part VIII-Threshold Criteria'!Q299</f>
        <v>0</v>
      </c>
    </row>
    <row r="2348" spans="1:17" ht="13.15" customHeight="1">
      <c r="C2348" s="708" t="s">
        <v>2767</v>
      </c>
      <c r="D2348" s="708" t="s">
        <v>1768</v>
      </c>
      <c r="G2348" s="708" t="str">
        <f>'Part VIII-Threshold Criteria'!G300</f>
        <v>Fiber cement siding, hard stucco and/or wood siding will be installed on all exterior wall surfaces not already required to be brick</v>
      </c>
      <c r="O2348" s="708" t="s">
        <v>2767</v>
      </c>
      <c r="P2348" s="708" t="str">
        <f>'Part VIII-Threshold Criteria'!P300</f>
        <v>Yes</v>
      </c>
      <c r="Q2348" s="708">
        <f>'Part VIII-Threshold Criteria'!Q300</f>
        <v>0</v>
      </c>
    </row>
    <row r="2349" spans="1:17" ht="13.15" customHeight="1">
      <c r="C2349" s="708" t="s">
        <v>3571</v>
      </c>
      <c r="D2349" s="708" t="s">
        <v>4105</v>
      </c>
      <c r="G2349" s="708" t="str">
        <f>'Part VIII-Threshold Criteria'!G301</f>
        <v>Site entry w/ permanent, illuminated entry sign and decorative fence</v>
      </c>
      <c r="O2349" s="708" t="s">
        <v>3571</v>
      </c>
      <c r="P2349" s="708" t="str">
        <f>'Part VIII-Threshold Criteria'!P301</f>
        <v>Yes</v>
      </c>
      <c r="Q2349" s="708">
        <f>'Part VIII-Threshold Criteria'!Q301</f>
        <v>0</v>
      </c>
    </row>
    <row r="2350" spans="1:17" ht="13.15" customHeight="1">
      <c r="G2350" s="708" t="str">
        <f>'Part VIII-Threshold Criteria'!G302</f>
        <v>Freestanding shelters</v>
      </c>
      <c r="P2350" s="708" t="str">
        <f>'Part VIII-Threshold Criteria'!P302</f>
        <v>Yes</v>
      </c>
      <c r="Q2350" s="708">
        <f>'Part VIII-Threshold Criteria'!Q302</f>
        <v>0</v>
      </c>
    </row>
    <row r="2352" spans="1:17">
      <c r="B2352" s="708" t="s">
        <v>2921</v>
      </c>
    </row>
    <row r="2353" spans="1:17">
      <c r="A2353" s="708" t="str">
        <f>'Part VIII-Threshold Criteria'!A305</f>
        <v>Please see Tab 18 for the Site Plan.</v>
      </c>
    </row>
    <row r="2354" spans="1:17">
      <c r="A2354" s="708">
        <f>'Part VIII-Threshold Criteria'!A306</f>
        <v>0</v>
      </c>
    </row>
    <row r="2355" spans="1:17">
      <c r="B2355" s="708" t="s">
        <v>2922</v>
      </c>
    </row>
    <row r="2356" spans="1:17">
      <c r="A2356" s="708">
        <f>'Part VIII-Threshold Criteria'!A308</f>
        <v>0</v>
      </c>
    </row>
    <row r="2357" spans="1:17">
      <c r="A2357" s="708">
        <f>'Part VIII-Threshold Criteria'!A309</f>
        <v>0</v>
      </c>
    </row>
    <row r="2359" spans="1:17">
      <c r="A2359" s="708">
        <v>19</v>
      </c>
      <c r="B2359" s="708" t="s">
        <v>3122</v>
      </c>
      <c r="O2359" s="708" t="s">
        <v>2923</v>
      </c>
      <c r="P2359" s="708">
        <f>'Part VIII-Threshold Criteria'!P311</f>
        <v>0</v>
      </c>
    </row>
    <row r="2361" spans="1:17">
      <c r="B2361" s="708" t="s">
        <v>3514</v>
      </c>
      <c r="P2361" s="708" t="str">
        <f>'Part VIII-Threshold Criteria'!P313</f>
        <v>Yes</v>
      </c>
      <c r="Q2361" s="708">
        <f>'Part VIII-Threshold Criteria'!Q313</f>
        <v>0</v>
      </c>
    </row>
    <row r="2362" spans="1:17">
      <c r="B2362" s="708" t="s">
        <v>3515</v>
      </c>
      <c r="P2362" s="708" t="str">
        <f>'Part VIII-Threshold Criteria'!P314</f>
        <v>No</v>
      </c>
      <c r="Q2362" s="708">
        <f>'Part VIII-Threshold Criteria'!Q314</f>
        <v>0</v>
      </c>
    </row>
    <row r="2363" spans="1:17">
      <c r="B2363" s="708" t="s">
        <v>925</v>
      </c>
      <c r="L2363" s="708" t="str">
        <f>'Part VIII-Threshold Criteria'!L315</f>
        <v>Qualified without Conditions</v>
      </c>
      <c r="P2363" s="708" t="str">
        <f>'Part VIII-Threshold Criteria'!P315</f>
        <v>Yes</v>
      </c>
      <c r="Q2363" s="708">
        <f>'Part VIII-Threshold Criteria'!Q315</f>
        <v>0</v>
      </c>
    </row>
    <row r="2364" spans="1:17">
      <c r="B2364" s="708" t="s">
        <v>3516</v>
      </c>
      <c r="L2364" s="708">
        <f>'Part VIII-Threshold Criteria'!L316</f>
        <v>0</v>
      </c>
    </row>
    <row r="2366" spans="1:17">
      <c r="B2366" s="708" t="s">
        <v>2921</v>
      </c>
    </row>
    <row r="2367" spans="1:17">
      <c r="A2367" s="708" t="str">
        <f>'Part VIII-Threshold Criteria'!A319</f>
        <v>The team as presented in the Pre-application process, with In-Fill Housing, Inc., through a wholly owned subsidiary being the 100% GP and 100% Developer, has been approved by DCA as "Qualified without Conditions".  Please note that Tapestry Development Group, Inc., a Georgia non-profit, will be consulting to In-Fill Housing, Inc. on various stages of the development process.  The consulting agreement with Tapestry is located in Tab 19.  The total of the Developer Fee and all consulting fees does not exceed the maximum allowable Developer Fee.</v>
      </c>
    </row>
    <row r="2368" spans="1:17">
      <c r="A2368" s="708">
        <f>'Part VIII-Threshold Criteria'!A320</f>
        <v>0</v>
      </c>
    </row>
    <row r="2369" spans="1:17">
      <c r="A2369" s="708">
        <f>'Part VIII-Threshold Criteria'!A321</f>
        <v>0</v>
      </c>
    </row>
    <row r="2370" spans="1:17">
      <c r="B2370" s="708" t="s">
        <v>2922</v>
      </c>
    </row>
    <row r="2371" spans="1:17">
      <c r="A2371" s="708">
        <f>'Part VIII-Threshold Criteria'!A323</f>
        <v>0</v>
      </c>
    </row>
    <row r="2372" spans="1:17">
      <c r="A2372" s="708">
        <f>'Part VIII-Threshold Criteria'!A324</f>
        <v>0</v>
      </c>
    </row>
    <row r="2373" spans="1:17">
      <c r="A2373" s="708">
        <f>'Part VIII-Threshold Criteria'!A325</f>
        <v>0</v>
      </c>
    </row>
    <row r="2375" spans="1:17">
      <c r="A2375" s="708">
        <v>20</v>
      </c>
      <c r="B2375" s="708" t="s">
        <v>471</v>
      </c>
      <c r="O2375" s="708" t="s">
        <v>2923</v>
      </c>
      <c r="P2375" s="708">
        <f>'Part VIII-Threshold Criteria'!P327</f>
        <v>0</v>
      </c>
    </row>
    <row r="2377" spans="1:17">
      <c r="B2377" s="708" t="s">
        <v>3060</v>
      </c>
      <c r="C2377" s="708" t="s">
        <v>2544</v>
      </c>
      <c r="O2377" s="708" t="s">
        <v>3060</v>
      </c>
      <c r="P2377" s="708" t="str">
        <f>'Part VIII-Threshold Criteria'!P329</f>
        <v>Yes</v>
      </c>
      <c r="Q2377" s="708">
        <f>'Part VIII-Threshold Criteria'!Q329</f>
        <v>0</v>
      </c>
    </row>
    <row r="2378" spans="1:17">
      <c r="B2378" s="708" t="s">
        <v>3063</v>
      </c>
      <c r="C2378" s="708" t="s">
        <v>356</v>
      </c>
      <c r="O2378" s="708" t="s">
        <v>3063</v>
      </c>
      <c r="P2378" s="708" t="str">
        <f>'Part VIII-Threshold Criteria'!P330</f>
        <v>Yes</v>
      </c>
      <c r="Q2378" s="708">
        <f>'Part VIII-Threshold Criteria'!Q330</f>
        <v>0</v>
      </c>
    </row>
    <row r="2379" spans="1:17">
      <c r="B2379" s="708" t="s">
        <v>1239</v>
      </c>
      <c r="C2379" s="708" t="s">
        <v>1966</v>
      </c>
      <c r="O2379" s="708" t="s">
        <v>1239</v>
      </c>
      <c r="P2379" s="708" t="str">
        <f>'Part VIII-Threshold Criteria'!P331</f>
        <v>Yes</v>
      </c>
      <c r="Q2379" s="708">
        <f>'Part VIII-Threshold Criteria'!Q331</f>
        <v>0</v>
      </c>
    </row>
    <row r="2380" spans="1:17">
      <c r="B2380" s="708" t="s">
        <v>3212</v>
      </c>
      <c r="C2380" s="708" t="s">
        <v>1059</v>
      </c>
      <c r="O2380" s="708" t="s">
        <v>3212</v>
      </c>
      <c r="P2380" s="708" t="str">
        <f>'Part VIII-Threshold Criteria'!P332</f>
        <v>Yes</v>
      </c>
      <c r="Q2380" s="708">
        <f>'Part VIII-Threshold Criteria'!Q332</f>
        <v>0</v>
      </c>
    </row>
    <row r="2381" spans="1:17">
      <c r="B2381" s="708" t="s">
        <v>2921</v>
      </c>
    </row>
    <row r="2382" spans="1:17">
      <c r="A2382" s="708" t="str">
        <f>'Part VIII-Threshold Criteria'!A334</f>
        <v>For 20 (B) and 20 (D), please note that none of the partners have out of state projects.</v>
      </c>
    </row>
    <row r="2383" spans="1:17">
      <c r="A2383" s="708">
        <f>'Part VIII-Threshold Criteria'!A335</f>
        <v>0</v>
      </c>
    </row>
    <row r="2385" spans="1:17">
      <c r="B2385" s="708" t="s">
        <v>2922</v>
      </c>
    </row>
    <row r="2386" spans="1:17">
      <c r="A2386" s="708">
        <f>'Part VIII-Threshold Criteria'!A338</f>
        <v>0</v>
      </c>
    </row>
    <row r="2387" spans="1:17">
      <c r="A2387" s="708">
        <f>'Part VIII-Threshold Criteria'!A339</f>
        <v>0</v>
      </c>
    </row>
    <row r="2389" spans="1:17">
      <c r="A2389" s="708">
        <v>21</v>
      </c>
      <c r="B2389" s="708" t="s">
        <v>1554</v>
      </c>
      <c r="O2389" s="708" t="s">
        <v>2923</v>
      </c>
      <c r="P2389" s="708">
        <f>'Part VIII-Threshold Criteria'!P341</f>
        <v>0</v>
      </c>
    </row>
    <row r="2390" spans="1:17">
      <c r="B2390" s="708" t="s">
        <v>3060</v>
      </c>
      <c r="C2390" s="708" t="s">
        <v>2084</v>
      </c>
      <c r="J2390" s="708" t="s">
        <v>3060</v>
      </c>
      <c r="K2390" s="708" t="str">
        <f>'Part VIII-Threshold Criteria'!K342</f>
        <v>In-Fill Housing, Inc.</v>
      </c>
      <c r="P2390" s="708" t="str">
        <f>'Part VIII-Threshold Criteria'!P342</f>
        <v>Yes</v>
      </c>
      <c r="Q2390" s="708">
        <f>'Part VIII-Threshold Criteria'!Q342</f>
        <v>0</v>
      </c>
    </row>
    <row r="2391" spans="1:17">
      <c r="B2391" s="708" t="s">
        <v>3063</v>
      </c>
      <c r="C2391" s="708" t="s">
        <v>2907</v>
      </c>
      <c r="O2391" s="708" t="s">
        <v>3063</v>
      </c>
      <c r="P2391" s="708" t="str">
        <f>'Part VIII-Threshold Criteria'!P343</f>
        <v>Yes</v>
      </c>
      <c r="Q2391" s="708">
        <f>'Part VIII-Threshold Criteria'!Q343</f>
        <v>0</v>
      </c>
    </row>
    <row r="2392" spans="1:17">
      <c r="B2392" s="708" t="s">
        <v>1239</v>
      </c>
      <c r="C2392" s="708" t="s">
        <v>1555</v>
      </c>
      <c r="O2392" s="708" t="s">
        <v>1239</v>
      </c>
      <c r="P2392" s="708" t="str">
        <f>'Part VIII-Threshold Criteria'!P344</f>
        <v>Yes</v>
      </c>
      <c r="Q2392" s="708">
        <f>'Part VIII-Threshold Criteria'!Q344</f>
        <v>0</v>
      </c>
    </row>
    <row r="2393" spans="1:17">
      <c r="B2393" s="708" t="s">
        <v>3212</v>
      </c>
      <c r="C2393" s="708" t="s">
        <v>355</v>
      </c>
      <c r="O2393" s="708" t="s">
        <v>3212</v>
      </c>
      <c r="P2393" s="708" t="str">
        <f>'Part VIII-Threshold Criteria'!P345</f>
        <v>Yes</v>
      </c>
      <c r="Q2393" s="708">
        <f>'Part VIII-Threshold Criteria'!Q345</f>
        <v>0</v>
      </c>
    </row>
    <row r="2394" spans="1:17">
      <c r="B2394" s="708" t="s">
        <v>2763</v>
      </c>
      <c r="C2394" s="708" t="s">
        <v>430</v>
      </c>
      <c r="O2394" s="708" t="s">
        <v>2763</v>
      </c>
      <c r="P2394" s="708" t="str">
        <f>'Part VIII-Threshold Criteria'!P346</f>
        <v>Yes</v>
      </c>
      <c r="Q2394" s="708">
        <f>'Part VIII-Threshold Criteria'!Q346</f>
        <v>0</v>
      </c>
    </row>
    <row r="2395" spans="1:17">
      <c r="B2395" s="708" t="s">
        <v>2764</v>
      </c>
      <c r="C2395" s="708" t="s">
        <v>1986</v>
      </c>
      <c r="O2395" s="708" t="s">
        <v>2764</v>
      </c>
      <c r="P2395" s="708">
        <f>'Part VIII-Threshold Criteria'!P347</f>
        <v>0</v>
      </c>
      <c r="Q2395" s="708">
        <f>'Part VIII-Threshold Criteria'!Q347</f>
        <v>0</v>
      </c>
    </row>
    <row r="2396" spans="1:17">
      <c r="B2396" s="708" t="s">
        <v>2921</v>
      </c>
    </row>
    <row r="2397" spans="1:17">
      <c r="A2397" s="708" t="str">
        <f>'Part VIII-Threshold Criteria'!A349</f>
        <v>In-Fill Housing, Inc. is a qualified 501c4 Georgia non-profit, with 100% of the General Partnership interest and 100% of the Developer interest, and will receive 100% of the Developer Fee.  This is not a Joint Venture deal, therefore the JVA requested in 21 (F) is "not applicable".</v>
      </c>
    </row>
    <row r="2398" spans="1:17">
      <c r="B2398" s="708" t="s">
        <v>2922</v>
      </c>
    </row>
    <row r="2399" spans="1:17">
      <c r="A2399" s="708">
        <f>'Part VIII-Threshold Criteria'!A351</f>
        <v>0</v>
      </c>
    </row>
    <row r="2401" spans="1:17">
      <c r="A2401" s="708">
        <v>22</v>
      </c>
      <c r="B2401" s="708" t="s">
        <v>3754</v>
      </c>
      <c r="O2401" s="708" t="s">
        <v>2923</v>
      </c>
      <c r="P2401" s="708">
        <f>'Part VIII-Threshold Criteria'!P353</f>
        <v>0</v>
      </c>
    </row>
    <row r="2402" spans="1:17">
      <c r="B2402" s="708" t="s">
        <v>3060</v>
      </c>
      <c r="C2402" s="708" t="s">
        <v>1658</v>
      </c>
      <c r="J2402" s="708" t="s">
        <v>3060</v>
      </c>
      <c r="K2402" s="708" t="str">
        <f>'Part VIII-Threshold Criteria'!K354</f>
        <v>not applicable</v>
      </c>
      <c r="P2402" s="708">
        <f>'Part VIII-Threshold Criteria'!P354</f>
        <v>0</v>
      </c>
      <c r="Q2402" s="708">
        <f>'Part VIII-Threshold Criteria'!Q354</f>
        <v>0</v>
      </c>
    </row>
    <row r="2403" spans="1:17">
      <c r="B2403" s="708" t="s">
        <v>3063</v>
      </c>
      <c r="C2403" s="708" t="s">
        <v>2768</v>
      </c>
      <c r="O2403" s="708" t="s">
        <v>3063</v>
      </c>
      <c r="P2403" s="708">
        <f>'Part VIII-Threshold Criteria'!P355</f>
        <v>0</v>
      </c>
      <c r="Q2403" s="708">
        <f>'Part VIII-Threshold Criteria'!Q355</f>
        <v>0</v>
      </c>
    </row>
    <row r="2404" spans="1:17">
      <c r="B2404" s="708" t="s">
        <v>1239</v>
      </c>
      <c r="C2404" s="708" t="s">
        <v>2148</v>
      </c>
      <c r="O2404" s="708" t="s">
        <v>1239</v>
      </c>
      <c r="P2404" s="708">
        <f>'Part VIII-Threshold Criteria'!P356</f>
        <v>0</v>
      </c>
      <c r="Q2404" s="708">
        <f>'Part VIII-Threshold Criteria'!Q356</f>
        <v>0</v>
      </c>
    </row>
    <row r="2405" spans="1:17">
      <c r="B2405" s="708" t="s">
        <v>3212</v>
      </c>
      <c r="C2405" s="708" t="s">
        <v>3090</v>
      </c>
      <c r="O2405" s="708" t="s">
        <v>3212</v>
      </c>
      <c r="P2405" s="708">
        <f>'Part VIII-Threshold Criteria'!P357</f>
        <v>0</v>
      </c>
      <c r="Q2405" s="708">
        <f>'Part VIII-Threshold Criteria'!Q357</f>
        <v>0</v>
      </c>
    </row>
    <row r="2406" spans="1:17">
      <c r="B2406" s="708" t="s">
        <v>2763</v>
      </c>
      <c r="C2406" s="708" t="s">
        <v>636</v>
      </c>
      <c r="O2406" s="708" t="s">
        <v>2763</v>
      </c>
      <c r="P2406" s="708">
        <f>'Part VIII-Threshold Criteria'!P358</f>
        <v>0</v>
      </c>
      <c r="Q2406" s="708">
        <f>'Part VIII-Threshold Criteria'!Q358</f>
        <v>0</v>
      </c>
    </row>
    <row r="2407" spans="1:17">
      <c r="B2407" s="708" t="s">
        <v>2764</v>
      </c>
      <c r="C2407" s="708" t="s">
        <v>230</v>
      </c>
      <c r="O2407" s="708" t="s">
        <v>2764</v>
      </c>
      <c r="P2407" s="708">
        <f>'Part VIII-Threshold Criteria'!P359</f>
        <v>0</v>
      </c>
      <c r="Q2407" s="708">
        <f>'Part VIII-Threshold Criteria'!Q359</f>
        <v>0</v>
      </c>
    </row>
    <row r="2408" spans="1:17">
      <c r="B2408" s="708" t="s">
        <v>3020</v>
      </c>
      <c r="C2408" s="708" t="s">
        <v>852</v>
      </c>
      <c r="O2408" s="708" t="s">
        <v>3020</v>
      </c>
      <c r="P2408" s="708">
        <f>'Part VIII-Threshold Criteria'!P360</f>
        <v>0</v>
      </c>
      <c r="Q2408" s="708">
        <f>'Part VIII-Threshold Criteria'!Q360</f>
        <v>0</v>
      </c>
    </row>
    <row r="2409" spans="1:17">
      <c r="B2409" s="708" t="s">
        <v>2921</v>
      </c>
    </row>
    <row r="2410" spans="1:17">
      <c r="A2410" s="708" t="str">
        <f>'Part VIII-Threshold Criteria'!A362</f>
        <v>This is not a CHDO project.</v>
      </c>
    </row>
    <row r="2411" spans="1:17">
      <c r="B2411" s="708" t="s">
        <v>2922</v>
      </c>
    </row>
    <row r="2412" spans="1:17">
      <c r="A2412" s="708">
        <f>'Part VIII-Threshold Criteria'!A364</f>
        <v>0</v>
      </c>
    </row>
    <row r="2414" spans="1:17">
      <c r="A2414" s="708">
        <v>23</v>
      </c>
      <c r="B2414" s="708" t="s">
        <v>1083</v>
      </c>
      <c r="O2414" s="708" t="s">
        <v>2923</v>
      </c>
      <c r="P2414" s="708">
        <f>'Part VIII-Threshold Criteria'!P366</f>
        <v>0</v>
      </c>
    </row>
    <row r="2415" spans="1:17">
      <c r="B2415" s="708" t="s">
        <v>3060</v>
      </c>
      <c r="C2415" s="708" t="s">
        <v>4106</v>
      </c>
      <c r="M2415" s="708" t="s">
        <v>3060</v>
      </c>
      <c r="N2415" s="708" t="str">
        <f>'Part VIII-Threshold Criteria'!N367</f>
        <v>Minority concentration</v>
      </c>
      <c r="P2415" s="708" t="str">
        <f>'Part VIII-Threshold Criteria'!P367</f>
        <v>&lt;&lt;Select&gt;&gt;</v>
      </c>
    </row>
    <row r="2416" spans="1:17">
      <c r="B2416" s="708" t="s">
        <v>3063</v>
      </c>
      <c r="C2416" s="708" t="s">
        <v>2</v>
      </c>
      <c r="G2416" s="708" t="s">
        <v>3063</v>
      </c>
      <c r="H2416" s="708" t="str">
        <f>'Part VIII-Threshold Criteria'!H368</f>
        <v>501, 503, 9701, 9702</v>
      </c>
      <c r="P2416" s="708" t="str">
        <f>'Part VIII-Threshold Criteria'!P368</f>
        <v>Yes</v>
      </c>
      <c r="Q2416" s="708">
        <f>'Part VIII-Threshold Criteria'!Q368</f>
        <v>0</v>
      </c>
    </row>
    <row r="2417" spans="1:17">
      <c r="B2417" s="708" t="s">
        <v>1239</v>
      </c>
      <c r="C2417" s="708" t="s">
        <v>2126</v>
      </c>
      <c r="O2417" s="708" t="s">
        <v>1239</v>
      </c>
      <c r="P2417" s="708" t="str">
        <f>'Part VIII-Threshold Criteria'!P369</f>
        <v>Yes</v>
      </c>
      <c r="Q2417" s="708">
        <f>'Part VIII-Threshold Criteria'!Q369</f>
        <v>0</v>
      </c>
    </row>
    <row r="2418" spans="1:17">
      <c r="B2418" s="708" t="s">
        <v>2921</v>
      </c>
    </row>
    <row r="2419" spans="1:17">
      <c r="A2419" s="708" t="str">
        <f>'Part VIII-Threshold Criteria'!A371</f>
        <v>Brentwood Place Apartments is located in census tract 502, which is 50.25 minority.  In addition to the required HUD document, we have includes a report from Novogradac that addresses the questions posed in the Site and Neighborhood standards form.</v>
      </c>
    </row>
    <row r="2420" spans="1:17">
      <c r="A2420" s="708">
        <f>'Part VIII-Threshold Criteria'!A372</f>
        <v>0</v>
      </c>
    </row>
    <row r="2422" spans="1:17">
      <c r="B2422" s="708" t="s">
        <v>2922</v>
      </c>
    </row>
    <row r="2423" spans="1:17">
      <c r="A2423" s="708">
        <f>'Part VIII-Threshold Criteria'!A375</f>
        <v>0</v>
      </c>
    </row>
    <row r="2424" spans="1:17">
      <c r="A2424" s="708">
        <f>'Part VIII-Threshold Criteria'!A376</f>
        <v>0</v>
      </c>
    </row>
    <row r="2426" spans="1:17">
      <c r="A2426" s="708">
        <v>24</v>
      </c>
      <c r="B2426" s="708" t="s">
        <v>2530</v>
      </c>
      <c r="F2426" s="708" t="s">
        <v>1058</v>
      </c>
      <c r="O2426" s="708" t="s">
        <v>2923</v>
      </c>
      <c r="P2426" s="708">
        <f>'Part VIII-Threshold Criteria'!P378</f>
        <v>0</v>
      </c>
    </row>
    <row r="2427" spans="1:17">
      <c r="B2427" s="708" t="s">
        <v>3060</v>
      </c>
      <c r="C2427" s="708" t="s">
        <v>2127</v>
      </c>
      <c r="O2427" s="708" t="s">
        <v>3060</v>
      </c>
      <c r="P2427" s="708" t="str">
        <f>'Part VIII-Threshold Criteria'!P379</f>
        <v>No</v>
      </c>
      <c r="Q2427" s="708">
        <f>'Part VIII-Threshold Criteria'!Q379</f>
        <v>0</v>
      </c>
    </row>
    <row r="2428" spans="1:17">
      <c r="B2428" s="708" t="s">
        <v>3063</v>
      </c>
      <c r="C2428" s="708" t="s">
        <v>1242</v>
      </c>
      <c r="O2428" s="708" t="s">
        <v>3063</v>
      </c>
      <c r="P2428" s="708" t="str">
        <f>'Part VIII-Threshold Criteria'!P380</f>
        <v>No</v>
      </c>
      <c r="Q2428" s="708">
        <f>'Part VIII-Threshold Criteria'!Q380</f>
        <v>0</v>
      </c>
    </row>
    <row r="2429" spans="1:17">
      <c r="B2429" s="708" t="s">
        <v>1239</v>
      </c>
      <c r="C2429" s="708" t="s">
        <v>1243</v>
      </c>
      <c r="O2429" s="708" t="s">
        <v>1239</v>
      </c>
      <c r="P2429" s="708" t="str">
        <f>'Part VIII-Threshold Criteria'!P381</f>
        <v>Yes</v>
      </c>
      <c r="Q2429" s="708">
        <f>'Part VIII-Threshold Criteria'!Q381</f>
        <v>0</v>
      </c>
    </row>
    <row r="2430" spans="1:17">
      <c r="B2430" s="708" t="s">
        <v>3212</v>
      </c>
      <c r="C2430" s="708" t="s">
        <v>878</v>
      </c>
      <c r="O2430" s="708" t="s">
        <v>3212</v>
      </c>
      <c r="P2430" s="708" t="str">
        <f>'Part VIII-Threshold Criteria'!P382</f>
        <v>No</v>
      </c>
      <c r="Q2430" s="708">
        <f>'Part VIII-Threshold Criteria'!Q382</f>
        <v>0</v>
      </c>
    </row>
    <row r="2431" spans="1:17">
      <c r="B2431" s="708" t="s">
        <v>2763</v>
      </c>
      <c r="C2431" s="708" t="s">
        <v>3175</v>
      </c>
      <c r="G2431" s="708" t="s">
        <v>2763</v>
      </c>
      <c r="H2431" s="708">
        <f>'Part VIII-Threshold Criteria'!H383</f>
        <v>0</v>
      </c>
      <c r="P2431" s="708" t="str">
        <f>'Part VIII-Threshold Criteria'!P383</f>
        <v>No</v>
      </c>
      <c r="Q2431" s="708">
        <f>'Part VIII-Threshold Criteria'!Q383</f>
        <v>0</v>
      </c>
    </row>
    <row r="2432" spans="1:17">
      <c r="B2432" s="708" t="s">
        <v>2921</v>
      </c>
    </row>
    <row r="2433" spans="1:17">
      <c r="A2433" s="708" t="str">
        <f>'Part VIII-Threshold Criteria'!A385</f>
        <v>In-Fill Housing, Inc. is a qualified non-profit with a 501c4 designation . We have included a letter from counsel.</v>
      </c>
    </row>
    <row r="2434" spans="1:17">
      <c r="B2434" s="708" t="s">
        <v>2922</v>
      </c>
    </row>
    <row r="2435" spans="1:17">
      <c r="A2435" s="708">
        <f>'Part VIII-Threshold Criteria'!A387</f>
        <v>0</v>
      </c>
    </row>
    <row r="2437" spans="1:17">
      <c r="A2437" s="708">
        <v>25</v>
      </c>
      <c r="B2437" s="708" t="s">
        <v>3755</v>
      </c>
      <c r="O2437" s="708" t="s">
        <v>2923</v>
      </c>
      <c r="P2437" s="708">
        <f>'Part VIII-Threshold Criteria'!P389</f>
        <v>0</v>
      </c>
    </row>
    <row r="2438" spans="1:17">
      <c r="B2438" s="708" t="s">
        <v>3060</v>
      </c>
      <c r="C2438" s="708" t="s">
        <v>4107</v>
      </c>
      <c r="O2438" s="708" t="s">
        <v>3060</v>
      </c>
      <c r="P2438" s="708" t="str">
        <f>'Part VIII-Threshold Criteria'!P390</f>
        <v>Agree</v>
      </c>
      <c r="Q2438" s="708">
        <f>'Part VIII-Threshold Criteria'!Q390</f>
        <v>0</v>
      </c>
    </row>
    <row r="2439" spans="1:17">
      <c r="B2439" s="708" t="s">
        <v>3063</v>
      </c>
      <c r="C2439" s="708" t="s">
        <v>853</v>
      </c>
      <c r="O2439" s="708" t="s">
        <v>3063</v>
      </c>
      <c r="P2439" s="708" t="str">
        <f>'Part VIII-Threshold Criteria'!P391</f>
        <v>N/a</v>
      </c>
      <c r="Q2439" s="708">
        <f>'Part VIII-Threshold Criteria'!Q391</f>
        <v>0</v>
      </c>
    </row>
    <row r="2440" spans="1:17">
      <c r="B2440" s="708" t="s">
        <v>2921</v>
      </c>
      <c r="K2440" s="708" t="s">
        <v>2922</v>
      </c>
    </row>
    <row r="2441" spans="1:17">
      <c r="A2441" s="708" t="str">
        <f>'Part VIII-Threshold Criteria'!A393</f>
        <v>All of In-Fill Housing, Inc.'s properties are listed on Georgia Housing Search.</v>
      </c>
      <c r="K2441" s="708">
        <f>'Part VIII-Threshold Criteria'!K393</f>
        <v>0</v>
      </c>
    </row>
    <row r="2443" spans="1:17">
      <c r="A2443" s="708">
        <v>26</v>
      </c>
      <c r="B2443" s="708" t="s">
        <v>2005</v>
      </c>
      <c r="O2443" s="708" t="s">
        <v>2923</v>
      </c>
      <c r="P2443" s="708">
        <f>'Part VIII-Threshold Criteria'!P395</f>
        <v>0</v>
      </c>
    </row>
    <row r="2444" spans="1:17">
      <c r="B2444" s="708" t="s">
        <v>3060</v>
      </c>
      <c r="C2444" s="708" t="s">
        <v>1244</v>
      </c>
      <c r="O2444" s="708" t="s">
        <v>3060</v>
      </c>
      <c r="P2444" s="708" t="str">
        <f>'Part VIII-Threshold Criteria'!P396</f>
        <v>No</v>
      </c>
      <c r="Q2444" s="708">
        <f>'Part VIII-Threshold Criteria'!Q396</f>
        <v>0</v>
      </c>
    </row>
    <row r="2445" spans="1:17">
      <c r="B2445" s="708" t="s">
        <v>3063</v>
      </c>
      <c r="C2445" s="708" t="s">
        <v>3314</v>
      </c>
      <c r="O2445" s="708" t="s">
        <v>2171</v>
      </c>
      <c r="P2445" s="708">
        <f>'Part VIII-Threshold Criteria'!P397</f>
        <v>0</v>
      </c>
      <c r="Q2445" s="708">
        <f>'Part VIII-Threshold Criteria'!Q397</f>
        <v>0</v>
      </c>
    </row>
    <row r="2446" spans="1:17">
      <c r="C2446" s="708" t="s">
        <v>2227</v>
      </c>
    </row>
    <row r="2447" spans="1:17">
      <c r="C2447" s="708" t="s">
        <v>3315</v>
      </c>
      <c r="O2447" s="708" t="s">
        <v>2766</v>
      </c>
      <c r="P2447" s="708">
        <f>'Part VIII-Threshold Criteria'!P399</f>
        <v>0</v>
      </c>
      <c r="Q2447" s="708">
        <f>'Part VIII-Threshold Criteria'!Q399</f>
        <v>0</v>
      </c>
    </row>
    <row r="2448" spans="1:17">
      <c r="B2448" s="708" t="s">
        <v>1239</v>
      </c>
      <c r="C2448" s="708" t="s">
        <v>3313</v>
      </c>
      <c r="O2448" s="708" t="s">
        <v>1239</v>
      </c>
      <c r="P2448" s="708">
        <f>'Part VIII-Threshold Criteria'!P400</f>
        <v>0</v>
      </c>
      <c r="Q2448" s="708">
        <f>'Part VIII-Threshold Criteria'!Q400</f>
        <v>0</v>
      </c>
    </row>
    <row r="2449" spans="1:17">
      <c r="B2449" s="708" t="s">
        <v>3212</v>
      </c>
      <c r="C2449" s="708" t="s">
        <v>151</v>
      </c>
      <c r="O2449" s="708" t="s">
        <v>3212</v>
      </c>
    </row>
    <row r="2450" spans="1:17">
      <c r="C2450" s="708" t="s">
        <v>3316</v>
      </c>
      <c r="O2450" s="708" t="s">
        <v>2765</v>
      </c>
      <c r="P2450" s="708">
        <f>'Part VIII-Threshold Criteria'!P402</f>
        <v>0</v>
      </c>
      <c r="Q2450" s="708" t="str">
        <f>'Part VIII-Threshold Criteria'!Q402</f>
        <v xml:space="preserve"> </v>
      </c>
    </row>
    <row r="2451" spans="1:17">
      <c r="C2451" s="708" t="s">
        <v>3317</v>
      </c>
      <c r="O2451" s="708" t="s">
        <v>2766</v>
      </c>
      <c r="P2451" s="708">
        <f>'Part VIII-Threshold Criteria'!P403</f>
        <v>0</v>
      </c>
      <c r="Q2451" s="708">
        <f>'Part VIII-Threshold Criteria'!Q403</f>
        <v>0</v>
      </c>
    </row>
    <row r="2452" spans="1:17">
      <c r="C2452" s="708" t="s">
        <v>3318</v>
      </c>
      <c r="O2452" s="708" t="s">
        <v>2767</v>
      </c>
      <c r="P2452" s="708">
        <f>'Part VIII-Threshold Criteria'!P404</f>
        <v>0</v>
      </c>
      <c r="Q2452" s="708" t="str">
        <f>'Part VIII-Threshold Criteria'!Q404</f>
        <v xml:space="preserve"> </v>
      </c>
    </row>
    <row r="2453" spans="1:17">
      <c r="C2453" s="708" t="s">
        <v>3319</v>
      </c>
      <c r="O2453" s="708" t="s">
        <v>3571</v>
      </c>
      <c r="P2453" s="708">
        <f>'Part VIII-Threshold Criteria'!P405</f>
        <v>0</v>
      </c>
      <c r="Q2453" s="708" t="str">
        <f>'Part VIII-Threshold Criteria'!Q405</f>
        <v xml:space="preserve"> </v>
      </c>
    </row>
    <row r="2454" spans="1:17">
      <c r="C2454" s="708" t="s">
        <v>3320</v>
      </c>
      <c r="O2454" s="708" t="s">
        <v>2304</v>
      </c>
      <c r="P2454" s="708">
        <f>'Part VIII-Threshold Criteria'!P406</f>
        <v>0</v>
      </c>
      <c r="Q2454" s="708" t="str">
        <f>'Part VIII-Threshold Criteria'!Q406</f>
        <v xml:space="preserve"> </v>
      </c>
    </row>
    <row r="2455" spans="1:17">
      <c r="B2455" s="708" t="s">
        <v>2763</v>
      </c>
      <c r="C2455" s="708" t="s">
        <v>3614</v>
      </c>
      <c r="O2455" s="708" t="s">
        <v>2763</v>
      </c>
    </row>
    <row r="2456" spans="1:17">
      <c r="C2456" s="708" t="s">
        <v>3321</v>
      </c>
      <c r="O2456" s="708" t="s">
        <v>2765</v>
      </c>
      <c r="P2456" s="708">
        <f>'Part VIII-Threshold Criteria'!P408</f>
        <v>0</v>
      </c>
      <c r="Q2456" s="708">
        <f>'Part VIII-Threshold Criteria'!Q408</f>
        <v>0</v>
      </c>
    </row>
    <row r="2457" spans="1:17">
      <c r="C2457" s="708" t="s">
        <v>1827</v>
      </c>
      <c r="O2457" s="708" t="s">
        <v>2766</v>
      </c>
      <c r="P2457" s="708">
        <f>'Part VIII-Threshold Criteria'!P409</f>
        <v>0</v>
      </c>
      <c r="Q2457" s="708">
        <f>'Part VIII-Threshold Criteria'!Q409</f>
        <v>0</v>
      </c>
    </row>
    <row r="2458" spans="1:17">
      <c r="C2458" s="708" t="s">
        <v>1828</v>
      </c>
      <c r="O2458" s="708" t="s">
        <v>2767</v>
      </c>
      <c r="P2458" s="708">
        <f>'Part VIII-Threshold Criteria'!P410</f>
        <v>0</v>
      </c>
      <c r="Q2458" s="708">
        <f>'Part VIII-Threshold Criteria'!Q410</f>
        <v>0</v>
      </c>
    </row>
    <row r="2459" spans="1:17">
      <c r="C2459" s="708" t="s">
        <v>3384</v>
      </c>
      <c r="G2459" s="708" t="s">
        <v>3571</v>
      </c>
      <c r="H2459" s="708">
        <f>'Part VIII-Threshold Criteria'!H411</f>
        <v>0</v>
      </c>
      <c r="P2459" s="708">
        <f>'Part VIII-Threshold Criteria'!P411</f>
        <v>0</v>
      </c>
      <c r="Q2459" s="708">
        <f>'Part VIII-Threshold Criteria'!Q411</f>
        <v>0</v>
      </c>
    </row>
    <row r="2460" spans="1:17">
      <c r="B2460" s="708" t="s">
        <v>2921</v>
      </c>
    </row>
    <row r="2461" spans="1:17">
      <c r="A2461" s="708" t="str">
        <f>'Part VIII-Threshold Criteria'!A413</f>
        <v>This is new construction, on a vacant piece of land.  There will not be any displacement.</v>
      </c>
    </row>
    <row r="2462" spans="1:17">
      <c r="A2462" s="708">
        <f>'Part VIII-Threshold Criteria'!A414</f>
        <v>0</v>
      </c>
    </row>
    <row r="2463" spans="1:17">
      <c r="B2463" s="708" t="s">
        <v>2922</v>
      </c>
    </row>
    <row r="2464" spans="1:17">
      <c r="A2464" s="708">
        <f>'Part VIII-Threshold Criteria'!A416</f>
        <v>0</v>
      </c>
    </row>
    <row r="2465" spans="1:17">
      <c r="A2465" s="708">
        <f>'Part VIII-Threshold Criteria'!A417</f>
        <v>0</v>
      </c>
    </row>
    <row r="2466" spans="1:17">
      <c r="A2466" s="708">
        <f>'Part VIII-Threshold Criteria'!A418</f>
        <v>0</v>
      </c>
    </row>
    <row r="2468" spans="1:17">
      <c r="A2468" s="708">
        <v>27</v>
      </c>
      <c r="B2468" s="708" t="s">
        <v>3123</v>
      </c>
      <c r="O2468" s="708" t="s">
        <v>2923</v>
      </c>
      <c r="P2468" s="708">
        <f>'Part VIII-Threshold Criteria'!P420</f>
        <v>0</v>
      </c>
    </row>
    <row r="2469" spans="1:17">
      <c r="B2469" s="708" t="s">
        <v>3060</v>
      </c>
      <c r="C2469" s="708" t="s">
        <v>888</v>
      </c>
      <c r="O2469" s="708" t="s">
        <v>3060</v>
      </c>
      <c r="P2469" s="708" t="str">
        <f>'Part VIII-Threshold Criteria'!P421</f>
        <v>Agree</v>
      </c>
      <c r="Q2469" s="708">
        <f>'Part VIII-Threshold Criteria'!Q421</f>
        <v>0</v>
      </c>
    </row>
    <row r="2470" spans="1:17">
      <c r="B2470" s="708" t="s">
        <v>3063</v>
      </c>
      <c r="C2470" s="708" t="s">
        <v>889</v>
      </c>
      <c r="O2470" s="708" t="s">
        <v>3063</v>
      </c>
      <c r="P2470" s="708" t="str">
        <f>'Part VIII-Threshold Criteria'!P422</f>
        <v>Agree</v>
      </c>
      <c r="Q2470" s="708">
        <f>'Part VIII-Threshold Criteria'!Q422</f>
        <v>0</v>
      </c>
    </row>
    <row r="2471" spans="1:17">
      <c r="B2471" s="708" t="s">
        <v>1239</v>
      </c>
      <c r="C2471" s="708" t="s">
        <v>890</v>
      </c>
      <c r="O2471" s="708" t="s">
        <v>1239</v>
      </c>
      <c r="P2471" s="708" t="str">
        <f>'Part VIII-Threshold Criteria'!P423</f>
        <v>Agree</v>
      </c>
      <c r="Q2471" s="708">
        <f>'Part VIII-Threshold Criteria'!Q423</f>
        <v>0</v>
      </c>
    </row>
    <row r="2472" spans="1:17">
      <c r="B2472" s="708" t="s">
        <v>2921</v>
      </c>
    </row>
    <row r="2473" spans="1:17">
      <c r="A2473" s="708" t="str">
        <f>'Part VIII-Threshold Criteria'!A425</f>
        <v>We agree to all of these conditions.</v>
      </c>
    </row>
    <row r="2474" spans="1:17">
      <c r="A2474" s="708">
        <f>'Part VIII-Threshold Criteria'!A426</f>
        <v>0</v>
      </c>
    </row>
    <row r="2475" spans="1:17">
      <c r="A2475" s="708">
        <f>'Part VIII-Threshold Criteria'!A427</f>
        <v>0</v>
      </c>
    </row>
    <row r="2476" spans="1:17">
      <c r="B2476" s="708" t="s">
        <v>2922</v>
      </c>
    </row>
    <row r="2477" spans="1:17">
      <c r="A2477" s="708">
        <f>'Part VIII-Threshold Criteria'!A429</f>
        <v>0</v>
      </c>
    </row>
    <row r="2478" spans="1:17">
      <c r="A2478" s="708">
        <f>'Part VIII-Threshold Criteria'!A430</f>
        <v>0</v>
      </c>
    </row>
    <row r="2479" spans="1:17">
      <c r="A2479" s="708">
        <f>'Part VIII-Threshold Criteria'!A431</f>
        <v>0</v>
      </c>
    </row>
    <row r="2481" spans="1:16">
      <c r="A2481" s="708">
        <v>28</v>
      </c>
      <c r="B2481" s="708" t="s">
        <v>1355</v>
      </c>
      <c r="O2481" s="708" t="s">
        <v>2923</v>
      </c>
      <c r="P2481" s="708">
        <f>'Part VIII-Threshold Criteria'!P433</f>
        <v>0</v>
      </c>
    </row>
    <row r="2482" spans="1:16">
      <c r="B2482" s="708" t="s">
        <v>2921</v>
      </c>
    </row>
    <row r="2483" spans="1:16">
      <c r="A2483" s="708" t="str">
        <f>'Part VIII-Threshold Criteria'!A435</f>
        <v>Brentwood Place is a new construction project on a vacant, undeveloped piece of land.  We have arranged the site plan to disturb the least amount of land possible, thereby minimizing our site work costs; we do not believe that any member of the team is being "unduly enriched"; we are providing housing where there is currently a void of affordable housing, therefore we see no negative impact on the existing housing stock; the uses proximate to the site are appropriate; the market study well supports the need for this property and its ability to meet the market threshold conditions; and there are not excessive soft costs in this development.  Since this is not a rehabilitation project, the other factors listed in XXVIII of the Threshold section of the 2011 QAP do not apply to this project.  Overall we believe that this is an appropriate and needed use of DCA resources, and that the cost to develop Brentwood Place represents an 'optimal utilization' of resources.</v>
      </c>
    </row>
    <row r="2484" spans="1:16">
      <c r="A2484" s="708">
        <f>'Part VIII-Threshold Criteria'!A436</f>
        <v>0</v>
      </c>
    </row>
    <row r="2485" spans="1:16">
      <c r="B2485" s="708" t="s">
        <v>2922</v>
      </c>
    </row>
    <row r="2486" spans="1:16">
      <c r="A2486" s="708">
        <f>'Part VIII-Threshold Criteria'!A438</f>
        <v>0</v>
      </c>
    </row>
    <row r="2487" spans="1:16">
      <c r="A2487" s="708">
        <f>'Part VIII-Threshold Criteria'!A439</f>
        <v>0</v>
      </c>
    </row>
    <row r="2488" spans="1:16">
      <c r="A2488" s="708">
        <f>'Part VIII-Threshold Criteria'!A440</f>
        <v>0</v>
      </c>
    </row>
    <row r="2489" spans="1:16">
      <c r="A2489" s="708">
        <f>'Part VIII-Threshold Criteria'!A441</f>
        <v>0</v>
      </c>
    </row>
    <row r="2493" spans="1:16">
      <c r="A2493" s="708" t="str">
        <f>CONCATENATE("PART NINE - SCORING CRITERIA","  -  ",'Part I-Project Information'!$O$4," ",'Part I-Project Information'!$F$22,", ",'Part I-Project Information'!F2509,", ",'Part I-Project Information'!J2510," County")</f>
        <v>PART NINE - SCORING CRITERIA  -  2011-044 Brentwood Place Apartments, ,  County</v>
      </c>
    </row>
    <row r="2495" spans="1:16">
      <c r="M2495" s="708" t="s">
        <v>3337</v>
      </c>
      <c r="O2495" s="708" t="s">
        <v>3336</v>
      </c>
      <c r="P2495" s="708" t="s">
        <v>334</v>
      </c>
    </row>
    <row r="2496" spans="1:16">
      <c r="M2496" s="708" t="s">
        <v>104</v>
      </c>
      <c r="O2496" s="708" t="s">
        <v>3337</v>
      </c>
      <c r="P2496" s="708" t="s">
        <v>3337</v>
      </c>
    </row>
    <row r="2498" spans="1:17">
      <c r="L2498" s="708" t="s">
        <v>1888</v>
      </c>
      <c r="M2498" s="708">
        <v>108</v>
      </c>
      <c r="O2498" s="708">
        <f>O2786</f>
        <v>62</v>
      </c>
      <c r="P2498" s="708">
        <f>P2786</f>
        <v>13</v>
      </c>
    </row>
    <row r="2500" spans="1:17">
      <c r="A2500" s="708" t="s">
        <v>3064</v>
      </c>
      <c r="B2500" s="708" t="s">
        <v>1672</v>
      </c>
      <c r="H2500" s="708" t="s">
        <v>2524</v>
      </c>
      <c r="M2500" s="708">
        <v>10</v>
      </c>
      <c r="O2500" s="708">
        <f>MIN($M2500, $M2500-O2502-O2503-O2504)</f>
        <v>10</v>
      </c>
      <c r="P2500" s="708">
        <f>MIN($M2500, $M2500-P2502-P2503-P2504)</f>
        <v>10</v>
      </c>
      <c r="Q2500" s="708" t="s">
        <v>652</v>
      </c>
    </row>
    <row r="2502" spans="1:17">
      <c r="A2502" s="708" t="s">
        <v>3060</v>
      </c>
      <c r="B2502" s="708" t="s">
        <v>2924</v>
      </c>
      <c r="F2502" s="708" t="s">
        <v>3894</v>
      </c>
      <c r="G2502" s="708">
        <f>F2509</f>
        <v>0</v>
      </c>
      <c r="H2502" s="708" t="s">
        <v>321</v>
      </c>
      <c r="M2502" s="708">
        <v>7</v>
      </c>
      <c r="N2502" s="708" t="s">
        <v>3060</v>
      </c>
      <c r="O2502" s="708">
        <f>'Part IX A-Scoring Criteria'!O10</f>
        <v>0</v>
      </c>
      <c r="P2502" s="708">
        <f>'Part IX A-Scoring Criteria'!P10</f>
        <v>0</v>
      </c>
    </row>
    <row r="2503" spans="1:17">
      <c r="A2503" s="708" t="s">
        <v>3063</v>
      </c>
      <c r="B2503" s="708" t="s">
        <v>1216</v>
      </c>
      <c r="F2503" s="708" t="s">
        <v>3894</v>
      </c>
      <c r="G2503" s="708">
        <f>K2509</f>
        <v>0</v>
      </c>
      <c r="H2503" s="708" t="s">
        <v>4108</v>
      </c>
      <c r="M2503" s="708">
        <v>0</v>
      </c>
      <c r="N2503" s="708" t="s">
        <v>3063</v>
      </c>
      <c r="O2503" s="708">
        <f>'Part IX A-Scoring Criteria'!O11</f>
        <v>0</v>
      </c>
      <c r="P2503" s="708">
        <f>'Part IX A-Scoring Criteria'!P11</f>
        <v>0</v>
      </c>
    </row>
    <row r="2504" spans="1:17">
      <c r="A2504" s="708" t="s">
        <v>1239</v>
      </c>
      <c r="B2504" s="708" t="s">
        <v>3210</v>
      </c>
      <c r="F2504" s="708" t="s">
        <v>3894</v>
      </c>
      <c r="G2504" s="708">
        <f>P2509</f>
        <v>0</v>
      </c>
      <c r="H2504" s="708" t="s">
        <v>323</v>
      </c>
      <c r="M2504" s="708">
        <v>1</v>
      </c>
      <c r="N2504" s="708" t="s">
        <v>1239</v>
      </c>
      <c r="O2504" s="708">
        <f>'Part IX A-Scoring Criteria'!O12</f>
        <v>0</v>
      </c>
      <c r="P2504" s="708">
        <f>'Part IX A-Scoring Criteria'!P12</f>
        <v>0</v>
      </c>
    </row>
    <row r="2505" spans="1:17">
      <c r="A2505" s="708" t="s">
        <v>333</v>
      </c>
    </row>
    <row r="2506" spans="1:17">
      <c r="A2506" s="708" t="str">
        <f>'Part IX A-Scoring Criteria'!A14</f>
        <v>The application is organized according to the 2011 QAP and checklist; no documents are missing and we do not anticipate any financial adjustments.</v>
      </c>
      <c r="Q2506" s="708" t="s">
        <v>1933</v>
      </c>
    </row>
    <row r="2507" spans="1:17" ht="13.15" customHeight="1">
      <c r="A2507" s="708">
        <f>'Part IX A-Scoring Criteria'!A15</f>
        <v>0</v>
      </c>
    </row>
    <row r="2508" spans="1:17" ht="13.15" customHeight="1">
      <c r="A2508" s="708" t="s">
        <v>2922</v>
      </c>
      <c r="F2508" s="708" t="s">
        <v>2740</v>
      </c>
      <c r="K2508" s="708" t="s">
        <v>2740</v>
      </c>
      <c r="P2508" s="708" t="s">
        <v>2740</v>
      </c>
    </row>
    <row r="2509" spans="1:17">
      <c r="A2509" s="708" t="s">
        <v>3639</v>
      </c>
      <c r="E2509" s="708" t="s">
        <v>786</v>
      </c>
      <c r="F2509" s="708">
        <f>SUM(F2510:F2521)</f>
        <v>0</v>
      </c>
      <c r="G2509" s="708" t="s">
        <v>3640</v>
      </c>
      <c r="J2509" s="708" t="s">
        <v>786</v>
      </c>
      <c r="K2509" s="708">
        <f>SUM(K2510:K2521)</f>
        <v>0</v>
      </c>
      <c r="L2509" s="708" t="s">
        <v>3610</v>
      </c>
      <c r="P2509" s="708">
        <f>SUM(P2510:P2521)</f>
        <v>0</v>
      </c>
    </row>
    <row r="2510" spans="1:17">
      <c r="A2510" s="708">
        <f>'Part IX A-Scoring Criteria'!A18</f>
        <v>1</v>
      </c>
      <c r="F2510" s="708">
        <f>'Part IX A-Scoring Criteria'!F18</f>
        <v>0</v>
      </c>
      <c r="G2510" s="708">
        <f>'Part IX A-Scoring Criteria'!G18</f>
        <v>1</v>
      </c>
      <c r="K2510" s="708">
        <f>'Part IX A-Scoring Criteria'!K18</f>
        <v>0</v>
      </c>
      <c r="L2510" s="708">
        <f>'Part IX A-Scoring Criteria'!L18</f>
        <v>1</v>
      </c>
      <c r="P2510" s="708">
        <f>'Part IX A-Scoring Criteria'!P18</f>
        <v>0</v>
      </c>
      <c r="Q2510" s="708" t="s">
        <v>1933</v>
      </c>
    </row>
    <row r="2511" spans="1:17" ht="13.15" customHeight="1">
      <c r="A2511" s="708">
        <f>'Part IX A-Scoring Criteria'!A19</f>
        <v>2</v>
      </c>
      <c r="F2511" s="708">
        <f>'Part IX A-Scoring Criteria'!F19</f>
        <v>0</v>
      </c>
      <c r="G2511" s="708">
        <f>'Part IX A-Scoring Criteria'!G19</f>
        <v>2</v>
      </c>
      <c r="K2511" s="708">
        <f>'Part IX A-Scoring Criteria'!K19</f>
        <v>0</v>
      </c>
      <c r="L2511" s="708">
        <f>'Part IX A-Scoring Criteria'!L19</f>
        <v>2</v>
      </c>
      <c r="P2511" s="708">
        <f>'Part IX A-Scoring Criteria'!P19</f>
        <v>0</v>
      </c>
    </row>
    <row r="2512" spans="1:17" ht="13.15" customHeight="1">
      <c r="A2512" s="708">
        <f>'Part IX A-Scoring Criteria'!A20</f>
        <v>3</v>
      </c>
      <c r="F2512" s="708">
        <f>'Part IX A-Scoring Criteria'!F20</f>
        <v>0</v>
      </c>
      <c r="G2512" s="708">
        <f>'Part IX A-Scoring Criteria'!G20</f>
        <v>3</v>
      </c>
      <c r="K2512" s="708">
        <f>'Part IX A-Scoring Criteria'!K20</f>
        <v>0</v>
      </c>
      <c r="L2512" s="708">
        <f>'Part IX A-Scoring Criteria'!L20</f>
        <v>3</v>
      </c>
      <c r="P2512" s="708">
        <f>'Part IX A-Scoring Criteria'!P20</f>
        <v>0</v>
      </c>
    </row>
    <row r="2513" spans="1:18" ht="13.15" customHeight="1">
      <c r="A2513" s="708">
        <f>'Part IX A-Scoring Criteria'!A21</f>
        <v>4</v>
      </c>
      <c r="F2513" s="708">
        <f>'Part IX A-Scoring Criteria'!F21</f>
        <v>0</v>
      </c>
      <c r="G2513" s="708">
        <f>'Part IX A-Scoring Criteria'!G21</f>
        <v>4</v>
      </c>
      <c r="K2513" s="708">
        <f>'Part IX A-Scoring Criteria'!K21</f>
        <v>0</v>
      </c>
      <c r="L2513" s="708">
        <f>'Part IX A-Scoring Criteria'!L21</f>
        <v>4</v>
      </c>
      <c r="P2513" s="708">
        <f>'Part IX A-Scoring Criteria'!P21</f>
        <v>0</v>
      </c>
    </row>
    <row r="2514" spans="1:18" ht="13.15" customHeight="1">
      <c r="A2514" s="708">
        <f>'Part IX A-Scoring Criteria'!A22</f>
        <v>5</v>
      </c>
      <c r="F2514" s="708">
        <f>'Part IX A-Scoring Criteria'!F22</f>
        <v>0</v>
      </c>
      <c r="G2514" s="708">
        <f>'Part IX A-Scoring Criteria'!G22</f>
        <v>5</v>
      </c>
      <c r="K2514" s="708">
        <f>'Part IX A-Scoring Criteria'!K22</f>
        <v>0</v>
      </c>
      <c r="L2514" s="708">
        <f>'Part IX A-Scoring Criteria'!L22</f>
        <v>5</v>
      </c>
      <c r="P2514" s="708">
        <f>'Part IX A-Scoring Criteria'!P22</f>
        <v>0</v>
      </c>
    </row>
    <row r="2515" spans="1:18">
      <c r="A2515" s="708">
        <f>'Part IX A-Scoring Criteria'!A23</f>
        <v>6</v>
      </c>
      <c r="F2515" s="708">
        <f>'Part IX A-Scoring Criteria'!F23</f>
        <v>0</v>
      </c>
      <c r="G2515" s="708">
        <f>'Part IX A-Scoring Criteria'!G23</f>
        <v>6</v>
      </c>
      <c r="K2515" s="708">
        <f>'Part IX A-Scoring Criteria'!K23</f>
        <v>0</v>
      </c>
      <c r="L2515" s="708">
        <f>'Part IX A-Scoring Criteria'!L23</f>
        <v>6</v>
      </c>
      <c r="P2515" s="708">
        <f>'Part IX A-Scoring Criteria'!P23</f>
        <v>0</v>
      </c>
    </row>
    <row r="2516" spans="1:18">
      <c r="A2516" s="708">
        <f>'Part IX A-Scoring Criteria'!A24</f>
        <v>7</v>
      </c>
      <c r="F2516" s="708">
        <f>'Part IX A-Scoring Criteria'!F24</f>
        <v>0</v>
      </c>
      <c r="G2516" s="708">
        <f>'Part IX A-Scoring Criteria'!G24</f>
        <v>7</v>
      </c>
      <c r="K2516" s="708">
        <f>'Part IX A-Scoring Criteria'!K24</f>
        <v>0</v>
      </c>
      <c r="L2516" s="708">
        <f>'Part IX A-Scoring Criteria'!L24</f>
        <v>7</v>
      </c>
      <c r="P2516" s="708">
        <f>'Part IX A-Scoring Criteria'!P24</f>
        <v>0</v>
      </c>
    </row>
    <row r="2517" spans="1:18">
      <c r="A2517" s="708">
        <f>'Part IX A-Scoring Criteria'!A25</f>
        <v>8</v>
      </c>
      <c r="F2517" s="708">
        <f>'Part IX A-Scoring Criteria'!F25</f>
        <v>0</v>
      </c>
      <c r="G2517" s="708">
        <f>'Part IX A-Scoring Criteria'!G25</f>
        <v>8</v>
      </c>
      <c r="K2517" s="708">
        <f>'Part IX A-Scoring Criteria'!K25</f>
        <v>0</v>
      </c>
      <c r="L2517" s="708">
        <f>'Part IX A-Scoring Criteria'!L25</f>
        <v>8</v>
      </c>
      <c r="P2517" s="708">
        <f>'Part IX A-Scoring Criteria'!P25</f>
        <v>0</v>
      </c>
    </row>
    <row r="2518" spans="1:18">
      <c r="A2518" s="708">
        <f>'Part IX A-Scoring Criteria'!A26</f>
        <v>9</v>
      </c>
      <c r="F2518" s="708">
        <f>'Part IX A-Scoring Criteria'!F26</f>
        <v>0</v>
      </c>
      <c r="G2518" s="708">
        <f>'Part IX A-Scoring Criteria'!G26</f>
        <v>9</v>
      </c>
      <c r="K2518" s="708">
        <f>'Part IX A-Scoring Criteria'!K26</f>
        <v>0</v>
      </c>
      <c r="L2518" s="708">
        <f>'Part IX A-Scoring Criteria'!L26</f>
        <v>9</v>
      </c>
      <c r="P2518" s="708">
        <f>'Part IX A-Scoring Criteria'!P26</f>
        <v>0</v>
      </c>
    </row>
    <row r="2519" spans="1:18">
      <c r="A2519" s="708">
        <f>'Part IX A-Scoring Criteria'!A27</f>
        <v>10</v>
      </c>
      <c r="F2519" s="708">
        <f>'Part IX A-Scoring Criteria'!F27</f>
        <v>0</v>
      </c>
      <c r="G2519" s="708">
        <f>'Part IX A-Scoring Criteria'!G27</f>
        <v>10</v>
      </c>
      <c r="K2519" s="708">
        <f>'Part IX A-Scoring Criteria'!K27</f>
        <v>0</v>
      </c>
      <c r="L2519" s="708">
        <f>'Part IX A-Scoring Criteria'!L27</f>
        <v>10</v>
      </c>
      <c r="P2519" s="708">
        <f>'Part IX A-Scoring Criteria'!P27</f>
        <v>0</v>
      </c>
    </row>
    <row r="2520" spans="1:18">
      <c r="A2520" s="708">
        <f>'Part IX A-Scoring Criteria'!A28</f>
        <v>11</v>
      </c>
      <c r="F2520" s="708">
        <f>'Part IX A-Scoring Criteria'!F28</f>
        <v>0</v>
      </c>
      <c r="G2520" s="708">
        <f>'Part IX A-Scoring Criteria'!G28</f>
        <v>11</v>
      </c>
      <c r="K2520" s="708">
        <f>'Part IX A-Scoring Criteria'!K28</f>
        <v>0</v>
      </c>
      <c r="L2520" s="708">
        <f>'Part IX A-Scoring Criteria'!L28</f>
        <v>11</v>
      </c>
      <c r="P2520" s="708">
        <f>'Part IX A-Scoring Criteria'!P28</f>
        <v>0</v>
      </c>
    </row>
    <row r="2521" spans="1:18">
      <c r="A2521" s="708">
        <f>'Part IX A-Scoring Criteria'!A29</f>
        <v>12</v>
      </c>
      <c r="F2521" s="708">
        <f>'Part IX A-Scoring Criteria'!F29</f>
        <v>0</v>
      </c>
      <c r="G2521" s="708">
        <f>'Part IX A-Scoring Criteria'!G29</f>
        <v>12</v>
      </c>
      <c r="K2521" s="708">
        <f>'Part IX A-Scoring Criteria'!K29</f>
        <v>0</v>
      </c>
      <c r="L2521" s="708">
        <f>'Part IX A-Scoring Criteria'!L29</f>
        <v>12</v>
      </c>
      <c r="P2521" s="708">
        <f>'Part IX A-Scoring Criteria'!P29</f>
        <v>0</v>
      </c>
    </row>
    <row r="2523" spans="1:18">
      <c r="A2523" s="708" t="s">
        <v>3066</v>
      </c>
      <c r="B2523" s="708" t="s">
        <v>1632</v>
      </c>
      <c r="L2523" s="708" t="str">
        <f>IF($O2523&gt;$M2523,"* * Check Score! * *","")</f>
        <v/>
      </c>
      <c r="M2523" s="708">
        <v>3</v>
      </c>
      <c r="O2523" s="708">
        <f>'Part IX A-Scoring Criteria'!O31</f>
        <v>3</v>
      </c>
      <c r="P2523" s="708">
        <f>'Part IX A-Scoring Criteria'!P31</f>
        <v>0</v>
      </c>
      <c r="Q2523" s="708" t="s">
        <v>652</v>
      </c>
      <c r="R2523" s="708" t="str">
        <f>IF(OR($O2523=$M2523,$O2523=0,$O2523=""),"","* * Check Score! * *")</f>
        <v/>
      </c>
    </row>
    <row r="2524" spans="1:18">
      <c r="B2524" s="708" t="s">
        <v>1939</v>
      </c>
      <c r="H2524" s="708" t="s">
        <v>130</v>
      </c>
      <c r="J2524" s="708">
        <f>'Part IX A-Scoring Criteria'!J32</f>
        <v>16</v>
      </c>
      <c r="L2524" s="708" t="s">
        <v>1940</v>
      </c>
      <c r="M2524" s="708">
        <f>IF(OR('Part VI-Revenues &amp; Expenses'!$M$61="", 'Part VI-Revenues &amp; Expenses'!$M$61=0),"",J2524/'Part VI-Revenues &amp; Expenses'!$M$61)</f>
        <v>0.20253164556962025</v>
      </c>
    </row>
    <row r="2525" spans="1:18">
      <c r="B2525" s="708" t="s">
        <v>333</v>
      </c>
    </row>
    <row r="2526" spans="1:18">
      <c r="A2526" s="708" t="str">
        <f>'Part IX A-Scoring Criteria'!A34</f>
        <v>We have restricted more than 20% of the units at 50% AMI, to comply with HOME standards.  This meets the minimum of 15% at 50% to receive points in this section.</v>
      </c>
    </row>
    <row r="2527" spans="1:18">
      <c r="B2527" s="708" t="s">
        <v>2922</v>
      </c>
    </row>
    <row r="2528" spans="1:18">
      <c r="A2528" s="708">
        <f>'Part IX A-Scoring Criteria'!A36</f>
        <v>0</v>
      </c>
    </row>
    <row r="2530" spans="1:17">
      <c r="A2530" s="708" t="s">
        <v>3822</v>
      </c>
      <c r="B2530" s="708" t="s">
        <v>2930</v>
      </c>
      <c r="H2530" s="708" t="s">
        <v>927</v>
      </c>
      <c r="M2530" s="708">
        <v>12</v>
      </c>
      <c r="O2530" s="708">
        <f>'Part IX A-Scoring Criteria'!O38</f>
        <v>12</v>
      </c>
      <c r="P2530" s="708">
        <f>'Part IX A-Scoring Criteria'!P38</f>
        <v>0</v>
      </c>
      <c r="Q2530" s="708" t="s">
        <v>652</v>
      </c>
    </row>
    <row r="2532" spans="1:17">
      <c r="M2532" s="708">
        <v>10</v>
      </c>
      <c r="O2532" s="708">
        <f>'Part IX A-Scoring Criteria'!O40</f>
        <v>10</v>
      </c>
      <c r="P2532" s="708">
        <f>'Part IX A-Scoring Criteria'!P40</f>
        <v>0</v>
      </c>
      <c r="Q2532" s="708" t="s">
        <v>926</v>
      </c>
    </row>
    <row r="2533" spans="1:17">
      <c r="A2533" s="708" t="s">
        <v>3060</v>
      </c>
      <c r="B2533" s="708" t="s">
        <v>2932</v>
      </c>
      <c r="E2533" s="708" t="s">
        <v>2935</v>
      </c>
      <c r="G2533" s="708" t="s">
        <v>2931</v>
      </c>
      <c r="L2533" s="708">
        <f>'Part IX A-Scoring Criteria'!L41</f>
        <v>0</v>
      </c>
      <c r="M2533" s="708">
        <v>10</v>
      </c>
      <c r="N2533" s="708" t="s">
        <v>3060</v>
      </c>
      <c r="O2533" s="708">
        <f>'Part IX A-Scoring Criteria'!O41</f>
        <v>10</v>
      </c>
      <c r="P2533" s="708">
        <f>'Part IX A-Scoring Criteria'!P41</f>
        <v>0</v>
      </c>
    </row>
    <row r="2534" spans="1:17">
      <c r="A2534" s="708" t="s">
        <v>3063</v>
      </c>
      <c r="B2534" s="708" t="s">
        <v>2933</v>
      </c>
      <c r="E2534" s="708" t="s">
        <v>3557</v>
      </c>
      <c r="L2534" s="708" t="str">
        <f>IF(OR($O2534=$M2534,$O2534=0,$O2534=""),"","* * Check Score! * *")</f>
        <v/>
      </c>
      <c r="M2534" s="708">
        <v>2</v>
      </c>
      <c r="N2534" s="708" t="s">
        <v>3063</v>
      </c>
      <c r="O2534" s="708">
        <f>'Part IX A-Scoring Criteria'!O42</f>
        <v>2</v>
      </c>
      <c r="P2534" s="708">
        <f>'Part IX A-Scoring Criteria'!P42</f>
        <v>0</v>
      </c>
    </row>
    <row r="2535" spans="1:17">
      <c r="A2535" s="708" t="s">
        <v>1239</v>
      </c>
      <c r="B2535" s="708" t="s">
        <v>2934</v>
      </c>
      <c r="E2535" s="708" t="s">
        <v>625</v>
      </c>
      <c r="G2535" s="708" t="s">
        <v>626</v>
      </c>
      <c r="L2535" s="708">
        <f>'Part IX A-Scoring Criteria'!L43</f>
        <v>1</v>
      </c>
      <c r="M2535" s="708" t="s">
        <v>1901</v>
      </c>
      <c r="N2535" s="708" t="s">
        <v>1239</v>
      </c>
      <c r="O2535" s="708">
        <f>'Part IX A-Scoring Criteria'!O43</f>
        <v>0</v>
      </c>
      <c r="P2535" s="708">
        <f>'Part IX A-Scoring Criteria'!P43</f>
        <v>0</v>
      </c>
    </row>
    <row r="2537" spans="1:17">
      <c r="B2537" s="708" t="s">
        <v>333</v>
      </c>
    </row>
    <row r="2538" spans="1:17">
      <c r="A2538" s="708" t="str">
        <f>'Part IX A-Scoring Criteria'!A46</f>
        <v>In the 2010 9% application, DCA deducted one point for "abandoned and dilapidated housing" nearby.  This is a "stable community" and the site is located within a small town, where the entire spectrum of housing and incomes live within a mile of each other.  As with communities across the country, there are a handful of properties in most neighborhoods (including this one) that have experienced foreclosure or a loss of tenants.  Since last Fall we have been working aggressively with the City of Forsyth to address any code issues with houses within and just outside of a 1/4 mile radius of the property.  Evidence of the progress that has been made since Fall 2010 is contained in Tab 24.  The City has implemented an aggressive strategy to address code compliance issues, including hiring a new code compliance officer, issuing code violation notices, submitted to DCA a CDBG application for $500,000 for the rehabilitation and/or removal of housing.  We have seen a large measure of improvement since Fall 2010 and believe that a point deduction under this category is no longer warranted.</v>
      </c>
      <c r="Q2538" s="708" t="s">
        <v>1933</v>
      </c>
    </row>
    <row r="2539" spans="1:17" ht="13.15" customHeight="1">
      <c r="A2539" s="708">
        <f>'Part IX A-Scoring Criteria'!A47</f>
        <v>0</v>
      </c>
    </row>
    <row r="2540" spans="1:17" ht="13.15" customHeight="1">
      <c r="A2540" s="708">
        <f>'Part IX A-Scoring Criteria'!A48</f>
        <v>0</v>
      </c>
    </row>
    <row r="2541" spans="1:17">
      <c r="B2541" s="708" t="s">
        <v>2922</v>
      </c>
    </row>
    <row r="2542" spans="1:17">
      <c r="A2542" s="708">
        <f>'Part IX A-Scoring Criteria'!A50</f>
        <v>0</v>
      </c>
      <c r="Q2542" s="708" t="s">
        <v>1933</v>
      </c>
    </row>
    <row r="2543" spans="1:17" ht="13.15" customHeight="1">
      <c r="A2543" s="708">
        <f>'Part IX A-Scoring Criteria'!A51</f>
        <v>0</v>
      </c>
    </row>
    <row r="2544" spans="1:17" ht="13.15" customHeight="1">
      <c r="A2544" s="708">
        <f>'Part IX A-Scoring Criteria'!A52</f>
        <v>0</v>
      </c>
    </row>
    <row r="2547" spans="1:17">
      <c r="A2547" s="708" t="s">
        <v>1886</v>
      </c>
      <c r="B2547" s="708" t="s">
        <v>1941</v>
      </c>
      <c r="H2547" s="708" t="s">
        <v>2941</v>
      </c>
      <c r="M2547" s="708">
        <v>2</v>
      </c>
      <c r="O2547" s="708">
        <f>MIN($M2547,(O2548+O2549))</f>
        <v>0</v>
      </c>
      <c r="P2547" s="708">
        <f>MIN($M2547,(P2548+P2549))</f>
        <v>0</v>
      </c>
      <c r="Q2547" s="708" t="s">
        <v>652</v>
      </c>
    </row>
    <row r="2548" spans="1:17">
      <c r="A2548" s="708" t="s">
        <v>3060</v>
      </c>
      <c r="B2548" s="708" t="s">
        <v>1710</v>
      </c>
      <c r="L2548" s="708" t="str">
        <f>IF(OR($O2548=$M2548,$O2548=0,$O2548=""),"","* * Check Score! * *")</f>
        <v/>
      </c>
      <c r="M2548" s="708">
        <v>2</v>
      </c>
      <c r="N2548" s="708" t="s">
        <v>3060</v>
      </c>
      <c r="O2548" s="708">
        <f>'Part IX A-Scoring Criteria'!O56</f>
        <v>0</v>
      </c>
      <c r="P2548" s="708">
        <f>'Part IX A-Scoring Criteria'!P56</f>
        <v>0</v>
      </c>
    </row>
    <row r="2549" spans="1:17">
      <c r="A2549" s="708" t="s">
        <v>3063</v>
      </c>
      <c r="B2549" s="708" t="s">
        <v>1711</v>
      </c>
      <c r="L2549" s="708" t="str">
        <f>IF(OR($O2549=$M2549,$O2549=0,$O2549=""),"","* * Check Score! * *")</f>
        <v/>
      </c>
      <c r="M2549" s="708">
        <v>1</v>
      </c>
      <c r="N2549" s="708" t="s">
        <v>3063</v>
      </c>
      <c r="O2549" s="708">
        <f>'Part IX A-Scoring Criteria'!O57</f>
        <v>0</v>
      </c>
      <c r="P2549" s="708">
        <f>'Part IX A-Scoring Criteria'!P57</f>
        <v>0</v>
      </c>
    </row>
    <row r="2550" spans="1:17">
      <c r="B2550" s="708" t="s">
        <v>333</v>
      </c>
    </row>
    <row r="2551" spans="1:17">
      <c r="A2551" s="708" t="str">
        <f>'Part IX A-Scoring Criteria'!A59</f>
        <v>This is section is N/A.</v>
      </c>
    </row>
    <row r="2552" spans="1:17">
      <c r="B2552" s="708" t="s">
        <v>2922</v>
      </c>
    </row>
    <row r="2553" spans="1:17">
      <c r="A2553" s="708">
        <f>'Part IX A-Scoring Criteria'!A61</f>
        <v>0</v>
      </c>
    </row>
    <row r="2554" spans="1:17">
      <c r="A2554" s="708">
        <f>'Part IX A-Scoring Criteria'!A62</f>
        <v>0</v>
      </c>
    </row>
    <row r="2556" spans="1:17" ht="12.6" customHeight="1">
      <c r="A2556" s="708" t="s">
        <v>1887</v>
      </c>
      <c r="B2556" s="708" t="s">
        <v>3703</v>
      </c>
      <c r="E2556" s="708" t="s">
        <v>3705</v>
      </c>
      <c r="I2556" s="708" t="s">
        <v>2941</v>
      </c>
      <c r="M2556" s="708">
        <v>1</v>
      </c>
      <c r="N2556" s="708" t="str">
        <f>IF(OR($O2556=$M2556,$O2556=0,$O2556=""),"","***")</f>
        <v/>
      </c>
      <c r="O2556" s="708">
        <f>'Part IX A-Scoring Criteria'!O64</f>
        <v>0</v>
      </c>
      <c r="P2556" s="708">
        <f>'Part IX A-Scoring Criteria'!P64</f>
        <v>0</v>
      </c>
      <c r="Q2556" s="708" t="s">
        <v>652</v>
      </c>
    </row>
    <row r="2557" spans="1:17" ht="12.6" customHeight="1">
      <c r="B2557" s="708" t="s">
        <v>1212</v>
      </c>
      <c r="O2557" s="708">
        <f>'Part IX A-Scoring Criteria'!O65</f>
        <v>0</v>
      </c>
      <c r="P2557" s="708">
        <f>'Part IX A-Scoring Criteria'!P65</f>
        <v>0</v>
      </c>
    </row>
    <row r="2558" spans="1:17" ht="12.6" customHeight="1">
      <c r="B2558" s="708" t="s">
        <v>1211</v>
      </c>
      <c r="I2558" s="708">
        <f>'Part IX A-Scoring Criteria'!I66</f>
        <v>0</v>
      </c>
    </row>
    <row r="2559" spans="1:17" ht="12.6" customHeight="1">
      <c r="B2559" s="708" t="s">
        <v>1213</v>
      </c>
      <c r="O2559" s="708">
        <f>'Part IX A-Scoring Criteria'!O67</f>
        <v>0</v>
      </c>
      <c r="P2559" s="708">
        <f>'Part IX A-Scoring Criteria'!P67</f>
        <v>0</v>
      </c>
    </row>
    <row r="2560" spans="1:17" ht="11.45" customHeight="1">
      <c r="B2560" s="708" t="s">
        <v>333</v>
      </c>
    </row>
    <row r="2561" spans="1:18">
      <c r="A2561" s="708" t="str">
        <f>'Part IX A-Scoring Criteria'!A69</f>
        <v>This is section is N/A.</v>
      </c>
    </row>
    <row r="2562" spans="1:18">
      <c r="B2562" s="708" t="s">
        <v>2922</v>
      </c>
    </row>
    <row r="2563" spans="1:18">
      <c r="A2563" s="708">
        <f>'Part IX A-Scoring Criteria'!A71</f>
        <v>0</v>
      </c>
    </row>
    <row r="2564" spans="1:18">
      <c r="A2564" s="708">
        <f>'Part IX A-Scoring Criteria'!A72</f>
        <v>0</v>
      </c>
    </row>
    <row r="2566" spans="1:18" ht="12.6" customHeight="1">
      <c r="A2566" s="708" t="s">
        <v>2943</v>
      </c>
      <c r="B2566" s="708" t="s">
        <v>3704</v>
      </c>
      <c r="E2566" s="708" t="s">
        <v>2091</v>
      </c>
      <c r="I2566" s="708" t="s">
        <v>2941</v>
      </c>
      <c r="M2566" s="708">
        <v>2</v>
      </c>
      <c r="O2566" s="708">
        <f>'Part IX A-Scoring Criteria'!O74</f>
        <v>0</v>
      </c>
      <c r="P2566" s="708">
        <f>'Part IX A-Scoring Criteria'!P74</f>
        <v>0</v>
      </c>
      <c r="Q2566" s="708" t="s">
        <v>652</v>
      </c>
    </row>
    <row r="2567" spans="1:18" ht="12.6" customHeight="1">
      <c r="B2567" s="708" t="s">
        <v>1214</v>
      </c>
      <c r="I2567" s="708">
        <f>'Part IX A-Scoring Criteria'!I75</f>
        <v>0</v>
      </c>
    </row>
    <row r="2568" spans="1:18" ht="11.45" customHeight="1">
      <c r="B2568" s="708" t="s">
        <v>333</v>
      </c>
    </row>
    <row r="2569" spans="1:18">
      <c r="A2569" s="708" t="str">
        <f>'Part IX A-Scoring Criteria'!A77</f>
        <v>This is section is N/A.</v>
      </c>
    </row>
    <row r="2570" spans="1:18">
      <c r="B2570" s="708" t="s">
        <v>2922</v>
      </c>
    </row>
    <row r="2571" spans="1:18">
      <c r="A2571" s="708">
        <f>'Part IX A-Scoring Criteria'!A79</f>
        <v>0</v>
      </c>
    </row>
    <row r="2572" spans="1:18">
      <c r="A2572" s="708">
        <f>'Part IX A-Scoring Criteria'!A80</f>
        <v>0</v>
      </c>
    </row>
    <row r="2574" spans="1:18">
      <c r="A2574" s="708" t="s">
        <v>744</v>
      </c>
      <c r="B2574" s="708" t="s">
        <v>277</v>
      </c>
      <c r="F2574" s="708" t="s">
        <v>627</v>
      </c>
      <c r="I2574" s="708" t="str">
        <f>'Part IX A-Scoring Criteria'!I82</f>
        <v>Earth Craft House</v>
      </c>
      <c r="M2574" s="708">
        <v>3</v>
      </c>
      <c r="O2574" s="708">
        <f>'Part IX A-Scoring Criteria'!O82</f>
        <v>2</v>
      </c>
      <c r="P2574" s="708">
        <f>'Part IX A-Scoring Criteria'!P82</f>
        <v>0</v>
      </c>
      <c r="Q2574" s="708" t="s">
        <v>652</v>
      </c>
      <c r="R2574" s="708" t="str">
        <f>IF(OR($O2574=$M2574,$O2574=0,$O2574=""),"","* * Check Score! * *")</f>
        <v>* * Check Score! * *</v>
      </c>
    </row>
    <row r="2575" spans="1:18" ht="13.15" customHeight="1">
      <c r="B2575" s="708" t="s">
        <v>2659</v>
      </c>
      <c r="O2575" s="708" t="str">
        <f>'Part IX A-Scoring Criteria'!O83</f>
        <v>Yes</v>
      </c>
      <c r="P2575" s="708">
        <f>'Part IX A-Scoring Criteria'!P83</f>
        <v>0</v>
      </c>
    </row>
    <row r="2576" spans="1:18" ht="14.45" customHeight="1">
      <c r="B2576" s="708" t="s">
        <v>3060</v>
      </c>
      <c r="C2576" s="708" t="s">
        <v>1570</v>
      </c>
      <c r="M2576" s="708" t="str">
        <f>IF(AND($I$89="Stable Communities &lt; 10%",O2576=""), "X","")</f>
        <v/>
      </c>
      <c r="N2576" s="708" t="s">
        <v>3060</v>
      </c>
      <c r="O2576" s="708" t="str">
        <f>'Part IX A-Scoring Criteria'!O84</f>
        <v>Agree</v>
      </c>
      <c r="P2576" s="708">
        <f>'Part IX A-Scoring Criteria'!P84</f>
        <v>0</v>
      </c>
    </row>
    <row r="2577" spans="1:17" ht="13.15" customHeight="1">
      <c r="B2577" s="708" t="s">
        <v>3063</v>
      </c>
      <c r="C2577" s="708" t="s">
        <v>1571</v>
      </c>
      <c r="M2577" s="708" t="str">
        <f>IF(AND($I$89="Stable Communities &lt; 10%",O2577=""), "X","")</f>
        <v/>
      </c>
      <c r="N2577" s="708" t="s">
        <v>3063</v>
      </c>
      <c r="O2577" s="708" t="str">
        <f>'Part IX A-Scoring Criteria'!O85</f>
        <v>Agree</v>
      </c>
      <c r="P2577" s="708">
        <f>'Part IX A-Scoring Criteria'!P85</f>
        <v>0</v>
      </c>
    </row>
    <row r="2578" spans="1:17" ht="13.15" customHeight="1">
      <c r="B2578" s="708" t="s">
        <v>333</v>
      </c>
    </row>
    <row r="2579" spans="1:17">
      <c r="A2579" s="708" t="str">
        <f>'Part IX A-Scoring Criteria'!A87</f>
        <v>Brentwood Place Apartments will be developed and built to exceed the Earthcraft for Multi-family (new construction) standards.  Please see Tab 29.</v>
      </c>
    </row>
    <row r="2580" spans="1:17">
      <c r="A2580" s="708">
        <f>'Part IX A-Scoring Criteria'!A88</f>
        <v>0</v>
      </c>
    </row>
    <row r="2581" spans="1:17">
      <c r="B2581" s="708" t="s">
        <v>2922</v>
      </c>
    </row>
    <row r="2582" spans="1:17">
      <c r="A2582" s="708">
        <f>'Part IX A-Scoring Criteria'!A90</f>
        <v>0</v>
      </c>
    </row>
    <row r="2583" spans="1:17">
      <c r="A2583" s="708">
        <f>'Part IX A-Scoring Criteria'!A91</f>
        <v>0</v>
      </c>
    </row>
    <row r="2585" spans="1:17">
      <c r="A2585" s="708" t="s">
        <v>745</v>
      </c>
      <c r="B2585" s="708" t="s">
        <v>3641</v>
      </c>
      <c r="I2585" s="708" t="str">
        <f>'Part IX A-Scoring Criteria'!I93</f>
        <v>Stable Communities &lt; 20%</v>
      </c>
      <c r="M2585" s="708">
        <v>6</v>
      </c>
      <c r="O2585" s="708">
        <f>'Part IX A-Scoring Criteria'!O93</f>
        <v>2</v>
      </c>
      <c r="P2585" s="708">
        <f>'Part IX A-Scoring Criteria'!P93</f>
        <v>0</v>
      </c>
      <c r="Q2585" s="708" t="s">
        <v>652</v>
      </c>
    </row>
    <row r="2586" spans="1:17">
      <c r="A2586" s="708" t="s">
        <v>509</v>
      </c>
    </row>
    <row r="2587" spans="1:17">
      <c r="A2587" s="708" t="s">
        <v>3060</v>
      </c>
      <c r="B2587" s="708" t="s">
        <v>3793</v>
      </c>
      <c r="M2587" s="708">
        <v>4</v>
      </c>
    </row>
    <row r="2588" spans="1:17">
      <c r="A2588" s="708" t="str">
        <f>'Part IX A-Scoring Criteria'!A96</f>
        <v/>
      </c>
      <c r="B2588" s="708" t="s">
        <v>3064</v>
      </c>
      <c r="C2588" s="708" t="s">
        <v>868</v>
      </c>
      <c r="O2588" s="708" t="s">
        <v>3794</v>
      </c>
      <c r="P2588" s="708" t="s">
        <v>3794</v>
      </c>
    </row>
    <row r="2589" spans="1:17">
      <c r="B2589" s="708" t="s">
        <v>3681</v>
      </c>
      <c r="C2589" s="708" t="s">
        <v>3622</v>
      </c>
      <c r="G2589" s="708" t="s">
        <v>3623</v>
      </c>
      <c r="M2589" s="708" t="str">
        <f>IF(AND($I$89="Stable Communities &lt; 10%",O2589=""), "X","")</f>
        <v/>
      </c>
      <c r="N2589" s="708" t="s">
        <v>3681</v>
      </c>
      <c r="O2589" s="708" t="str">
        <f>'Part IX A-Scoring Criteria'!O97</f>
        <v>No</v>
      </c>
      <c r="P2589" s="708">
        <f>'Part IX A-Scoring Criteria'!P97</f>
        <v>0</v>
      </c>
    </row>
    <row r="2590" spans="1:17">
      <c r="B2590" s="708" t="s">
        <v>3682</v>
      </c>
      <c r="C2590" s="708" t="s">
        <v>3624</v>
      </c>
      <c r="G2590" s="708" t="s">
        <v>3625</v>
      </c>
      <c r="M2590" s="708" t="str">
        <f>IF(AND($I$89="Stable Communities &lt; 10%",O2590=""), "X","")</f>
        <v/>
      </c>
      <c r="N2590" s="708" t="s">
        <v>3682</v>
      </c>
      <c r="O2590" s="708" t="str">
        <f>'Part IX A-Scoring Criteria'!O98</f>
        <v>Yes</v>
      </c>
      <c r="P2590" s="708">
        <f>'Part IX A-Scoring Criteria'!P98</f>
        <v>0</v>
      </c>
    </row>
    <row r="2591" spans="1:17">
      <c r="B2591" s="708" t="s">
        <v>3685</v>
      </c>
      <c r="C2591" s="708" t="s">
        <v>2191</v>
      </c>
      <c r="M2591" s="708" t="str">
        <f>IF(AND($I$89="Stable Communities &lt; 10%",O2591=""), "X","")</f>
        <v/>
      </c>
      <c r="N2591" s="708" t="s">
        <v>3685</v>
      </c>
      <c r="O2591" s="708" t="str">
        <f>'Part IX A-Scoring Criteria'!O99</f>
        <v>Yes</v>
      </c>
      <c r="P2591" s="708">
        <f>'Part IX A-Scoring Criteria'!P99</f>
        <v>0</v>
      </c>
    </row>
    <row r="2592" spans="1:17">
      <c r="A2592" s="708" t="str">
        <f>'Part IX A-Scoring Criteria'!A100</f>
        <v>X</v>
      </c>
      <c r="B2592" s="708" t="s">
        <v>3066</v>
      </c>
      <c r="C2592" s="708" t="s">
        <v>868</v>
      </c>
      <c r="O2592" s="708" t="s">
        <v>3794</v>
      </c>
      <c r="P2592" s="708" t="s">
        <v>3794</v>
      </c>
    </row>
    <row r="2593" spans="1:16">
      <c r="B2593" s="708" t="s">
        <v>3681</v>
      </c>
      <c r="C2593" s="708" t="s">
        <v>3706</v>
      </c>
      <c r="G2593" s="708" t="s">
        <v>3626</v>
      </c>
      <c r="M2593" s="708" t="str">
        <f>IF(AND($I$89="Stable Communities &lt; 20%",O2593=""), "X","")</f>
        <v/>
      </c>
      <c r="N2593" s="708" t="s">
        <v>3681</v>
      </c>
      <c r="O2593" s="708" t="str">
        <f>'Part IX A-Scoring Criteria'!O101</f>
        <v>Yes</v>
      </c>
      <c r="P2593" s="708">
        <f>'Part IX A-Scoring Criteria'!P101</f>
        <v>0</v>
      </c>
    </row>
    <row r="2594" spans="1:16">
      <c r="B2594" s="708" t="s">
        <v>3682</v>
      </c>
      <c r="C2594" s="708" t="s">
        <v>3624</v>
      </c>
      <c r="G2594" s="708" t="s">
        <v>3625</v>
      </c>
      <c r="M2594" s="708" t="str">
        <f>IF(AND($I$89="Stable Communities &lt; 20%",O2594=""), "X","")</f>
        <v/>
      </c>
      <c r="N2594" s="708" t="s">
        <v>3682</v>
      </c>
      <c r="O2594" s="708" t="str">
        <f>'Part IX A-Scoring Criteria'!O102</f>
        <v>Yes</v>
      </c>
      <c r="P2594" s="708">
        <f>'Part IX A-Scoring Criteria'!P102</f>
        <v>0</v>
      </c>
    </row>
    <row r="2595" spans="1:16">
      <c r="B2595" s="708" t="s">
        <v>3685</v>
      </c>
      <c r="C2595" s="708" t="s">
        <v>2191</v>
      </c>
      <c r="M2595" s="708" t="str">
        <f>IF(AND($I$89="Stable Communities &lt; 20%",O2595=""), "X","")</f>
        <v/>
      </c>
      <c r="N2595" s="708" t="s">
        <v>3685</v>
      </c>
      <c r="O2595" s="708" t="str">
        <f>'Part IX A-Scoring Criteria'!O103</f>
        <v>Yes</v>
      </c>
      <c r="P2595" s="708">
        <f>'Part IX A-Scoring Criteria'!P103</f>
        <v>0</v>
      </c>
    </row>
    <row r="2596" spans="1:16">
      <c r="A2596" s="708" t="s">
        <v>3063</v>
      </c>
      <c r="B2596" s="708" t="s">
        <v>346</v>
      </c>
      <c r="M2596" s="708">
        <v>6</v>
      </c>
    </row>
    <row r="2597" spans="1:16">
      <c r="A2597" s="708" t="str">
        <f>'Part IX A-Scoring Criteria'!A105</f>
        <v/>
      </c>
      <c r="B2597" s="708" t="s">
        <v>3064</v>
      </c>
      <c r="C2597" s="708" t="s">
        <v>4109</v>
      </c>
      <c r="O2597" s="708" t="s">
        <v>3794</v>
      </c>
      <c r="P2597" s="708" t="s">
        <v>3794</v>
      </c>
    </row>
    <row r="2598" spans="1:16">
      <c r="B2598" s="708" t="s">
        <v>3681</v>
      </c>
      <c r="C2598" s="708" t="s">
        <v>914</v>
      </c>
      <c r="M2598" s="708" t="str">
        <f>IF(AND($I$89="HOPE VI Initiative",O2598=""), "X","")</f>
        <v/>
      </c>
      <c r="N2598" s="708" t="s">
        <v>3681</v>
      </c>
      <c r="O2598" s="708">
        <f>'Part IX A-Scoring Criteria'!O106</f>
        <v>0</v>
      </c>
      <c r="P2598" s="708">
        <f>'Part IX A-Scoring Criteria'!P106</f>
        <v>0</v>
      </c>
    </row>
    <row r="2599" spans="1:16">
      <c r="B2599" s="708" t="s">
        <v>3682</v>
      </c>
      <c r="C2599" s="708" t="s">
        <v>915</v>
      </c>
      <c r="M2599" s="708" t="str">
        <f>IF(AND($I$89="HOPE VI Initiative",O2599=""), "X","")</f>
        <v/>
      </c>
      <c r="N2599" s="708" t="s">
        <v>3682</v>
      </c>
      <c r="O2599" s="708">
        <f>'Part IX A-Scoring Criteria'!O107</f>
        <v>0</v>
      </c>
      <c r="P2599" s="708">
        <f>'Part IX A-Scoring Criteria'!P107</f>
        <v>0</v>
      </c>
    </row>
    <row r="2600" spans="1:16">
      <c r="B2600" s="708" t="s">
        <v>3683</v>
      </c>
      <c r="C2600" s="708" t="s">
        <v>916</v>
      </c>
      <c r="M2600" s="708" t="str">
        <f>IF(AND($I$89="HOPE VI Initiative",O2600=""), "X","")</f>
        <v/>
      </c>
      <c r="N2600" s="708" t="s">
        <v>3683</v>
      </c>
      <c r="O2600" s="708">
        <f>'Part IX A-Scoring Criteria'!O108</f>
        <v>0</v>
      </c>
      <c r="P2600" s="708">
        <f>'Part IX A-Scoring Criteria'!P108</f>
        <v>0</v>
      </c>
    </row>
    <row r="2601" spans="1:16">
      <c r="B2601" s="708" t="s">
        <v>3684</v>
      </c>
      <c r="C2601" s="708" t="s">
        <v>917</v>
      </c>
      <c r="M2601" s="708" t="str">
        <f>IF(AND($I$89="HOPE VI Initiative",O2601=""), "X","")</f>
        <v/>
      </c>
      <c r="N2601" s="708" t="s">
        <v>3684</v>
      </c>
      <c r="O2601" s="708">
        <f>'Part IX A-Scoring Criteria'!O109</f>
        <v>0</v>
      </c>
      <c r="P2601" s="708">
        <f>'Part IX A-Scoring Criteria'!P109</f>
        <v>0</v>
      </c>
    </row>
    <row r="2602" spans="1:16">
      <c r="B2602" s="708" t="s">
        <v>3066</v>
      </c>
      <c r="C2602" s="708" t="s">
        <v>540</v>
      </c>
      <c r="G2602" s="708" t="s">
        <v>921</v>
      </c>
      <c r="N2602" s="708" t="s">
        <v>3066</v>
      </c>
      <c r="O2602" s="708">
        <f>'Part IX A-Scoring Criteria'!O110</f>
        <v>0</v>
      </c>
      <c r="P2602" s="708">
        <f>'Part IX A-Scoring Criteria'!P110</f>
        <v>0</v>
      </c>
    </row>
    <row r="2603" spans="1:16">
      <c r="A2603" s="708" t="str">
        <f>'Part IX A-Scoring Criteria'!A111</f>
        <v/>
      </c>
      <c r="B2603" s="708" t="s">
        <v>3822</v>
      </c>
      <c r="C2603" s="708" t="s">
        <v>541</v>
      </c>
      <c r="G2603" s="708" t="s">
        <v>1651</v>
      </c>
      <c r="H2603" s="708" t="str">
        <f>'Part IX A-Scoring Criteria'!H111</f>
        <v>&lt;&lt;Select&gt;&gt;</v>
      </c>
      <c r="I2603" s="708" t="s">
        <v>1563</v>
      </c>
      <c r="J2603" s="708">
        <f>'Part IX A-Scoring Criteria'!J111</f>
        <v>0</v>
      </c>
      <c r="N2603" s="708" t="s">
        <v>3822</v>
      </c>
      <c r="O2603" s="708">
        <f>'Part IX A-Scoring Criteria'!O111</f>
        <v>0</v>
      </c>
      <c r="P2603" s="708">
        <f>'Part IX A-Scoring Criteria'!P111</f>
        <v>0</v>
      </c>
    </row>
    <row r="2604" spans="1:16">
      <c r="A2604" s="708" t="str">
        <f>'Part IX A-Scoring Criteria'!A112</f>
        <v/>
      </c>
      <c r="B2604" s="708" t="s">
        <v>1886</v>
      </c>
      <c r="C2604" s="708" t="s">
        <v>3611</v>
      </c>
      <c r="G2604" s="708" t="s">
        <v>637</v>
      </c>
      <c r="H2604" s="708">
        <f>'Part IX A-Scoring Criteria'!H112</f>
        <v>0</v>
      </c>
      <c r="N2604" s="708" t="s">
        <v>1886</v>
      </c>
      <c r="O2604" s="708">
        <f>'Part IX A-Scoring Criteria'!O112</f>
        <v>0</v>
      </c>
      <c r="P2604" s="708">
        <f>'Part IX A-Scoring Criteria'!P112</f>
        <v>0</v>
      </c>
    </row>
    <row r="2605" spans="1:16">
      <c r="B2605" s="708" t="s">
        <v>3681</v>
      </c>
      <c r="C2605" s="708" t="s">
        <v>922</v>
      </c>
      <c r="G2605" s="708" t="s">
        <v>920</v>
      </c>
      <c r="H2605" s="708">
        <f>'Part IX A-Scoring Criteria'!H113</f>
        <v>0</v>
      </c>
      <c r="M2605" s="708" t="str">
        <f>IF(AND($I$89="Local Redevelopment Plan",O2605=""), "X","")</f>
        <v/>
      </c>
      <c r="N2605" s="708" t="s">
        <v>3681</v>
      </c>
      <c r="O2605" s="708">
        <f>'Part IX A-Scoring Criteria'!O113</f>
        <v>0</v>
      </c>
      <c r="P2605" s="708">
        <f>'Part IX A-Scoring Criteria'!P113</f>
        <v>0</v>
      </c>
    </row>
    <row r="2606" spans="1:16">
      <c r="B2606" s="708" t="s">
        <v>3682</v>
      </c>
      <c r="C2606" s="708" t="s">
        <v>3710</v>
      </c>
      <c r="N2606" s="708" t="s">
        <v>3682</v>
      </c>
      <c r="O2606" s="708">
        <f>'Part IX A-Scoring Criteria'!O114</f>
        <v>0</v>
      </c>
      <c r="P2606" s="708">
        <f>'Part IX A-Scoring Criteria'!P114</f>
        <v>0</v>
      </c>
    </row>
    <row r="2607" spans="1:16">
      <c r="B2607" s="708" t="s">
        <v>3683</v>
      </c>
      <c r="C2607" s="708" t="s">
        <v>3711</v>
      </c>
      <c r="M2607" s="708" t="str">
        <f t="shared" ref="M2607:M2616" si="374">IF(AND($I$89="Local Redevelopment Plan",O2607=""), "X","")</f>
        <v/>
      </c>
      <c r="N2607" s="708" t="s">
        <v>3683</v>
      </c>
      <c r="O2607" s="708">
        <f>'Part IX A-Scoring Criteria'!O115</f>
        <v>0</v>
      </c>
      <c r="P2607" s="708">
        <f>'Part IX A-Scoring Criteria'!P115</f>
        <v>0</v>
      </c>
    </row>
    <row r="2608" spans="1:16">
      <c r="B2608" s="708" t="s">
        <v>3684</v>
      </c>
      <c r="C2608" s="708" t="s">
        <v>3712</v>
      </c>
      <c r="M2608" s="708" t="str">
        <f t="shared" si="374"/>
        <v/>
      </c>
      <c r="N2608" s="708" t="s">
        <v>3684</v>
      </c>
      <c r="O2608" s="708">
        <f>'Part IX A-Scoring Criteria'!O116</f>
        <v>0</v>
      </c>
      <c r="P2608" s="708">
        <f>'Part IX A-Scoring Criteria'!P116</f>
        <v>0</v>
      </c>
    </row>
    <row r="2609" spans="1:17">
      <c r="B2609" s="708" t="s">
        <v>3685</v>
      </c>
      <c r="C2609" s="708" t="s">
        <v>3713</v>
      </c>
      <c r="M2609" s="708" t="str">
        <f t="shared" si="374"/>
        <v/>
      </c>
      <c r="N2609" s="708" t="s">
        <v>3685</v>
      </c>
      <c r="O2609" s="708">
        <f>'Part IX A-Scoring Criteria'!O117</f>
        <v>0</v>
      </c>
      <c r="P2609" s="708">
        <f>'Part IX A-Scoring Criteria'!P117</f>
        <v>0</v>
      </c>
    </row>
    <row r="2610" spans="1:17">
      <c r="B2610" s="708" t="s">
        <v>3708</v>
      </c>
      <c r="C2610" s="708" t="s">
        <v>3714</v>
      </c>
      <c r="M2610" s="708" t="str">
        <f t="shared" si="374"/>
        <v/>
      </c>
      <c r="N2610" s="708" t="s">
        <v>3708</v>
      </c>
      <c r="O2610" s="708">
        <f>'Part IX A-Scoring Criteria'!O118</f>
        <v>0</v>
      </c>
      <c r="P2610" s="708">
        <f>'Part IX A-Scoring Criteria'!P118</f>
        <v>0</v>
      </c>
    </row>
    <row r="2611" spans="1:17">
      <c r="B2611" s="708" t="s">
        <v>3709</v>
      </c>
      <c r="C2611" s="708" t="s">
        <v>3715</v>
      </c>
      <c r="M2611" s="708" t="str">
        <f t="shared" si="374"/>
        <v/>
      </c>
      <c r="N2611" s="708" t="s">
        <v>3709</v>
      </c>
      <c r="O2611" s="708">
        <f>'Part IX A-Scoring Criteria'!O119</f>
        <v>0</v>
      </c>
      <c r="P2611" s="708">
        <f>'Part IX A-Scoring Criteria'!P119</f>
        <v>0</v>
      </c>
    </row>
    <row r="2612" spans="1:17">
      <c r="A2612" s="708" t="str">
        <f>'Part IX A-Scoring Criteria'!A120</f>
        <v>X</v>
      </c>
      <c r="B2612" s="708" t="s">
        <v>3719</v>
      </c>
      <c r="O2612" s="708" t="s">
        <v>3794</v>
      </c>
      <c r="P2612" s="708" t="s">
        <v>3794</v>
      </c>
    </row>
    <row r="2613" spans="1:17">
      <c r="B2613" s="708" t="s">
        <v>3716</v>
      </c>
      <c r="C2613" s="708" t="s">
        <v>3720</v>
      </c>
      <c r="M2613" s="708" t="str">
        <f t="shared" si="374"/>
        <v/>
      </c>
      <c r="N2613" s="708" t="s">
        <v>3716</v>
      </c>
      <c r="O2613" s="708">
        <f>'Part IX A-Scoring Criteria'!O121</f>
        <v>0</v>
      </c>
      <c r="P2613" s="708">
        <f>'Part IX A-Scoring Criteria'!P121</f>
        <v>0</v>
      </c>
    </row>
    <row r="2614" spans="1:17">
      <c r="B2614" s="708" t="s">
        <v>3717</v>
      </c>
      <c r="C2614" s="708" t="s">
        <v>3721</v>
      </c>
      <c r="M2614" s="708" t="str">
        <f t="shared" si="374"/>
        <v/>
      </c>
      <c r="N2614" s="708" t="s">
        <v>3717</v>
      </c>
      <c r="O2614" s="708">
        <f>'Part IX A-Scoring Criteria'!O122</f>
        <v>0</v>
      </c>
      <c r="P2614" s="708">
        <f>'Part IX A-Scoring Criteria'!P122</f>
        <v>0</v>
      </c>
    </row>
    <row r="2615" spans="1:17">
      <c r="B2615" s="708" t="s">
        <v>3718</v>
      </c>
      <c r="C2615" s="708" t="s">
        <v>3722</v>
      </c>
      <c r="M2615" s="708" t="str">
        <f t="shared" si="374"/>
        <v/>
      </c>
      <c r="N2615" s="708" t="s">
        <v>3718</v>
      </c>
      <c r="O2615" s="708">
        <f>'Part IX A-Scoring Criteria'!O123</f>
        <v>0</v>
      </c>
      <c r="P2615" s="708">
        <f>'Part IX A-Scoring Criteria'!P123</f>
        <v>0</v>
      </c>
    </row>
    <row r="2616" spans="1:17">
      <c r="B2616" s="708" t="s">
        <v>919</v>
      </c>
      <c r="C2616" s="708" t="s">
        <v>3723</v>
      </c>
      <c r="M2616" s="708" t="str">
        <f t="shared" si="374"/>
        <v/>
      </c>
      <c r="N2616" s="708" t="s">
        <v>919</v>
      </c>
      <c r="O2616" s="708">
        <f>'Part IX A-Scoring Criteria'!O124</f>
        <v>0</v>
      </c>
      <c r="P2616" s="708">
        <f>'Part IX A-Scoring Criteria'!P124</f>
        <v>0</v>
      </c>
    </row>
    <row r="2617" spans="1:17">
      <c r="B2617" s="708" t="s">
        <v>333</v>
      </c>
    </row>
    <row r="2618" spans="1:17">
      <c r="A2618" s="708" t="str">
        <f>'Part IX A-Scoring Criteria'!A126</f>
        <v>Brentwood Place is located in a stable community with less than 20% poverty, middle income designation (see Tab 30) and a market study that demonstrates the need for affordable housing (Tab 9).</v>
      </c>
    </row>
    <row r="2619" spans="1:17">
      <c r="A2619" s="708">
        <f>'Part IX A-Scoring Criteria'!A127</f>
        <v>0</v>
      </c>
    </row>
    <row r="2620" spans="1:17">
      <c r="B2620" s="708" t="s">
        <v>2922</v>
      </c>
    </row>
    <row r="2621" spans="1:17">
      <c r="A2621" s="708">
        <f>'Part IX A-Scoring Criteria'!A129</f>
        <v>0</v>
      </c>
    </row>
    <row r="2622" spans="1:17">
      <c r="A2622" s="708">
        <f>'Part IX A-Scoring Criteria'!A130</f>
        <v>0</v>
      </c>
    </row>
    <row r="2624" spans="1:17">
      <c r="A2624" s="708" t="s">
        <v>279</v>
      </c>
      <c r="B2624" s="708" t="s">
        <v>3724</v>
      </c>
      <c r="J2624" s="708" t="s">
        <v>505</v>
      </c>
      <c r="M2624" s="708">
        <v>3</v>
      </c>
      <c r="O2624" s="708">
        <f>MIN($M2624,(O2625+O2631))</f>
        <v>3</v>
      </c>
      <c r="P2624" s="708">
        <f>MIN($M2624,(P2625+P2631))</f>
        <v>3</v>
      </c>
      <c r="Q2624" s="708" t="s">
        <v>652</v>
      </c>
    </row>
    <row r="2625" spans="1:17">
      <c r="B2625" s="708" t="s">
        <v>3060</v>
      </c>
      <c r="C2625" s="708" t="s">
        <v>3358</v>
      </c>
      <c r="G2625" s="708" t="str">
        <f>IF(AND(O2625&lt;0,M2632&lt;0),"Select either A or B but not both!&gt;","")</f>
        <v/>
      </c>
      <c r="L2625" s="708" t="str">
        <f>IF(OR($O2625=$M2625,$O2625=0,$O2625=""),"","* * Check Score! * *")</f>
        <v/>
      </c>
      <c r="M2625" s="708">
        <v>3</v>
      </c>
      <c r="N2625" s="708" t="s">
        <v>3060</v>
      </c>
      <c r="O2625" s="708">
        <f>'Part IX A-Scoring Criteria'!O133</f>
        <v>0</v>
      </c>
      <c r="P2625" s="708">
        <f>'Part IX A-Scoring Criteria'!P133</f>
        <v>0</v>
      </c>
    </row>
    <row r="2626" spans="1:17" ht="13.15" customHeight="1">
      <c r="B2626" s="708" t="s">
        <v>3064</v>
      </c>
      <c r="C2626" s="708" t="s">
        <v>1565</v>
      </c>
      <c r="N2626" s="708" t="s">
        <v>3064</v>
      </c>
      <c r="O2626" s="708" t="str">
        <f>'Part IX A-Scoring Criteria'!O134</f>
        <v>No</v>
      </c>
      <c r="P2626" s="708">
        <f>'Part IX A-Scoring Criteria'!P134</f>
        <v>0</v>
      </c>
    </row>
    <row r="2627" spans="1:17" ht="13.15" customHeight="1">
      <c r="C2627" s="708" t="s">
        <v>1566</v>
      </c>
      <c r="H2627" s="708" t="s">
        <v>1564</v>
      </c>
      <c r="I2627" s="708">
        <f>'Part IX A-Scoring Criteria'!I135</f>
        <v>0</v>
      </c>
      <c r="J2627" s="708" t="s">
        <v>952</v>
      </c>
      <c r="K2627" s="708">
        <f>'Part IX A-Scoring Criteria'!K135</f>
        <v>0</v>
      </c>
    </row>
    <row r="2628" spans="1:17">
      <c r="B2628" s="708" t="s">
        <v>3066</v>
      </c>
      <c r="C2628" s="708" t="s">
        <v>1567</v>
      </c>
      <c r="L2628" s="708" t="str">
        <f>IF(OR($O2628=$M2628,$O2628=0,$O2628=""),"","* * Check Score! * *")</f>
        <v/>
      </c>
      <c r="N2628" s="708" t="s">
        <v>3066</v>
      </c>
      <c r="O2628" s="708">
        <f>'Part IX A-Scoring Criteria'!O136</f>
        <v>0</v>
      </c>
      <c r="P2628" s="708">
        <f>'Part IX A-Scoring Criteria'!P136</f>
        <v>0</v>
      </c>
    </row>
    <row r="2629" spans="1:17">
      <c r="B2629" s="708" t="s">
        <v>3822</v>
      </c>
      <c r="C2629" s="708" t="s">
        <v>1568</v>
      </c>
      <c r="L2629" s="708" t="str">
        <f>IF(OR($O2629=$M2629,$O2629=0,$O2629=""),"","* * Check Score! * *")</f>
        <v/>
      </c>
      <c r="N2629" s="708" t="s">
        <v>3822</v>
      </c>
      <c r="O2629" s="708">
        <f>'Part IX A-Scoring Criteria'!O137</f>
        <v>0</v>
      </c>
      <c r="P2629" s="708">
        <f>'Part IX A-Scoring Criteria'!P137</f>
        <v>0</v>
      </c>
    </row>
    <row r="2630" spans="1:17">
      <c r="B2630" s="708" t="s">
        <v>1886</v>
      </c>
      <c r="C2630" s="708" t="s">
        <v>1569</v>
      </c>
      <c r="L2630" s="708" t="str">
        <f>IF(OR($O2630=$M2630,$O2630=0,$O2630=""),"","* * Check Score! * *")</f>
        <v/>
      </c>
      <c r="N2630" s="708" t="s">
        <v>1886</v>
      </c>
      <c r="O2630" s="708">
        <f>'Part IX A-Scoring Criteria'!O138</f>
        <v>0</v>
      </c>
      <c r="P2630" s="708">
        <f>'Part IX A-Scoring Criteria'!P138</f>
        <v>0</v>
      </c>
    </row>
    <row r="2631" spans="1:17">
      <c r="A2631" s="708" t="s">
        <v>2056</v>
      </c>
      <c r="B2631" s="708" t="s">
        <v>3063</v>
      </c>
      <c r="C2631" s="708" t="s">
        <v>3359</v>
      </c>
      <c r="M2631" s="708">
        <v>3</v>
      </c>
      <c r="N2631" s="708" t="s">
        <v>3063</v>
      </c>
      <c r="O2631" s="708">
        <f>IF($M2632=4,3,IF($M2632=3,2,IF($M2632=2,1,0)))</f>
        <v>3</v>
      </c>
      <c r="P2631" s="708">
        <f>IF($M2632=4,3,IF($M2632=3,2,IF($M2632=2,1,0)))</f>
        <v>3</v>
      </c>
    </row>
    <row r="2632" spans="1:17">
      <c r="L2632" s="708" t="s">
        <v>735</v>
      </c>
      <c r="M2632" s="708">
        <f>'Part IX A-Scoring Criteria'!M140</f>
        <v>4</v>
      </c>
      <c r="N2632" s="708" t="s">
        <v>736</v>
      </c>
    </row>
    <row r="2633" spans="1:17">
      <c r="B2633" s="708" t="s">
        <v>333</v>
      </c>
    </row>
    <row r="2634" spans="1:17">
      <c r="A2634" s="708" t="str">
        <f>'Part IX A-Scoring Criteria'!A142</f>
        <v>The City of Forsyth has not had a 9%, 4% or HOME project awarded within the last 4 DCA funding cycles.</v>
      </c>
    </row>
    <row r="2635" spans="1:17">
      <c r="B2635" s="708" t="s">
        <v>2922</v>
      </c>
    </row>
    <row r="2636" spans="1:17">
      <c r="A2636" s="708">
        <f>'Part IX A-Scoring Criteria'!A144</f>
        <v>0</v>
      </c>
    </row>
    <row r="2638" spans="1:17">
      <c r="A2638" s="708" t="s">
        <v>280</v>
      </c>
      <c r="B2638" s="708" t="s">
        <v>3725</v>
      </c>
      <c r="L2638" s="708" t="str">
        <f>IF(OR($O2638=$M2638,$O2638=0,$O2638=""),"","* * Check Score! * *")</f>
        <v/>
      </c>
      <c r="M2638" s="708">
        <v>2</v>
      </c>
      <c r="O2638" s="708">
        <f>'Part IX A-Scoring Criteria'!O146</f>
        <v>2</v>
      </c>
      <c r="P2638" s="708">
        <f>'Part IX A-Scoring Criteria'!P146</f>
        <v>0</v>
      </c>
      <c r="Q2638" s="708" t="s">
        <v>652</v>
      </c>
    </row>
    <row r="2639" spans="1:17">
      <c r="B2639" s="708" t="s">
        <v>2667</v>
      </c>
      <c r="P2639" s="708" t="s">
        <v>3794</v>
      </c>
    </row>
    <row r="2640" spans="1:17">
      <c r="A2640" s="708" t="s">
        <v>3681</v>
      </c>
      <c r="B2640" s="708" t="s">
        <v>3726</v>
      </c>
      <c r="O2640" s="708" t="s">
        <v>3681</v>
      </c>
      <c r="P2640" s="708">
        <f>'Part IX A-Scoring Criteria'!P148</f>
        <v>0</v>
      </c>
    </row>
    <row r="2641" spans="1:16" ht="13.15" customHeight="1">
      <c r="A2641" s="708" t="s">
        <v>3682</v>
      </c>
      <c r="B2641" s="708" t="s">
        <v>3727</v>
      </c>
      <c r="O2641" s="708" t="s">
        <v>3682</v>
      </c>
      <c r="P2641" s="708">
        <f>'Part IX A-Scoring Criteria'!P149</f>
        <v>0</v>
      </c>
    </row>
    <row r="2642" spans="1:16" ht="13.15" customHeight="1">
      <c r="A2642" s="708" t="s">
        <v>3683</v>
      </c>
      <c r="B2642" s="708" t="s">
        <v>3728</v>
      </c>
      <c r="O2642" s="708" t="s">
        <v>3683</v>
      </c>
      <c r="P2642" s="708">
        <f>'Part IX A-Scoring Criteria'!P150</f>
        <v>0</v>
      </c>
    </row>
    <row r="2643" spans="1:16">
      <c r="A2643" s="708" t="s">
        <v>3684</v>
      </c>
      <c r="B2643" s="708" t="s">
        <v>3340</v>
      </c>
      <c r="O2643" s="708" t="s">
        <v>3684</v>
      </c>
      <c r="P2643" s="708">
        <f>'Part IX A-Scoring Criteria'!P151</f>
        <v>0</v>
      </c>
    </row>
    <row r="2644" spans="1:16" ht="13.15" customHeight="1">
      <c r="A2644" s="708" t="s">
        <v>3685</v>
      </c>
      <c r="B2644" s="708" t="s">
        <v>3341</v>
      </c>
      <c r="O2644" s="708" t="s">
        <v>3685</v>
      </c>
      <c r="P2644" s="708">
        <f>'Part IX A-Scoring Criteria'!P152</f>
        <v>0</v>
      </c>
    </row>
    <row r="2645" spans="1:16" ht="13.15" customHeight="1">
      <c r="A2645" s="708" t="s">
        <v>3708</v>
      </c>
      <c r="B2645" s="708" t="s">
        <v>3342</v>
      </c>
      <c r="O2645" s="708" t="s">
        <v>3708</v>
      </c>
      <c r="P2645" s="708">
        <f>'Part IX A-Scoring Criteria'!P153</f>
        <v>0</v>
      </c>
    </row>
    <row r="2646" spans="1:16">
      <c r="A2646" s="708" t="s">
        <v>3709</v>
      </c>
      <c r="B2646" s="708" t="s">
        <v>2668</v>
      </c>
      <c r="O2646" s="708" t="s">
        <v>3709</v>
      </c>
      <c r="P2646" s="708">
        <f>'Part IX A-Scoring Criteria'!P154</f>
        <v>0</v>
      </c>
    </row>
    <row r="2647" spans="1:16">
      <c r="A2647" s="708" t="s">
        <v>3716</v>
      </c>
      <c r="B2647" s="708" t="s">
        <v>2669</v>
      </c>
      <c r="O2647" s="708" t="s">
        <v>3716</v>
      </c>
      <c r="P2647" s="708">
        <f>'Part IX A-Scoring Criteria'!P155</f>
        <v>0</v>
      </c>
    </row>
    <row r="2648" spans="1:16">
      <c r="B2648" s="708" t="s">
        <v>333</v>
      </c>
    </row>
    <row r="2649" spans="1:16">
      <c r="A2649" s="708" t="str">
        <f>'Part IX A-Scoring Criteria'!A157</f>
        <v>There are no comparable DCA properties in the PMA.  There are no DCA funded projects within the PMA with less than 90% occupancy.  The market study indicates stabilized occupancy will be met within 10 months, much quicker than the maximum 24 months.  There are no DCA projects within the PMA that have been unable to convert to permanent financing.  The area has received a boost in new jobs from the recently relocated Georgia Department of Corrections campus.  The market study does not indicate that foreclosures in the PMA detrimentally affect the proposed project.  The proposed rents are well below the comparable rents.  We do not believe that the proposed PMA is overestimated.</v>
      </c>
    </row>
    <row r="2650" spans="1:16">
      <c r="A2650" s="708">
        <f>'Part IX A-Scoring Criteria'!A158</f>
        <v>0</v>
      </c>
    </row>
    <row r="2651" spans="1:16">
      <c r="B2651" s="708" t="s">
        <v>2922</v>
      </c>
    </row>
    <row r="2652" spans="1:16">
      <c r="A2652" s="708">
        <f>'Part IX A-Scoring Criteria'!A160</f>
        <v>0</v>
      </c>
    </row>
    <row r="2653" spans="1:16">
      <c r="A2653" s="708">
        <f>'Part IX A-Scoring Criteria'!A161</f>
        <v>0</v>
      </c>
    </row>
    <row r="2654" spans="1:16">
      <c r="A2654" s="708">
        <f>'Part IX A-Scoring Criteria'!A162</f>
        <v>0</v>
      </c>
    </row>
    <row r="2655" spans="1:16">
      <c r="A2655" s="708">
        <f>'Part IX A-Scoring Criteria'!A163</f>
        <v>0</v>
      </c>
    </row>
    <row r="2656" spans="1:16">
      <c r="A2656" s="708">
        <f>'Part IX A-Scoring Criteria'!A164</f>
        <v>0</v>
      </c>
    </row>
    <row r="2658" spans="1:18">
      <c r="A2658" s="708" t="s">
        <v>281</v>
      </c>
      <c r="B2658" s="708" t="s">
        <v>3360</v>
      </c>
      <c r="J2658" s="708" t="s">
        <v>505</v>
      </c>
      <c r="M2658" s="708">
        <v>1</v>
      </c>
      <c r="O2658" s="708">
        <f>MIN($M2658,SUM(O2659:O2660))</f>
        <v>1</v>
      </c>
      <c r="P2658" s="708">
        <f>MIN($M2658,SUM(P2659:P2660))</f>
        <v>0</v>
      </c>
      <c r="Q2658" s="708" t="s">
        <v>652</v>
      </c>
    </row>
    <row r="2659" spans="1:18">
      <c r="B2659" s="708" t="s">
        <v>3060</v>
      </c>
      <c r="C2659" s="708" t="s">
        <v>3361</v>
      </c>
      <c r="K2659" s="708" t="s">
        <v>2216</v>
      </c>
      <c r="L2659" s="708" t="str">
        <f>'Part IX A-Scoring Criteria'!L167</f>
        <v>Yes</v>
      </c>
      <c r="M2659" s="708">
        <v>1</v>
      </c>
      <c r="N2659" s="708" t="s">
        <v>3060</v>
      </c>
      <c r="O2659" s="708">
        <f>'Part IX A-Scoring Criteria'!O167</f>
        <v>1</v>
      </c>
      <c r="P2659" s="708">
        <f>'Part IX A-Scoring Criteria'!P167</f>
        <v>0</v>
      </c>
      <c r="R2659" s="708" t="str">
        <f>IF(OR($O2659=$M2659,$O2659=0,$O2659=""),"","* * Check Score! * *")</f>
        <v/>
      </c>
    </row>
    <row r="2660" spans="1:18">
      <c r="B2660" s="708" t="s">
        <v>3063</v>
      </c>
      <c r="C2660" s="708" t="s">
        <v>3362</v>
      </c>
      <c r="L2660" s="708" t="str">
        <f>IF(OR($O2660=$M2660,$O2660=0,$O2660=""),"","* * Check Score! * *")</f>
        <v/>
      </c>
      <c r="M2660" s="708">
        <v>1</v>
      </c>
      <c r="N2660" s="708" t="s">
        <v>3063</v>
      </c>
      <c r="O2660" s="708">
        <f>'Part IX A-Scoring Criteria'!O168</f>
        <v>0</v>
      </c>
      <c r="P2660" s="708">
        <f>'Part IX A-Scoring Criteria'!P168</f>
        <v>0</v>
      </c>
      <c r="R2660" s="708" t="str">
        <f>IF(OR($O2660=$M2660,$O2660=0,$O2660=""),"","* * Check Score! * *")</f>
        <v/>
      </c>
    </row>
    <row r="2661" spans="1:18">
      <c r="B2661" s="708" t="s">
        <v>333</v>
      </c>
    </row>
    <row r="2662" spans="1:18">
      <c r="A2662" s="708" t="str">
        <f>'Part IX A-Scoring Criteria'!A170</f>
        <v>The applicant will forego the cancellation option for at least 5 years after the close of the compliance period.</v>
      </c>
    </row>
    <row r="2663" spans="1:18">
      <c r="B2663" s="708" t="s">
        <v>2922</v>
      </c>
    </row>
    <row r="2664" spans="1:18">
      <c r="A2664" s="708">
        <f>'Part IX A-Scoring Criteria'!A172</f>
        <v>0</v>
      </c>
    </row>
    <row r="2665" spans="1:18">
      <c r="A2665" s="708">
        <f>'Part IX A-Scoring Criteria'!A173</f>
        <v>0</v>
      </c>
    </row>
    <row r="2667" spans="1:18">
      <c r="A2667" s="708" t="s">
        <v>300</v>
      </c>
      <c r="B2667" s="708" t="s">
        <v>3664</v>
      </c>
      <c r="J2667" s="708" t="s">
        <v>505</v>
      </c>
      <c r="M2667" s="708">
        <v>6</v>
      </c>
      <c r="O2667" s="708">
        <f>MIN($M2667,(O2668+O2672))</f>
        <v>0</v>
      </c>
      <c r="P2667" s="708">
        <f>MIN($M2667,(P2668+P2672))</f>
        <v>0</v>
      </c>
      <c r="Q2667" s="708" t="s">
        <v>652</v>
      </c>
    </row>
    <row r="2668" spans="1:18">
      <c r="B2668" s="708" t="s">
        <v>3060</v>
      </c>
      <c r="C2668" s="708" t="s">
        <v>2842</v>
      </c>
      <c r="L2668" s="708" t="str">
        <f>IF($O2668&lt;=$M2668,"","* * Check Score! * *")</f>
        <v/>
      </c>
      <c r="M2668" s="708">
        <v>3</v>
      </c>
      <c r="N2668" s="708" t="s">
        <v>3060</v>
      </c>
      <c r="O2668" s="708">
        <f>'Part IX A-Scoring Criteria'!O176</f>
        <v>0</v>
      </c>
      <c r="P2668" s="708">
        <f>'Part IX A-Scoring Criteria'!P176</f>
        <v>0</v>
      </c>
    </row>
    <row r="2669" spans="1:18" ht="14.45" customHeight="1">
      <c r="C2669" s="708" t="s">
        <v>190</v>
      </c>
      <c r="O2669" s="708">
        <f>'Part IX A-Scoring Criteria'!O177</f>
        <v>0</v>
      </c>
      <c r="P2669" s="708">
        <f>'Part IX A-Scoring Criteria'!P177</f>
        <v>0</v>
      </c>
    </row>
    <row r="2670" spans="1:18" ht="14.45" customHeight="1">
      <c r="A2670" s="708" t="str">
        <f>IF($I$89="HOPE VI Initiative", "X","")</f>
        <v/>
      </c>
      <c r="B2670" s="708" t="s">
        <v>3064</v>
      </c>
      <c r="C2670" s="708" t="s">
        <v>3612</v>
      </c>
      <c r="M2670" s="708">
        <v>3</v>
      </c>
    </row>
    <row r="2671" spans="1:18" ht="14.45" customHeight="1">
      <c r="A2671" s="708" t="str">
        <f>IF($I$89="HOPE VI Initiative", "X","")</f>
        <v/>
      </c>
      <c r="B2671" s="708" t="s">
        <v>3066</v>
      </c>
      <c r="C2671" s="708" t="s">
        <v>2902</v>
      </c>
      <c r="M2671" s="708">
        <v>1</v>
      </c>
    </row>
    <row r="2672" spans="1:18" ht="14.45" customHeight="1">
      <c r="B2672" s="708" t="s">
        <v>3063</v>
      </c>
      <c r="C2672" s="708" t="s">
        <v>2670</v>
      </c>
      <c r="M2672" s="708">
        <v>6</v>
      </c>
      <c r="N2672" s="708" t="s">
        <v>3063</v>
      </c>
      <c r="O2672" s="708">
        <f>'Part IX A-Scoring Criteria'!O180</f>
        <v>0</v>
      </c>
      <c r="P2672" s="708">
        <f>'Part IX A-Scoring Criteria'!P180</f>
        <v>0</v>
      </c>
      <c r="R2672" s="708" t="str">
        <f>IF(OR($O2672=$M2672,$O2672=0,$O2672=""),"","* * Check Score! * *")</f>
        <v/>
      </c>
    </row>
    <row r="2673" spans="1:18">
      <c r="B2673" s="708" t="s">
        <v>3064</v>
      </c>
      <c r="C2673" s="708" t="s">
        <v>2672</v>
      </c>
      <c r="M2673" s="708">
        <v>6</v>
      </c>
      <c r="N2673" s="708" t="s">
        <v>3064</v>
      </c>
      <c r="O2673" s="708">
        <f>'Part IX A-Scoring Criteria'!O181</f>
        <v>0</v>
      </c>
      <c r="P2673" s="708">
        <f>'Part IX A-Scoring Criteria'!P181</f>
        <v>0</v>
      </c>
    </row>
    <row r="2674" spans="1:18">
      <c r="B2674" s="708" t="s">
        <v>3066</v>
      </c>
      <c r="C2674" s="708" t="s">
        <v>2673</v>
      </c>
      <c r="L2674" s="708" t="str">
        <f>IF(OR($O2674=$M2674,$O2674=0,$O2674=""),"","* * Check Score! * *")</f>
        <v/>
      </c>
      <c r="M2674" s="708">
        <v>2</v>
      </c>
      <c r="N2674" s="708" t="s">
        <v>3066</v>
      </c>
      <c r="O2674" s="708">
        <f>'Part IX A-Scoring Criteria'!O182</f>
        <v>0</v>
      </c>
      <c r="P2674" s="708">
        <f>'Part IX A-Scoring Criteria'!P182</f>
        <v>0</v>
      </c>
    </row>
    <row r="2675" spans="1:18">
      <c r="B2675" s="708" t="s">
        <v>3822</v>
      </c>
      <c r="C2675" s="708" t="s">
        <v>2671</v>
      </c>
      <c r="L2675" s="708" t="str">
        <f>IF(OR($O2675=$M2675,$O2675=0,$O2675=""),"","* * Check Score! * *")</f>
        <v/>
      </c>
      <c r="M2675" s="708">
        <v>2</v>
      </c>
      <c r="N2675" s="708" t="s">
        <v>3822</v>
      </c>
      <c r="O2675" s="708">
        <f>'Part IX A-Scoring Criteria'!O183</f>
        <v>0</v>
      </c>
      <c r="P2675" s="708">
        <f>'Part IX A-Scoring Criteria'!P183</f>
        <v>0</v>
      </c>
    </row>
    <row r="2676" spans="1:18">
      <c r="B2676" s="708" t="s">
        <v>333</v>
      </c>
    </row>
    <row r="2677" spans="1:18">
      <c r="A2677" s="708" t="str">
        <f>'Part IX A-Scoring Criteria'!A185</f>
        <v>This is section is N/A.</v>
      </c>
    </row>
    <row r="2678" spans="1:18">
      <c r="A2678" s="708">
        <f>'Part IX A-Scoring Criteria'!A186</f>
        <v>0</v>
      </c>
    </row>
    <row r="2679" spans="1:18">
      <c r="B2679" s="708" t="s">
        <v>2922</v>
      </c>
    </row>
    <row r="2680" spans="1:18">
      <c r="A2680" s="708">
        <f>'Part IX A-Scoring Criteria'!A188</f>
        <v>0</v>
      </c>
    </row>
    <row r="2681" spans="1:18">
      <c r="A2681" s="708">
        <f>'Part IX A-Scoring Criteria'!A189</f>
        <v>0</v>
      </c>
    </row>
    <row r="2683" spans="1:18">
      <c r="A2683" s="708" t="s">
        <v>301</v>
      </c>
      <c r="B2683" s="708" t="s">
        <v>1037</v>
      </c>
      <c r="J2683" s="708" t="s">
        <v>505</v>
      </c>
      <c r="M2683" s="708">
        <v>3</v>
      </c>
      <c r="O2683" s="708">
        <f>MIN($M2683,O2685+O2684)</f>
        <v>3</v>
      </c>
      <c r="P2683" s="708">
        <f>MIN($M2683,P2685+P2684)</f>
        <v>0</v>
      </c>
      <c r="Q2683" s="708" t="s">
        <v>652</v>
      </c>
    </row>
    <row r="2684" spans="1:18">
      <c r="A2684" s="708" t="s">
        <v>3060</v>
      </c>
      <c r="B2684" s="708" t="s">
        <v>923</v>
      </c>
      <c r="L2684" s="708" t="str">
        <f>IF(OR($O2684=$M2684,$O2684=0,$O2684=""),"","* * Check Score! * *")</f>
        <v/>
      </c>
      <c r="M2684" s="708">
        <v>3</v>
      </c>
      <c r="N2684" s="708" t="s">
        <v>3060</v>
      </c>
      <c r="O2684" s="708">
        <f>'Part IX A-Scoring Criteria'!O192</f>
        <v>3</v>
      </c>
      <c r="P2684" s="708">
        <f>'Part IX A-Scoring Criteria'!P192</f>
        <v>0</v>
      </c>
      <c r="R2684" s="708" t="str">
        <f>IF(OR($O2684=$M2684,$O2684=0,$O2684=""),"","* * Check Score! * *")</f>
        <v/>
      </c>
    </row>
    <row r="2685" spans="1:18">
      <c r="A2685" s="708" t="s">
        <v>3063</v>
      </c>
      <c r="B2685" s="708" t="s">
        <v>2868</v>
      </c>
      <c r="L2685" s="708" t="str">
        <f>IF(OR($O2685=$M2685,$O2685=0,$O2685=""),"","* * Check Score! * *")</f>
        <v/>
      </c>
      <c r="M2685" s="708">
        <v>2</v>
      </c>
      <c r="N2685" s="708" t="s">
        <v>3063</v>
      </c>
      <c r="O2685" s="708">
        <f>'Part IX A-Scoring Criteria'!O193</f>
        <v>0</v>
      </c>
      <c r="P2685" s="708">
        <f>'Part IX A-Scoring Criteria'!P193</f>
        <v>0</v>
      </c>
      <c r="R2685" s="708" t="str">
        <f>IF(OR($O2685=$M2685,$O2685=0,$O2685=""),"","* * Check Score! * *")</f>
        <v/>
      </c>
    </row>
    <row r="2686" spans="1:18">
      <c r="B2686" s="708" t="s">
        <v>333</v>
      </c>
    </row>
    <row r="2687" spans="1:18">
      <c r="A2687" s="708" t="str">
        <f>'Part IX A-Scoring Criteria'!A195</f>
        <v>The GP is comprised of In-Fill Housing, a NP with ownership in over 5 successful LIHTC projects.  As per the 2011 QAP, an experienced NP can only give 3 points to one project.   In-Fill Housing will be allocating their 3 points to this project.</v>
      </c>
    </row>
    <row r="2688" spans="1:18">
      <c r="B2688" s="708" t="s">
        <v>2922</v>
      </c>
    </row>
    <row r="2689" spans="1:18">
      <c r="A2689" s="708">
        <f>'Part IX A-Scoring Criteria'!A197</f>
        <v>0</v>
      </c>
    </row>
    <row r="2691" spans="1:18">
      <c r="A2691" s="708" t="s">
        <v>2113</v>
      </c>
      <c r="B2691" s="708" t="s">
        <v>2674</v>
      </c>
      <c r="J2691" s="708" t="s">
        <v>505</v>
      </c>
      <c r="M2691" s="708">
        <v>2</v>
      </c>
      <c r="O2691" s="708">
        <f>MIN($M2691,O2693+O2692)</f>
        <v>2</v>
      </c>
      <c r="P2691" s="708">
        <f>MIN($M2691,P2693+P2692)</f>
        <v>0</v>
      </c>
      <c r="Q2691" s="708" t="s">
        <v>652</v>
      </c>
    </row>
    <row r="2692" spans="1:18">
      <c r="A2692" s="708" t="s">
        <v>3060</v>
      </c>
      <c r="B2692" s="708" t="s">
        <v>4110</v>
      </c>
      <c r="L2692" s="708" t="str">
        <f>IF(OR($O2692=$M2692,$O2692=0,$O2692=""),"","* * Check Score! * *")</f>
        <v/>
      </c>
      <c r="M2692" s="708">
        <v>2</v>
      </c>
      <c r="N2692" s="708" t="s">
        <v>3060</v>
      </c>
      <c r="O2692" s="708">
        <f>'Part IX A-Scoring Criteria'!O200</f>
        <v>2</v>
      </c>
      <c r="P2692" s="708">
        <f>'Part IX A-Scoring Criteria'!P200</f>
        <v>0</v>
      </c>
      <c r="R2692" s="708" t="str">
        <f>IF(OR($O2692=$M2692,$O2692=0,$O2692=""),"","* * Check Score! * *")</f>
        <v/>
      </c>
    </row>
    <row r="2693" spans="1:18">
      <c r="A2693" s="708" t="s">
        <v>3063</v>
      </c>
      <c r="B2693" s="708" t="s">
        <v>4111</v>
      </c>
      <c r="M2693" s="708">
        <v>1</v>
      </c>
      <c r="N2693" s="708" t="s">
        <v>3063</v>
      </c>
      <c r="O2693" s="708">
        <f>'Part IX A-Scoring Criteria'!O201</f>
        <v>0</v>
      </c>
      <c r="P2693" s="708">
        <f>'Part IX A-Scoring Criteria'!P201</f>
        <v>0</v>
      </c>
      <c r="R2693" s="708" t="str">
        <f>IF(OR($O2693=$M2693,$O2693=0,$O2693=""),"","* * Check Score! * *")</f>
        <v/>
      </c>
    </row>
    <row r="2694" spans="1:18">
      <c r="B2694" s="708" t="s">
        <v>333</v>
      </c>
    </row>
    <row r="2695" spans="1:18">
      <c r="A2695" s="708" t="str">
        <f>'Part IX A-Scoring Criteria'!A203</f>
        <v>In-Fill Housing, Inc. has closed on Bartlett Crossing (2009-041) on November 11, 2010, and on Felton Homes (2010-502) on September 21, 2010.  This constitutes 2 LIHTC projects, neither of which were 100% exchange funds, both awarded since 2008 and closed before the application due date.</v>
      </c>
    </row>
    <row r="2696" spans="1:18">
      <c r="B2696" s="708" t="s">
        <v>2922</v>
      </c>
    </row>
    <row r="2697" spans="1:18">
      <c r="A2697" s="708">
        <f>'Part IX A-Scoring Criteria'!A205</f>
        <v>0</v>
      </c>
    </row>
    <row r="2699" spans="1:18">
      <c r="A2699" s="708" t="s">
        <v>2677</v>
      </c>
      <c r="B2699" s="708" t="s">
        <v>1038</v>
      </c>
      <c r="J2699" s="708" t="s">
        <v>3642</v>
      </c>
      <c r="L2699" s="708" t="str">
        <f>IF(OR($O2699=$M2699,$O2699=0,$O2699=2,$O2699=""),"","* * Check Score! * *")</f>
        <v/>
      </c>
      <c r="M2699" s="708">
        <v>3</v>
      </c>
      <c r="O2699" s="708">
        <f>IF(OR(AND(J2701=2,M2701=3),AND(J2701=0,M2701=3)),3,IF(AND(J2701=3,M2701=2),2,0))</f>
        <v>3</v>
      </c>
      <c r="P2699" s="708">
        <f>'Part IX A-Scoring Criteria'!P207</f>
        <v>0</v>
      </c>
      <c r="Q2699" s="708" t="s">
        <v>652</v>
      </c>
    </row>
    <row r="2700" spans="1:18" ht="13.15" customHeight="1">
      <c r="B2700" s="708" t="s">
        <v>1572</v>
      </c>
    </row>
    <row r="2701" spans="1:18">
      <c r="C2701" s="708" t="s">
        <v>952</v>
      </c>
      <c r="D2701" s="708" t="str">
        <f>'Part IX A-Scoring Criteria'!D209</f>
        <v>NONE</v>
      </c>
      <c r="I2701" s="708" t="s">
        <v>1573</v>
      </c>
      <c r="J2701" s="708">
        <f>'Part IX A-Scoring Criteria'!J209</f>
        <v>0</v>
      </c>
      <c r="L2701" s="708" t="s">
        <v>4112</v>
      </c>
      <c r="M2701" s="708">
        <f>'Part IX A-Scoring Criteria'!M209</f>
        <v>3</v>
      </c>
    </row>
    <row r="2702" spans="1:18">
      <c r="B2702" s="708" t="s">
        <v>333</v>
      </c>
      <c r="J2702" s="708" t="s">
        <v>2922</v>
      </c>
    </row>
    <row r="2703" spans="1:18">
      <c r="A2703" s="708" t="str">
        <f>'Part IX A-Scoring Criteria'!A211</f>
        <v>The applicant has no other Rural projects being submitted in this round.  This site is confirmed to be Rural per the USDA website.  Please see Tab 1.</v>
      </c>
      <c r="J2703" s="708">
        <f>'Part IX A-Scoring Criteria'!J211</f>
        <v>0</v>
      </c>
    </row>
    <row r="2705" spans="1:17">
      <c r="A2705" s="708" t="s">
        <v>2679</v>
      </c>
      <c r="B2705" s="708" t="s">
        <v>2678</v>
      </c>
      <c r="L2705" s="708" t="str">
        <f>IF(OR($O2705=$M2705,$O2705=0,$O2705=""),"","* * Check Score! * *")</f>
        <v/>
      </c>
      <c r="M2705" s="708">
        <v>1</v>
      </c>
      <c r="O2705" s="708">
        <f>'Part IX A-Scoring Criteria'!O213</f>
        <v>0</v>
      </c>
      <c r="P2705" s="708">
        <f>'Part IX A-Scoring Criteria'!P213</f>
        <v>0</v>
      </c>
      <c r="Q2705" s="708" t="s">
        <v>652</v>
      </c>
    </row>
    <row r="2706" spans="1:17">
      <c r="B2706" s="708" t="s">
        <v>2893</v>
      </c>
      <c r="E2706" s="708" t="str">
        <f>'Part IX A-Scoring Criteria'!E214</f>
        <v>&lt;&lt;Select a DCA Community Initiative&gt;&gt;</v>
      </c>
      <c r="I2706" s="708" t="s">
        <v>2892</v>
      </c>
      <c r="O2706" s="708" t="s">
        <v>3794</v>
      </c>
      <c r="P2706" s="708" t="s">
        <v>3794</v>
      </c>
    </row>
    <row r="2707" spans="1:17">
      <c r="B2707" s="708" t="s">
        <v>3681</v>
      </c>
      <c r="C2707" s="708" t="s">
        <v>2680</v>
      </c>
      <c r="G2707" s="708" t="str">
        <f>'Part IX A-Scoring Criteria'!G215</f>
        <v>&lt; Select applicable GICH &gt;</v>
      </c>
      <c r="J2707" s="708" t="str">
        <f>'Part IX A-Scoring Criteria'!J215</f>
        <v>&lt;Select Community of Opportunity&gt;</v>
      </c>
      <c r="N2707" s="708" t="s">
        <v>3681</v>
      </c>
      <c r="O2707" s="708">
        <f>'Part IX A-Scoring Criteria'!O215</f>
        <v>0</v>
      </c>
      <c r="P2707" s="708">
        <f>'Part IX A-Scoring Criteria'!P215</f>
        <v>0</v>
      </c>
    </row>
    <row r="2708" spans="1:17">
      <c r="B2708" s="708" t="s">
        <v>3682</v>
      </c>
      <c r="C2708" s="708" t="s">
        <v>506</v>
      </c>
      <c r="N2708" s="708" t="s">
        <v>3682</v>
      </c>
      <c r="O2708" s="708">
        <f>'Part IX A-Scoring Criteria'!O216</f>
        <v>0</v>
      </c>
      <c r="P2708" s="708">
        <f>'Part IX A-Scoring Criteria'!P216</f>
        <v>0</v>
      </c>
    </row>
    <row r="2709" spans="1:17">
      <c r="B2709" s="708" t="s">
        <v>3683</v>
      </c>
      <c r="C2709" s="708" t="s">
        <v>2625</v>
      </c>
      <c r="N2709" s="708" t="s">
        <v>3683</v>
      </c>
      <c r="O2709" s="708">
        <f>'Part IX A-Scoring Criteria'!O217</f>
        <v>0</v>
      </c>
      <c r="P2709" s="708">
        <f>'Part IX A-Scoring Criteria'!P217</f>
        <v>0</v>
      </c>
    </row>
    <row r="2710" spans="1:17">
      <c r="B2710" s="708" t="s">
        <v>3684</v>
      </c>
      <c r="C2710" s="708" t="s">
        <v>3491</v>
      </c>
      <c r="N2710" s="708" t="s">
        <v>3684</v>
      </c>
      <c r="O2710" s="708">
        <f>'Part IX A-Scoring Criteria'!O218</f>
        <v>0</v>
      </c>
      <c r="P2710" s="708">
        <f>'Part IX A-Scoring Criteria'!P218</f>
        <v>0</v>
      </c>
    </row>
    <row r="2712" spans="1:17">
      <c r="B2712" s="708" t="s">
        <v>333</v>
      </c>
    </row>
    <row r="2713" spans="1:17">
      <c r="A2713" s="708" t="str">
        <f>'Part IX A-Scoring Criteria'!A221</f>
        <v>Forsyth is a Signature Community, but DCA removed that as a valuable DCA Community Initiative this year.  We have not included the Signature Community points in this year's application.</v>
      </c>
    </row>
    <row r="2714" spans="1:17">
      <c r="A2714" s="708">
        <f>'Part IX A-Scoring Criteria'!A222</f>
        <v>0</v>
      </c>
    </row>
    <row r="2715" spans="1:17">
      <c r="B2715" s="708" t="s">
        <v>2922</v>
      </c>
    </row>
    <row r="2716" spans="1:17">
      <c r="A2716" s="708">
        <f>'Part IX A-Scoring Criteria'!A224</f>
        <v>0</v>
      </c>
    </row>
    <row r="2717" spans="1:17">
      <c r="A2717" s="708">
        <f>'Part IX A-Scoring Criteria'!A225</f>
        <v>0</v>
      </c>
    </row>
    <row r="2719" spans="1:17">
      <c r="A2719" s="708" t="s">
        <v>2681</v>
      </c>
      <c r="B2719" s="708" t="s">
        <v>2894</v>
      </c>
      <c r="L2719" s="708" t="str">
        <f>IF(M2719&gt;14,"Over limit!","")</f>
        <v/>
      </c>
      <c r="M2719" s="708">
        <v>8</v>
      </c>
      <c r="O2719" s="708">
        <f>MIN($M2719,(O2727+O2737+O2739))</f>
        <v>3</v>
      </c>
      <c r="P2719" s="708">
        <f>MIN($M2719,(P2727+P2737+P2739))</f>
        <v>0</v>
      </c>
      <c r="Q2719" s="708" t="s">
        <v>652</v>
      </c>
    </row>
    <row r="2720" spans="1:17">
      <c r="B2720" s="708" t="s">
        <v>869</v>
      </c>
      <c r="L2720" s="708" t="str">
        <f>IF(M2720&gt;14,"Over limit!","")</f>
        <v/>
      </c>
      <c r="O2720" s="708" t="s">
        <v>3794</v>
      </c>
      <c r="P2720" s="708" t="s">
        <v>3794</v>
      </c>
    </row>
    <row r="2721" spans="1:18">
      <c r="B2721" s="708" t="s">
        <v>3064</v>
      </c>
      <c r="C2721" s="708" t="s">
        <v>870</v>
      </c>
      <c r="L2721" s="708" t="str">
        <f>IF(M2721&gt;14,"Over limit!","")</f>
        <v/>
      </c>
      <c r="N2721" s="708" t="s">
        <v>3064</v>
      </c>
      <c r="O2721" s="708">
        <f>'Part IX A-Scoring Criteria'!O229</f>
        <v>0</v>
      </c>
      <c r="P2721" s="708">
        <f>'Part IX A-Scoring Criteria'!P229</f>
        <v>0</v>
      </c>
    </row>
    <row r="2722" spans="1:18">
      <c r="B2722" s="708" t="s">
        <v>3066</v>
      </c>
      <c r="C2722" s="708" t="s">
        <v>871</v>
      </c>
      <c r="N2722" s="708" t="s">
        <v>3066</v>
      </c>
      <c r="O2722" s="708">
        <f>'Part IX A-Scoring Criteria'!O230</f>
        <v>0</v>
      </c>
      <c r="P2722" s="708">
        <f>'Part IX A-Scoring Criteria'!P230</f>
        <v>0</v>
      </c>
    </row>
    <row r="2723" spans="1:18">
      <c r="B2723" s="708" t="s">
        <v>3822</v>
      </c>
      <c r="C2723" s="708" t="s">
        <v>872</v>
      </c>
      <c r="N2723" s="708" t="s">
        <v>3822</v>
      </c>
      <c r="O2723" s="708">
        <f>'Part IX A-Scoring Criteria'!O231</f>
        <v>0</v>
      </c>
      <c r="P2723" s="708">
        <f>'Part IX A-Scoring Criteria'!P231</f>
        <v>0</v>
      </c>
    </row>
    <row r="2724" spans="1:18">
      <c r="B2724" s="708" t="s">
        <v>1886</v>
      </c>
      <c r="C2724" s="708" t="s">
        <v>873</v>
      </c>
      <c r="N2724" s="708" t="s">
        <v>1886</v>
      </c>
      <c r="O2724" s="708">
        <f>'Part IX A-Scoring Criteria'!O232</f>
        <v>0</v>
      </c>
      <c r="P2724" s="708">
        <f>'Part IX A-Scoring Criteria'!P232</f>
        <v>0</v>
      </c>
    </row>
    <row r="2725" spans="1:18">
      <c r="B2725" s="708" t="s">
        <v>1887</v>
      </c>
      <c r="C2725" s="708" t="s">
        <v>885</v>
      </c>
      <c r="N2725" s="708" t="s">
        <v>1887</v>
      </c>
      <c r="O2725" s="708">
        <f>'Part IX A-Scoring Criteria'!O233</f>
        <v>0</v>
      </c>
      <c r="P2725" s="708">
        <f>'Part IX A-Scoring Criteria'!P233</f>
        <v>0</v>
      </c>
    </row>
    <row r="2726" spans="1:18">
      <c r="L2726" s="708" t="str">
        <f>IF(M2726&gt;14,"Over limit!","")</f>
        <v/>
      </c>
    </row>
    <row r="2727" spans="1:18">
      <c r="A2727" s="708" t="s">
        <v>3060</v>
      </c>
      <c r="B2727" s="708" t="s">
        <v>2895</v>
      </c>
      <c r="M2727" s="708">
        <v>3</v>
      </c>
      <c r="N2727" s="708" t="s">
        <v>3060</v>
      </c>
      <c r="O2727" s="708">
        <f>MIN($M2727,SUM(O2728:O2735))</f>
        <v>0</v>
      </c>
      <c r="P2727" s="708">
        <f>MIN($M2727,SUM(P2728:P2735))</f>
        <v>0</v>
      </c>
    </row>
    <row r="2728" spans="1:18">
      <c r="B2728" s="708" t="s">
        <v>3064</v>
      </c>
      <c r="C2728" s="708" t="s">
        <v>2217</v>
      </c>
      <c r="H2728" s="708" t="s">
        <v>2218</v>
      </c>
      <c r="L2728" s="708" t="str">
        <f t="shared" ref="L2728:L2735" si="375">IF(OR($O2728=$M2728,$O2728=0,$O2728=""),"","* * Check Score! * *")</f>
        <v/>
      </c>
      <c r="M2728" s="708">
        <v>1</v>
      </c>
      <c r="N2728" s="708" t="s">
        <v>3064</v>
      </c>
      <c r="O2728" s="708">
        <f>'Part IX A-Scoring Criteria'!O236</f>
        <v>0</v>
      </c>
      <c r="P2728" s="708">
        <f>'Part IX A-Scoring Criteria'!P236</f>
        <v>0</v>
      </c>
      <c r="R2728" s="708" t="str">
        <f>IF(OR($O2728=$M2728,$O2728=0,$O2728=""),"","* * Check Score! * *")</f>
        <v/>
      </c>
    </row>
    <row r="2729" spans="1:18">
      <c r="B2729" s="708" t="s">
        <v>3066</v>
      </c>
      <c r="C2729" s="708" t="s">
        <v>2221</v>
      </c>
      <c r="H2729" s="708" t="s">
        <v>2218</v>
      </c>
      <c r="L2729" s="708" t="str">
        <f t="shared" si="375"/>
        <v/>
      </c>
      <c r="M2729" s="708">
        <v>1</v>
      </c>
      <c r="N2729" s="708" t="s">
        <v>3066</v>
      </c>
      <c r="O2729" s="708">
        <f>'Part IX A-Scoring Criteria'!O237</f>
        <v>0</v>
      </c>
      <c r="P2729" s="708">
        <f>'Part IX A-Scoring Criteria'!P237</f>
        <v>0</v>
      </c>
      <c r="R2729" s="708" t="str">
        <f t="shared" ref="R2729:R2735" si="376">IF(OR($O2729=$M2729,$O2729=0,$O2729=""),"","* * Check Score! * *")</f>
        <v/>
      </c>
    </row>
    <row r="2730" spans="1:18">
      <c r="B2730" s="708" t="s">
        <v>3822</v>
      </c>
      <c r="C2730" s="708" t="s">
        <v>2225</v>
      </c>
      <c r="H2730" s="708" t="s">
        <v>2218</v>
      </c>
      <c r="L2730" s="708" t="str">
        <f>IF(OR($O2730=$M2730,$O2730=0,$O2730=""),"","* * Check Score! * *")</f>
        <v/>
      </c>
      <c r="M2730" s="708">
        <v>1</v>
      </c>
      <c r="N2730" s="708" t="s">
        <v>3822</v>
      </c>
      <c r="O2730" s="708">
        <f>'Part IX A-Scoring Criteria'!O238</f>
        <v>0</v>
      </c>
      <c r="P2730" s="708">
        <f>'Part IX A-Scoring Criteria'!P238</f>
        <v>0</v>
      </c>
      <c r="R2730" s="708" t="str">
        <f>IF(OR($O2730=$M2730,$O2730=0,$O2730=""),"","* * Check Score! * *")</f>
        <v/>
      </c>
    </row>
    <row r="2731" spans="1:18">
      <c r="B2731" s="708" t="s">
        <v>1886</v>
      </c>
      <c r="C2731" s="708" t="s">
        <v>874</v>
      </c>
      <c r="L2731" s="708" t="str">
        <f t="shared" si="375"/>
        <v/>
      </c>
      <c r="M2731" s="708">
        <v>1</v>
      </c>
      <c r="N2731" s="708" t="s">
        <v>1886</v>
      </c>
      <c r="O2731" s="708">
        <f>'Part IX A-Scoring Criteria'!O239</f>
        <v>0</v>
      </c>
      <c r="P2731" s="708">
        <f>'Part IX A-Scoring Criteria'!P239</f>
        <v>0</v>
      </c>
      <c r="R2731" s="708" t="str">
        <f t="shared" si="376"/>
        <v/>
      </c>
    </row>
    <row r="2732" spans="1:18">
      <c r="B2732" s="708" t="s">
        <v>1887</v>
      </c>
      <c r="C2732" s="708" t="s">
        <v>2222</v>
      </c>
      <c r="H2732" s="708" t="s">
        <v>2219</v>
      </c>
      <c r="L2732" s="708" t="str">
        <f t="shared" si="375"/>
        <v/>
      </c>
      <c r="M2732" s="708">
        <v>2</v>
      </c>
      <c r="N2732" s="708" t="s">
        <v>1887</v>
      </c>
      <c r="O2732" s="708">
        <f>'Part IX A-Scoring Criteria'!O240</f>
        <v>0</v>
      </c>
      <c r="P2732" s="708">
        <f>'Part IX A-Scoring Criteria'!P240</f>
        <v>0</v>
      </c>
      <c r="R2732" s="708" t="str">
        <f t="shared" si="376"/>
        <v/>
      </c>
    </row>
    <row r="2733" spans="1:18">
      <c r="B2733" s="708" t="s">
        <v>2943</v>
      </c>
      <c r="C2733" s="708" t="s">
        <v>2223</v>
      </c>
      <c r="H2733" s="708" t="s">
        <v>2219</v>
      </c>
      <c r="L2733" s="708" t="str">
        <f t="shared" si="375"/>
        <v/>
      </c>
      <c r="M2733" s="708">
        <v>2</v>
      </c>
      <c r="N2733" s="708" t="s">
        <v>2943</v>
      </c>
      <c r="O2733" s="708">
        <f>'Part IX A-Scoring Criteria'!O241</f>
        <v>0</v>
      </c>
      <c r="P2733" s="708">
        <f>'Part IX A-Scoring Criteria'!P241</f>
        <v>0</v>
      </c>
      <c r="R2733" s="708" t="str">
        <f t="shared" si="376"/>
        <v/>
      </c>
    </row>
    <row r="2734" spans="1:18">
      <c r="B2734" s="708" t="s">
        <v>744</v>
      </c>
      <c r="C2734" s="708" t="s">
        <v>2224</v>
      </c>
      <c r="H2734" s="708" t="s">
        <v>2219</v>
      </c>
      <c r="L2734" s="708" t="str">
        <f t="shared" si="375"/>
        <v/>
      </c>
      <c r="M2734" s="708">
        <v>2</v>
      </c>
      <c r="N2734" s="708" t="s">
        <v>744</v>
      </c>
      <c r="O2734" s="708">
        <f>'Part IX A-Scoring Criteria'!O242</f>
        <v>0</v>
      </c>
      <c r="P2734" s="708">
        <f>'Part IX A-Scoring Criteria'!P242</f>
        <v>0</v>
      </c>
      <c r="R2734" s="708" t="str">
        <f t="shared" si="376"/>
        <v/>
      </c>
    </row>
    <row r="2735" spans="1:18">
      <c r="B2735" s="708" t="s">
        <v>745</v>
      </c>
      <c r="C2735" s="708" t="s">
        <v>2226</v>
      </c>
      <c r="H2735" s="708" t="s">
        <v>2220</v>
      </c>
      <c r="L2735" s="708" t="str">
        <f t="shared" si="375"/>
        <v/>
      </c>
      <c r="M2735" s="708">
        <v>3</v>
      </c>
      <c r="N2735" s="708" t="s">
        <v>745</v>
      </c>
      <c r="O2735" s="708">
        <f>'Part IX A-Scoring Criteria'!O243</f>
        <v>0</v>
      </c>
      <c r="P2735" s="708">
        <f>'Part IX A-Scoring Criteria'!P243</f>
        <v>0</v>
      </c>
      <c r="R2735" s="708" t="str">
        <f t="shared" si="376"/>
        <v/>
      </c>
    </row>
    <row r="2737" spans="1:18">
      <c r="A2737" s="708" t="s">
        <v>3063</v>
      </c>
      <c r="B2737" s="708" t="s">
        <v>2896</v>
      </c>
      <c r="H2737" s="708" t="s">
        <v>2897</v>
      </c>
      <c r="M2737" s="708">
        <v>3</v>
      </c>
      <c r="N2737" s="708" t="s">
        <v>3063</v>
      </c>
      <c r="O2737" s="708">
        <f>'Part IX A-Scoring Criteria'!O245</f>
        <v>3</v>
      </c>
      <c r="P2737" s="708">
        <f>'Part IX A-Scoring Criteria'!P245</f>
        <v>0</v>
      </c>
    </row>
    <row r="2739" spans="1:18">
      <c r="A2739" s="708" t="s">
        <v>1239</v>
      </c>
      <c r="B2739" s="708" t="s">
        <v>983</v>
      </c>
      <c r="L2739" s="708" t="str">
        <f>IF(OR($O2739=$M2739,$O2739=0,$O2739=""),"","* * Check Score! * *")</f>
        <v/>
      </c>
      <c r="M2739" s="708">
        <v>2</v>
      </c>
      <c r="N2739" s="708" t="s">
        <v>1239</v>
      </c>
      <c r="O2739" s="708">
        <f>'Part IX A-Scoring Criteria'!O247</f>
        <v>0</v>
      </c>
      <c r="P2739" s="708">
        <f>'Part IX A-Scoring Criteria'!P247</f>
        <v>0</v>
      </c>
      <c r="R2739" s="708" t="str">
        <f>IF(OR($O2739=$M2739,$O2739=0,$O2739=""),"","* * Check Score! * *")</f>
        <v/>
      </c>
    </row>
    <row r="2740" spans="1:18">
      <c r="B2740" s="708" t="s">
        <v>3064</v>
      </c>
      <c r="C2740" s="708" t="s">
        <v>984</v>
      </c>
      <c r="E2740" s="708">
        <f>'Part IX A-Scoring Criteria'!E248</f>
        <v>0</v>
      </c>
    </row>
    <row r="2741" spans="1:18">
      <c r="B2741" s="708" t="s">
        <v>3066</v>
      </c>
      <c r="C2741" s="708" t="s">
        <v>3561</v>
      </c>
      <c r="E2741" s="708">
        <f>'Part IX A-Scoring Criteria'!E249</f>
        <v>0</v>
      </c>
    </row>
    <row r="2742" spans="1:18">
      <c r="B2742" s="708" t="s">
        <v>3822</v>
      </c>
      <c r="C2742" s="708" t="s">
        <v>985</v>
      </c>
      <c r="E2742" s="708">
        <f>'Part IX A-Scoring Criteria'!E250</f>
        <v>0</v>
      </c>
    </row>
    <row r="2744" spans="1:18">
      <c r="B2744" s="708" t="s">
        <v>333</v>
      </c>
    </row>
    <row r="2745" spans="1:18">
      <c r="A2745" s="708" t="str">
        <f>'Part IX A-Scoring Criteria'!A253</f>
        <v>This project has received a DCA HOME Consent. Please see Tab 5.</v>
      </c>
    </row>
    <row r="2746" spans="1:18">
      <c r="A2746" s="708">
        <f>'Part IX A-Scoring Criteria'!A254</f>
        <v>0</v>
      </c>
    </row>
    <row r="2747" spans="1:18">
      <c r="B2747" s="708" t="s">
        <v>2922</v>
      </c>
    </row>
    <row r="2748" spans="1:18">
      <c r="A2748" s="708">
        <f>'Part IX A-Scoring Criteria'!A256</f>
        <v>0</v>
      </c>
    </row>
    <row r="2749" spans="1:18">
      <c r="A2749" s="708">
        <f>'Part IX A-Scoring Criteria'!A257</f>
        <v>0</v>
      </c>
    </row>
    <row r="2751" spans="1:18">
      <c r="A2751" s="708" t="s">
        <v>2682</v>
      </c>
      <c r="B2751" s="708" t="s">
        <v>2683</v>
      </c>
      <c r="L2751" s="708" t="str">
        <f>IF(OR($O2751=$M2751,$O2751=0,$O2751=""),"","* * Check Score! * *")</f>
        <v/>
      </c>
      <c r="M2751" s="708">
        <v>6</v>
      </c>
      <c r="P2751" s="708">
        <f>'Part IX A-Scoring Criteria'!P259</f>
        <v>0</v>
      </c>
      <c r="Q2751" s="708" t="s">
        <v>652</v>
      </c>
      <c r="R2751" s="708" t="str">
        <f>IF(OR($O2751=$M2751,$O2751=0,$O2751=""),"","* * Check Score! * *")</f>
        <v/>
      </c>
    </row>
    <row r="2752" spans="1:18">
      <c r="B2752" s="708" t="s">
        <v>3517</v>
      </c>
      <c r="O2752" s="708" t="str">
        <f>'Part IX A-Scoring Criteria'!O260</f>
        <v>Yes</v>
      </c>
      <c r="P2752" s="708">
        <f>'Part IX A-Scoring Criteria'!P260</f>
        <v>0</v>
      </c>
    </row>
    <row r="2753" spans="1:18" ht="14.45" customHeight="1">
      <c r="B2753" s="708" t="s">
        <v>3518</v>
      </c>
      <c r="O2753" s="708" t="str">
        <f>'Part IX A-Scoring Criteria'!O261</f>
        <v>Yes</v>
      </c>
      <c r="P2753" s="708">
        <f>'Part IX A-Scoring Criteria'!P261</f>
        <v>0</v>
      </c>
    </row>
    <row r="2754" spans="1:18">
      <c r="B2754" s="708" t="s">
        <v>333</v>
      </c>
    </row>
    <row r="2755" spans="1:18">
      <c r="A2755" s="708" t="str">
        <f>'Part IX A-Scoring Criteria'!A263</f>
        <v>Please also see the Superior Concept narrative for our justification that Brentwood Place Apartments qualifies for these points.</v>
      </c>
    </row>
    <row r="2756" spans="1:18">
      <c r="A2756" s="708">
        <f>'Part IX A-Scoring Criteria'!A264</f>
        <v>0</v>
      </c>
    </row>
    <row r="2757" spans="1:18">
      <c r="B2757" s="708" t="s">
        <v>2922</v>
      </c>
    </row>
    <row r="2758" spans="1:18">
      <c r="A2758" s="708">
        <f>'Part IX A-Scoring Criteria'!A266</f>
        <v>0</v>
      </c>
    </row>
    <row r="2759" spans="1:18">
      <c r="A2759" s="708">
        <f>'Part IX A-Scoring Criteria'!A267</f>
        <v>0</v>
      </c>
    </row>
    <row r="2760" spans="1:18">
      <c r="A2760" s="708">
        <f>'Part IX A-Scoring Criteria'!A268</f>
        <v>0</v>
      </c>
    </row>
    <row r="2762" spans="1:18">
      <c r="A2762" s="708" t="s">
        <v>2684</v>
      </c>
      <c r="B2762" s="708" t="s">
        <v>2686</v>
      </c>
      <c r="M2762" s="708">
        <v>6</v>
      </c>
      <c r="O2762" s="708">
        <f>MIN($M2762,O2764+O2763)</f>
        <v>6</v>
      </c>
      <c r="P2762" s="708">
        <f>MIN($M2762,P2764+P2763)</f>
        <v>0</v>
      </c>
      <c r="Q2762" s="708" t="s">
        <v>652</v>
      </c>
    </row>
    <row r="2763" spans="1:18">
      <c r="A2763" s="708" t="s">
        <v>3060</v>
      </c>
      <c r="B2763" s="708" t="s">
        <v>2688</v>
      </c>
      <c r="L2763" s="708" t="str">
        <f>IF(OR($O2763=$M2763,$O2763=0,$O2763=""),"","* * Check Score! * *")</f>
        <v/>
      </c>
      <c r="M2763" s="708">
        <v>3</v>
      </c>
      <c r="N2763" s="708" t="s">
        <v>3060</v>
      </c>
      <c r="O2763" s="708">
        <f>'Part IX A-Scoring Criteria'!O271</f>
        <v>3</v>
      </c>
      <c r="P2763" s="708">
        <f>'Part IX A-Scoring Criteria'!P271</f>
        <v>0</v>
      </c>
      <c r="R2763" s="708" t="str">
        <f>IF(OR($O2763=$M2763,$O2763=0,$O2763=""),"","* * Check Score! * *")</f>
        <v/>
      </c>
    </row>
    <row r="2764" spans="1:18">
      <c r="A2764" s="708" t="s">
        <v>3063</v>
      </c>
      <c r="B2764" s="708" t="s">
        <v>2689</v>
      </c>
      <c r="M2764" s="708">
        <v>3</v>
      </c>
      <c r="N2764" s="708" t="s">
        <v>3063</v>
      </c>
      <c r="O2764" s="708">
        <f>'Part IX A-Scoring Criteria'!O272</f>
        <v>3</v>
      </c>
      <c r="P2764" s="708">
        <f>'Part IX A-Scoring Criteria'!P272</f>
        <v>0</v>
      </c>
      <c r="R2764" s="708" t="str">
        <f>IF(OR($O2764=$M2764,$O2764=0,$O2764=""),"","* * Check Score! * *")</f>
        <v/>
      </c>
    </row>
    <row r="2765" spans="1:18" ht="14.45" customHeight="1">
      <c r="B2765" s="708" t="s">
        <v>3519</v>
      </c>
      <c r="O2765" s="708" t="str">
        <f>'Part IX A-Scoring Criteria'!O273</f>
        <v>Agree</v>
      </c>
      <c r="P2765" s="708">
        <f>'Part IX A-Scoring Criteria'!P273</f>
        <v>0</v>
      </c>
    </row>
    <row r="2766" spans="1:18">
      <c r="B2766" s="708" t="s">
        <v>333</v>
      </c>
    </row>
    <row r="2767" spans="1:18">
      <c r="A2767" s="708" t="str">
        <f>'Part IX A-Scoring Criteria'!A275</f>
        <v>In-Fill Housing has complied with the requirement to have all of their properties compliant with the MITAS system requirements by February 1, 2011.   This was validated through examination of the email sent from Brandon Bruce of DCA on March 30, 2011, which listed all of the properties NOT in compliance for MITAS registration.  None of In-Fill's properties were on that list, therefore we are assured that In-Fill properly complied with MITAS. The applicant agrees to market to tenants with special needs.</v>
      </c>
    </row>
    <row r="2768" spans="1:18">
      <c r="B2768" s="708" t="s">
        <v>2922</v>
      </c>
    </row>
    <row r="2769" spans="1:17">
      <c r="A2769" s="708">
        <f>'Part IX A-Scoring Criteria'!A277</f>
        <v>0</v>
      </c>
    </row>
    <row r="2771" spans="1:17">
      <c r="A2771" s="708" t="s">
        <v>2685</v>
      </c>
      <c r="B2771" s="708" t="s">
        <v>2687</v>
      </c>
      <c r="L2771" s="708" t="str">
        <f>IF(OR($O2771=$M2771,$O2771&lt;=0,$O2771=""),"","* * Check Score! * *")</f>
        <v/>
      </c>
      <c r="M2771" s="708">
        <v>10</v>
      </c>
      <c r="O2771" s="708">
        <f>O2775</f>
        <v>10</v>
      </c>
      <c r="P2771" s="708">
        <f>P2775</f>
        <v>0</v>
      </c>
      <c r="Q2771" s="708" t="s">
        <v>652</v>
      </c>
    </row>
    <row r="2773" spans="1:17">
      <c r="B2773" s="708" t="s">
        <v>3836</v>
      </c>
      <c r="O2773" s="708" t="str">
        <f>'Part IX A-Scoring Criteria'!O281</f>
        <v>Yes</v>
      </c>
      <c r="P2773" s="708">
        <f>'Part IX A-Scoring Criteria'!P281</f>
        <v>0</v>
      </c>
    </row>
    <row r="2775" spans="1:17">
      <c r="B2775" s="708" t="s">
        <v>3060</v>
      </c>
      <c r="C2775" s="708" t="s">
        <v>2161</v>
      </c>
      <c r="N2775" s="708" t="s">
        <v>3060</v>
      </c>
      <c r="O2775" s="708">
        <f>'Part IX A-Scoring Criteria'!O283</f>
        <v>10</v>
      </c>
      <c r="P2775" s="708">
        <f>'Part IX A-Scoring Criteria'!P283</f>
        <v>0</v>
      </c>
    </row>
    <row r="2777" spans="1:17">
      <c r="B2777" s="708" t="s">
        <v>3063</v>
      </c>
      <c r="C2777" s="708" t="s">
        <v>347</v>
      </c>
      <c r="N2777" s="708" t="s">
        <v>3063</v>
      </c>
      <c r="O2777" s="708" t="str">
        <f>'Part IX A-Scoring Criteria'!O285</f>
        <v>Pass</v>
      </c>
      <c r="P2777" s="708">
        <f>'Part IX A-Scoring Criteria'!P285</f>
        <v>0</v>
      </c>
    </row>
    <row r="2779" spans="1:17">
      <c r="B2779" s="708" t="s">
        <v>333</v>
      </c>
    </row>
    <row r="2780" spans="1:17" ht="15.6" customHeight="1">
      <c r="A2780" s="708" t="str">
        <f>'Part IX A-Scoring Criteria'!A288</f>
        <v>Please see Tab 38 for the Compliance History Summary for each project.  Please see Tab 19 where DCA has included Brentwood Place Apartments as a "qualified without conditions" project.</v>
      </c>
      <c r="Q2780" s="708" t="s">
        <v>1933</v>
      </c>
    </row>
    <row r="2781" spans="1:17">
      <c r="A2781" s="708">
        <f>'Part IX A-Scoring Criteria'!A289</f>
        <v>0</v>
      </c>
    </row>
    <row r="2782" spans="1:17">
      <c r="B2782" s="708" t="s">
        <v>2922</v>
      </c>
    </row>
    <row r="2783" spans="1:17" ht="15.6" customHeight="1">
      <c r="A2783" s="708">
        <f>'Part IX A-Scoring Criteria'!A291</f>
        <v>0</v>
      </c>
      <c r="Q2783" s="708" t="s">
        <v>1933</v>
      </c>
    </row>
    <row r="2784" spans="1:17">
      <c r="A2784" s="708">
        <f>'Part IX A-Scoring Criteria'!A292</f>
        <v>0</v>
      </c>
    </row>
    <row r="2786" spans="1:16">
      <c r="H2786" s="708" t="s">
        <v>543</v>
      </c>
      <c r="M2786" s="708">
        <f>M2498</f>
        <v>108</v>
      </c>
      <c r="O2786" s="708">
        <f>O2500+O2523+O2530+O2547+O2556+O2566+O2574+O2585+O2624+O2638+O2658+O2667+O2683+O2691+O2699+O2705+O2719+O2762+O2771</f>
        <v>62</v>
      </c>
      <c r="P2786" s="708">
        <f>P2500+P2523+P2530+P2547+P2556+P2566+P2574+P2585+P2624+P2638+P2658+P2667+P2683+P2691+P2699+P2705+P2719+P2751+P2762+P2771</f>
        <v>13</v>
      </c>
    </row>
    <row r="2791" spans="1:16">
      <c r="A2791" s="708" t="s">
        <v>804</v>
      </c>
    </row>
    <row r="2792" spans="1:16">
      <c r="A2792" s="708">
        <f>'Part I-Project Information'!F2801</f>
        <v>0</v>
      </c>
    </row>
    <row r="2793" spans="1:16">
      <c r="A2793" s="708" t="str">
        <f>CONCATENATE('Part I-Project Information'!F2803,", ", 'Part I-Project Information'!J2804," County")</f>
        <v>,  County</v>
      </c>
    </row>
    <row r="2795" spans="1:16">
      <c r="A2795" s="708" t="str">
        <f>'Pt IX B-Super Proj Concept Narr'!A5</f>
        <v>Brentwood Place Apartments is not a "Superior Project" because of:  1) sophisticated financing or funding sources that are difficult to obtain - our financing sources are pretty typical of most rural develpments, 2) unique construction methods - as always, we will do whatever it takes to deliver a beautiful housing development, but there won't be anything particularly unique about it, and the way it looks will not determine the ultimate success or the "superiority" of the project; or  3) a final product that is a "pioneering" affordable housing development that will make the cover of all of the trade publications.</v>
      </c>
    </row>
    <row r="2797" spans="1:16">
      <c r="A2797" s="708" t="str">
        <f>'Pt IX B-Super Proj Concept Narr'!A7</f>
        <v>Rather, Brentwood Place is a "Superior Project" because it gives one Georgia agency - the Georgia Housing Finance Authority - the unique opportunity to help another Georgia agency - the Georgia Department of Corrections--with the latter's critical employment needs for its new "State Offices South at Tift College" campus in Forsyth.  In 2010 the Georgia Department of Corrections moved its south Georgia operations to Forsyth, bringing with it more than 400 jobs to the area.  400 jobs to any area is a significant event in these difficult economic times, but 400 jobs to a rural community like Forsyth is an event that might not happen again for decades.  Furthermore, for better or worse for our society at large, these are for the most part recession-proof jobs!  The Georgia DOC will most assuredly not be going out of business anytime soon, it is forbidden by state law from relocating to another state or country, and with the recent $45 million investment in the former Tift College campus facility, will no doubt be headquartered there for the long term.  In helping to assure the success of four years of planning and a $45 million investment of state funds, it is sound policy for other state agencies to help support this investment of time and scarce resources whereever possible.</v>
      </c>
    </row>
    <row r="2799" spans="1:16">
      <c r="A2799" s="708" t="str">
        <f>'Pt IX B-Super Proj Concept Narr'!A9</f>
        <v>This beautiful "State Offices South" facility is located less than one mile away from the Brentwood Place Apartments site.  Through providing workforce housing in a City that has had no new affordable housing for twenty years, Brentwood Place will fill a market need for new and beautiful, yet affordable, housing.  The support letter from Commissioner Brian Owens at the Georgia Department of Corrections (please see Tab 16), leaves absolutley no doubt that new, affordable housing is of the utmost importance to his Department for their Forsyth operations.  His letter says, in part:  "Our preliminary and on-going working relationships with local realtors and local government support the fact that sufficient affordable, quality rental housing is simply not available".</v>
      </c>
    </row>
    <row r="2801" spans="1:1">
      <c r="A2801" s="708" t="str">
        <f>'Pt IX B-Super Proj Concept Narr'!A11</f>
        <v>In addition, Brentwood Place is also a "Superior Project" because it is the logical response for a new infill development that helps address the City of Forsyth's goals, objectives and housing needs.  Located just three blocks from Forsyth's town square, it was actually the catalyst for the City's new code enforcement plan that like never before is focused on substandard housing throughout the community.  But DCA should not be surprised that Forsyth is "stepping up to the plate", as DCA recognized Forsyth's capacity for change in 2006 with its recognition of Forsyth as a "DCA Signature Community".</v>
      </c>
    </row>
    <row r="2803" spans="1:1">
      <c r="A2803" s="708" t="str">
        <f>'Pt IX B-Super Proj Concept Narr'!A13</f>
        <v>Brentwood Place is also a "Superior Project" because of the economic impact it will provide for the more than 170 (!) retail establishments located within two miles of the site - an amazing number of businesses for a rural community!  Many of these businesses are locally owned and operated and Brentwood Place will help provide the critical mass they need to prosper.</v>
      </c>
    </row>
    <row r="2805" spans="1:1">
      <c r="A2805" s="708" t="str">
        <f>'Pt IX B-Super Proj Concept Narr'!A15</f>
        <v>And, of course, the developer, In-Fill Housing, lives up to its name and mission statement by going into town (not running away from existing older neighborhoods) for its development focus.  In-Fill's strategy is working, as all but one of its twelve developments are in-town or inner city, and all of its properties enjoy occupancey levels in the very high 90% range.</v>
      </c>
    </row>
    <row r="2807" spans="1:1">
      <c r="A2807" s="708" t="str">
        <f>'Pt IX B-Super Proj Concept Narr'!A17</f>
        <v xml:space="preserve">DCA's allocation of credits for Brentwood Place Apartments is a very practical solution to a community's housing needs.  Those housing needs are, in addition, of utmost importance to another Georgia state agency.  With this allocation, DCA addresses important concerns of both the City of Forsyth, and the Georgia Department of Corrections.  </v>
      </c>
    </row>
    <row r="2809" spans="1:1">
      <c r="A2809" s="708">
        <f>'Pt IX B-Super Proj Concept Narr'!A19</f>
        <v>0</v>
      </c>
    </row>
    <row r="2811" spans="1:1">
      <c r="A2811" s="708">
        <f>'Pt IX B-Super Proj Concept Narr'!A21</f>
        <v>0</v>
      </c>
    </row>
    <row r="2813" spans="1:1">
      <c r="A2813" s="708">
        <f>'Pt IX B-Super Proj Concept Narr'!A23</f>
        <v>0</v>
      </c>
    </row>
    <row r="2815" spans="1:1">
      <c r="A2815" s="708">
        <f>'Pt IX B-Super Proj Concept Narr'!A25</f>
        <v>0</v>
      </c>
    </row>
    <row r="2817" spans="1:1">
      <c r="A2817" s="70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topLeftCell="A10" workbookViewId="0">
      <selection activeCell="E27" sqref="E27"/>
    </sheetView>
  </sheetViews>
  <sheetFormatPr defaultRowHeight="12.75"/>
  <cols>
    <col min="1" max="1" width="88.28515625" style="31" customWidth="1"/>
    <col min="2" max="16384" width="9.140625" style="31"/>
  </cols>
  <sheetData>
    <row r="1" spans="1:6" ht="15.75">
      <c r="A1" s="1146" t="s">
        <v>1591</v>
      </c>
    </row>
    <row r="2" spans="1:6" ht="16.5">
      <c r="A2" s="1147" t="str">
        <f>'Part I-Project Information'!F22</f>
        <v>Brentwood Place Apartments</v>
      </c>
    </row>
    <row r="3" spans="1:6" ht="16.5">
      <c r="A3" s="1147" t="str">
        <f>CONCATENATE('Part I-Project Information'!F24,", ", 'Part I-Project Information'!J25," County")</f>
        <v>Forsyth, Monroe County</v>
      </c>
    </row>
    <row r="4" spans="1:6" ht="12.4" customHeight="1"/>
    <row r="5" spans="1:6" ht="100.5" customHeight="1">
      <c r="A5" s="1148" t="s">
        <v>4012</v>
      </c>
      <c r="B5" s="774" t="s">
        <v>1592</v>
      </c>
      <c r="C5" s="774"/>
      <c r="D5" s="774"/>
      <c r="E5" s="774"/>
      <c r="F5" s="774"/>
    </row>
    <row r="6" spans="1:6" ht="6.6" customHeight="1">
      <c r="A6" s="1149"/>
      <c r="B6" s="774"/>
      <c r="C6" s="774"/>
      <c r="D6" s="774"/>
      <c r="E6" s="774"/>
      <c r="F6" s="774"/>
    </row>
    <row r="7" spans="1:6" ht="180.75" customHeight="1">
      <c r="A7" s="1148" t="s">
        <v>4051</v>
      </c>
    </row>
    <row r="8" spans="1:6" ht="6.6" customHeight="1">
      <c r="A8" s="1149"/>
    </row>
    <row r="9" spans="1:6" ht="180" customHeight="1">
      <c r="A9" s="1148" t="s">
        <v>4013</v>
      </c>
    </row>
    <row r="10" spans="1:6" ht="6.6" customHeight="1">
      <c r="A10" s="1149"/>
    </row>
    <row r="11" spans="1:6" ht="186.75" customHeight="1">
      <c r="A11" s="1148" t="s">
        <v>3995</v>
      </c>
    </row>
    <row r="12" spans="1:6" ht="6.6" customHeight="1">
      <c r="A12" s="1149"/>
    </row>
    <row r="13" spans="1:6" ht="111.4" customHeight="1">
      <c r="A13" s="1148"/>
    </row>
    <row r="14" spans="1:6" ht="6.6" customHeight="1">
      <c r="A14" s="1149"/>
    </row>
    <row r="15" spans="1:6" ht="111.4" customHeight="1">
      <c r="A15" s="1148"/>
    </row>
    <row r="16" spans="1:6" ht="6.6" customHeight="1">
      <c r="A16" s="1149"/>
    </row>
    <row r="17" spans="1:1" ht="111.4" customHeight="1">
      <c r="A17" s="1148"/>
    </row>
    <row r="18" spans="1:1" ht="6.6" customHeight="1">
      <c r="A18" s="1149"/>
    </row>
    <row r="19" spans="1:1" ht="111.4" customHeight="1">
      <c r="A19" s="1148"/>
    </row>
    <row r="20" spans="1:1" ht="6.6" customHeight="1">
      <c r="A20" s="1149"/>
    </row>
    <row r="21" spans="1:1" ht="111.4" customHeight="1">
      <c r="A21" s="1148"/>
    </row>
    <row r="22" spans="1:1" ht="6.6" customHeight="1">
      <c r="A22" s="1149"/>
    </row>
    <row r="23" spans="1:1" ht="111.4" customHeight="1">
      <c r="A23" s="1148"/>
    </row>
    <row r="24" spans="1:1" ht="6.6" customHeight="1">
      <c r="A24" s="1149"/>
    </row>
    <row r="25" spans="1:1" ht="111.4" customHeight="1">
      <c r="A25" s="1148"/>
    </row>
    <row r="26" spans="1:1" ht="6.6" customHeight="1">
      <c r="A26" s="1149"/>
    </row>
    <row r="27" spans="1:1" ht="111.4"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tabSelected="1" zoomScaleNormal="100" workbookViewId="0">
      <selection activeCell="I25" sqref="I25"/>
    </sheetView>
  </sheetViews>
  <sheetFormatPr defaultColWidth="9.140625" defaultRowHeight="12.4"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79" t="str">
        <f>CONCATENATE("PART ONE - PROJECT INFORMATION"," - ",$O$4," ",$F$22,", ",'Part I-Project Information'!F24,", ",'Part I-Project Information'!J25," County")</f>
        <v>PART ONE - PROJECT INFORMATION - 2011-044 Brentwood Place Apartments, Forsyth, Monroe County</v>
      </c>
      <c r="B1" s="780"/>
      <c r="C1" s="780"/>
      <c r="D1" s="780"/>
      <c r="E1" s="780"/>
      <c r="F1" s="780"/>
      <c r="G1" s="780"/>
      <c r="H1" s="780"/>
      <c r="I1" s="780"/>
      <c r="J1" s="780"/>
      <c r="K1" s="780"/>
      <c r="L1" s="780"/>
      <c r="M1" s="780"/>
      <c r="N1" s="780"/>
      <c r="O1" s="780"/>
      <c r="P1" s="781"/>
    </row>
    <row r="2" spans="1:16" s="458" customFormat="1" ht="12.4" customHeight="1">
      <c r="A2" s="459"/>
      <c r="B2" s="459"/>
      <c r="C2" s="459"/>
      <c r="D2" s="459"/>
      <c r="E2" s="459"/>
      <c r="F2" s="459"/>
      <c r="G2" s="459"/>
      <c r="H2" s="459"/>
      <c r="I2" s="459"/>
      <c r="J2" s="459"/>
      <c r="K2" s="459"/>
      <c r="L2" s="459"/>
      <c r="M2" s="459"/>
      <c r="N2" s="459"/>
      <c r="O2" s="459"/>
      <c r="P2" s="459"/>
    </row>
    <row r="3" spans="1:16" s="458" customFormat="1" ht="12.4" customHeight="1" thickBot="1">
      <c r="A3" s="395" t="s">
        <v>3570</v>
      </c>
      <c r="B3" s="459"/>
      <c r="C3" s="459"/>
      <c r="D3" s="460"/>
      <c r="E3" s="401" t="s">
        <v>654</v>
      </c>
      <c r="L3" s="459"/>
      <c r="M3" s="783" t="s">
        <v>2730</v>
      </c>
      <c r="N3" s="783"/>
      <c r="O3" s="783"/>
      <c r="P3" s="783"/>
    </row>
    <row r="4" spans="1:16" s="458" customFormat="1" ht="12.4" customHeight="1" thickBot="1">
      <c r="A4" s="737"/>
      <c r="B4" s="461"/>
      <c r="C4" s="461"/>
      <c r="D4" s="462"/>
      <c r="E4" s="401" t="s">
        <v>655</v>
      </c>
      <c r="H4" s="721"/>
      <c r="I4" s="721"/>
      <c r="J4" s="721"/>
      <c r="M4" s="721"/>
      <c r="O4" s="1529" t="s">
        <v>4079</v>
      </c>
      <c r="P4" s="1530"/>
    </row>
    <row r="5" spans="1:16" s="458" customFormat="1" ht="12.4" customHeight="1">
      <c r="A5" s="737"/>
      <c r="B5" s="461"/>
      <c r="C5" s="461"/>
      <c r="D5" s="461"/>
      <c r="E5" s="721"/>
      <c r="H5" s="721"/>
      <c r="I5" s="721"/>
      <c r="J5" s="721"/>
      <c r="K5" s="395"/>
      <c r="M5" s="721"/>
    </row>
    <row r="6" spans="1:16" s="458" customFormat="1" ht="13.15" customHeight="1">
      <c r="A6" s="461" t="s">
        <v>951</v>
      </c>
      <c r="C6" s="461" t="s">
        <v>3590</v>
      </c>
      <c r="D6" s="418"/>
      <c r="E6" s="463"/>
      <c r="F6" s="464" t="s">
        <v>2741</v>
      </c>
      <c r="J6" s="784">
        <f>'Part IV-Uses of Funds'!J165</f>
        <v>852800</v>
      </c>
      <c r="K6" s="785"/>
    </row>
    <row r="7" spans="1:16" s="2" customFormat="1" ht="13.15" customHeight="1">
      <c r="A7" s="5"/>
      <c r="C7" s="5"/>
      <c r="D7" s="31"/>
      <c r="E7" s="563"/>
      <c r="F7" s="458" t="s">
        <v>1983</v>
      </c>
      <c r="J7" s="793">
        <f>'Part III A-Sources of Funds'!J5</f>
        <v>1628524</v>
      </c>
      <c r="K7" s="794"/>
      <c r="M7" s="458"/>
      <c r="N7" s="458"/>
      <c r="O7" s="458"/>
      <c r="P7" s="458"/>
    </row>
    <row r="8" spans="1:16" s="458" customFormat="1" ht="7.15" customHeight="1">
      <c r="A8" s="461"/>
      <c r="C8" s="461"/>
      <c r="D8" s="418"/>
      <c r="E8" s="463"/>
      <c r="F8" s="463"/>
      <c r="I8" s="465"/>
      <c r="N8" s="466"/>
    </row>
    <row r="9" spans="1:16" s="458" customFormat="1" ht="13.15" customHeight="1">
      <c r="A9" s="465" t="s">
        <v>1230</v>
      </c>
      <c r="C9" s="461" t="s">
        <v>3132</v>
      </c>
      <c r="F9" s="1170" t="s">
        <v>3920</v>
      </c>
      <c r="G9" s="1171"/>
      <c r="H9" s="1172"/>
      <c r="I9" s="1531" t="s">
        <v>1231</v>
      </c>
      <c r="J9" s="1444"/>
      <c r="K9" s="1445"/>
      <c r="L9" s="1445"/>
      <c r="M9" s="1445"/>
      <c r="N9" s="1445"/>
      <c r="O9" s="1445"/>
      <c r="P9" s="1446"/>
    </row>
    <row r="10" spans="1:16" s="458" customFormat="1" ht="7.15" customHeight="1">
      <c r="I10" s="418"/>
      <c r="J10" s="418"/>
      <c r="K10" s="418"/>
      <c r="L10" s="418"/>
      <c r="M10" s="418"/>
      <c r="N10" s="418"/>
      <c r="O10" s="418"/>
      <c r="P10" s="418"/>
    </row>
    <row r="11" spans="1:16" s="458" customFormat="1" ht="13.15" customHeight="1">
      <c r="A11" s="465" t="s">
        <v>1232</v>
      </c>
      <c r="B11" s="463"/>
      <c r="C11" s="461" t="s">
        <v>2207</v>
      </c>
      <c r="D11" s="464"/>
      <c r="E11" s="463"/>
      <c r="G11" s="467"/>
      <c r="H11" s="467"/>
      <c r="I11" s="467"/>
      <c r="K11" s="466"/>
      <c r="L11" s="466"/>
    </row>
    <row r="12" spans="1:16" s="458" customFormat="1" ht="3.4" customHeight="1">
      <c r="A12" s="465"/>
      <c r="B12" s="463"/>
      <c r="C12" s="461"/>
      <c r="D12" s="464"/>
      <c r="E12" s="463"/>
      <c r="G12" s="467"/>
      <c r="H12" s="467"/>
      <c r="I12" s="467"/>
      <c r="K12" s="466"/>
      <c r="L12" s="466"/>
      <c r="O12" s="459"/>
    </row>
    <row r="13" spans="1:16" s="458" customFormat="1" ht="13.15" customHeight="1">
      <c r="C13" s="458" t="s">
        <v>3442</v>
      </c>
      <c r="F13" s="1444" t="s">
        <v>3964</v>
      </c>
      <c r="G13" s="1445"/>
      <c r="H13" s="1445"/>
      <c r="I13" s="1445"/>
      <c r="J13" s="1445"/>
      <c r="K13" s="1445"/>
      <c r="L13" s="1446"/>
      <c r="M13" s="716" t="s">
        <v>3057</v>
      </c>
      <c r="N13" s="1444" t="s">
        <v>3968</v>
      </c>
      <c r="O13" s="1445"/>
      <c r="P13" s="1446"/>
    </row>
    <row r="14" spans="1:16" s="458" customFormat="1" ht="13.15" customHeight="1">
      <c r="C14" s="464" t="s">
        <v>3058</v>
      </c>
      <c r="F14" s="1444" t="s">
        <v>3965</v>
      </c>
      <c r="G14" s="1445"/>
      <c r="H14" s="1445"/>
      <c r="I14" s="1445"/>
      <c r="J14" s="1445"/>
      <c r="K14" s="1445"/>
      <c r="L14" s="1446"/>
      <c r="M14" s="716" t="s">
        <v>2747</v>
      </c>
      <c r="O14" s="1483">
        <v>4787525060</v>
      </c>
      <c r="P14" s="1484"/>
    </row>
    <row r="15" spans="1:16" s="458" customFormat="1" ht="13.15" customHeight="1">
      <c r="C15" s="464" t="s">
        <v>954</v>
      </c>
      <c r="F15" s="1461" t="s">
        <v>2022</v>
      </c>
      <c r="G15" s="1394"/>
      <c r="H15" s="1395"/>
      <c r="M15" s="716" t="s">
        <v>2834</v>
      </c>
      <c r="O15" s="1477">
        <v>4787525066</v>
      </c>
      <c r="P15" s="1479"/>
    </row>
    <row r="16" spans="1:16" s="458" customFormat="1" ht="13.15" customHeight="1">
      <c r="C16" s="464" t="s">
        <v>2831</v>
      </c>
      <c r="F16" s="1532" t="s">
        <v>1439</v>
      </c>
      <c r="I16" s="721" t="s">
        <v>3354</v>
      </c>
      <c r="J16" s="1480">
        <v>312080000</v>
      </c>
      <c r="K16" s="1481"/>
      <c r="M16" s="716" t="s">
        <v>3056</v>
      </c>
      <c r="O16" s="1477">
        <v>4787148005</v>
      </c>
      <c r="P16" s="1479"/>
    </row>
    <row r="17" spans="1:16" s="458" customFormat="1" ht="13.15" customHeight="1">
      <c r="B17" s="723"/>
      <c r="C17" s="464" t="s">
        <v>2746</v>
      </c>
      <c r="F17" s="1477">
        <v>4787525060</v>
      </c>
      <c r="G17" s="1478"/>
      <c r="H17" s="1479"/>
      <c r="I17" s="715" t="s">
        <v>2745</v>
      </c>
      <c r="J17" s="1441"/>
      <c r="K17" s="721" t="s">
        <v>3061</v>
      </c>
      <c r="L17" s="1444" t="s">
        <v>3966</v>
      </c>
      <c r="M17" s="1445"/>
      <c r="N17" s="1445"/>
      <c r="O17" s="1445"/>
      <c r="P17" s="1446"/>
    </row>
    <row r="18" spans="1:16" s="458" customFormat="1" ht="13.15" customHeight="1">
      <c r="A18" s="461"/>
      <c r="B18" s="463"/>
      <c r="C18" s="441" t="s">
        <v>998</v>
      </c>
      <c r="D18" s="463"/>
      <c r="G18" s="463"/>
      <c r="H18" s="463"/>
      <c r="I18" s="467"/>
    </row>
    <row r="19" spans="1:16" s="458" customFormat="1" ht="7.15" customHeight="1">
      <c r="A19" s="737"/>
      <c r="B19" s="737"/>
      <c r="C19" s="468"/>
      <c r="D19" s="723"/>
      <c r="E19" s="723"/>
      <c r="F19" s="723"/>
      <c r="H19" s="721"/>
      <c r="I19" s="723"/>
      <c r="J19" s="468"/>
      <c r="K19" s="723"/>
      <c r="P19" s="469"/>
    </row>
    <row r="20" spans="1:16" s="458" customFormat="1" ht="13.15" customHeight="1">
      <c r="A20" s="465" t="s">
        <v>2824</v>
      </c>
      <c r="B20" s="461"/>
      <c r="C20" s="461" t="s">
        <v>2208</v>
      </c>
      <c r="D20" s="418"/>
      <c r="E20" s="463"/>
      <c r="F20" s="463"/>
      <c r="G20" s="464"/>
      <c r="H20" s="463"/>
      <c r="I20" s="463"/>
      <c r="J20" s="467"/>
      <c r="L20" s="466"/>
      <c r="M20" s="466"/>
    </row>
    <row r="21" spans="1:16" s="458" customFormat="1" ht="3.4" customHeight="1">
      <c r="A21" s="465"/>
      <c r="B21" s="461"/>
      <c r="C21" s="461"/>
      <c r="D21" s="418"/>
      <c r="E21" s="463"/>
      <c r="F21" s="463"/>
      <c r="G21" s="464"/>
      <c r="H21" s="463"/>
      <c r="I21" s="463"/>
      <c r="J21" s="467"/>
      <c r="L21" s="466"/>
    </row>
    <row r="22" spans="1:16" s="458" customFormat="1" ht="13.15" customHeight="1">
      <c r="A22" s="461"/>
      <c r="B22" s="461"/>
      <c r="C22" s="458" t="s">
        <v>952</v>
      </c>
      <c r="D22" s="470"/>
      <c r="F22" s="1492" t="s">
        <v>3924</v>
      </c>
      <c r="G22" s="1493"/>
      <c r="H22" s="1493"/>
      <c r="I22" s="1493"/>
      <c r="J22" s="1493"/>
      <c r="K22" s="1493"/>
      <c r="L22" s="1494"/>
      <c r="M22" s="716" t="s">
        <v>3300</v>
      </c>
      <c r="O22" s="1444" t="s">
        <v>3923</v>
      </c>
      <c r="P22" s="1446"/>
    </row>
    <row r="23" spans="1:16" s="458" customFormat="1" ht="13.15" customHeight="1">
      <c r="A23" s="471"/>
      <c r="B23" s="461"/>
      <c r="C23" s="458" t="s">
        <v>953</v>
      </c>
      <c r="D23" s="472"/>
      <c r="F23" s="1492" t="s">
        <v>3922</v>
      </c>
      <c r="G23" s="1493"/>
      <c r="H23" s="1493"/>
      <c r="I23" s="1493"/>
      <c r="J23" s="1493"/>
      <c r="K23" s="1493"/>
      <c r="L23" s="1494"/>
      <c r="M23" s="716" t="s">
        <v>3146</v>
      </c>
      <c r="O23" s="1444" t="s">
        <v>3923</v>
      </c>
      <c r="P23" s="1446"/>
    </row>
    <row r="24" spans="1:16" s="458" customFormat="1" ht="13.15" customHeight="1">
      <c r="A24" s="737"/>
      <c r="B24" s="461"/>
      <c r="C24" s="458" t="s">
        <v>954</v>
      </c>
      <c r="F24" s="1444" t="s">
        <v>1004</v>
      </c>
      <c r="G24" s="1445"/>
      <c r="H24" s="1446"/>
      <c r="I24" s="721" t="s">
        <v>446</v>
      </c>
      <c r="J24" s="1480">
        <v>310290000</v>
      </c>
      <c r="K24" s="1481"/>
      <c r="L24" s="550" t="str">
        <f>IF(AND(NOT(F22=""),NOT(F24="Select from list"),J24=""),"Enter Zip!","")</f>
        <v/>
      </c>
      <c r="M24" s="716" t="s">
        <v>3416</v>
      </c>
      <c r="O24" s="1444">
        <v>10.135</v>
      </c>
      <c r="P24" s="1446"/>
    </row>
    <row r="25" spans="1:16" s="458" customFormat="1" ht="13.15" customHeight="1">
      <c r="A25" s="737"/>
      <c r="B25" s="461"/>
      <c r="C25" s="776" t="s">
        <v>3145</v>
      </c>
      <c r="D25" s="776"/>
      <c r="F25" s="1533" t="s">
        <v>3919</v>
      </c>
      <c r="I25" s="504" t="s">
        <v>955</v>
      </c>
      <c r="J25" s="1534" t="str">
        <f>IF($F$24="","",VLOOKUP($F$24,$N$183:$O$786,2,FALSE))</f>
        <v>Monroe</v>
      </c>
      <c r="K25" s="1535"/>
      <c r="M25" s="474" t="s">
        <v>3435</v>
      </c>
      <c r="O25" s="1444">
        <v>502</v>
      </c>
      <c r="P25" s="1536"/>
    </row>
    <row r="26" spans="1:16" s="458" customFormat="1" ht="13.15" customHeight="1">
      <c r="A26" s="737"/>
      <c r="B26" s="461"/>
      <c r="C26" s="458" t="s">
        <v>2314</v>
      </c>
      <c r="F26" s="1537" t="s">
        <v>3919</v>
      </c>
      <c r="G26" s="475"/>
      <c r="I26" s="466" t="s">
        <v>886</v>
      </c>
      <c r="J26" s="1538" t="str">
        <f>IF($F$24="","",VLOOKUP($J$25,$C$183:$H$342,3,FALSE))</f>
        <v>Monroe Co.</v>
      </c>
      <c r="K26" s="1539"/>
      <c r="L26" s="1540"/>
      <c r="M26" s="716" t="s">
        <v>666</v>
      </c>
      <c r="N26" s="1541" t="s">
        <v>3923</v>
      </c>
      <c r="O26" s="466" t="s">
        <v>667</v>
      </c>
      <c r="P26" s="1541" t="s">
        <v>3923</v>
      </c>
    </row>
    <row r="27" spans="1:16" s="458" customFormat="1" ht="3.4" customHeight="1">
      <c r="A27" s="737"/>
      <c r="B27" s="461"/>
      <c r="C27" s="461"/>
      <c r="I27" s="464"/>
      <c r="J27" s="723"/>
      <c r="L27" s="735"/>
      <c r="M27" s="735"/>
      <c r="N27" s="735"/>
      <c r="O27" s="735"/>
      <c r="P27" s="735"/>
    </row>
    <row r="28" spans="1:16" s="458" customFormat="1" ht="13.15" customHeight="1">
      <c r="A28" s="737"/>
      <c r="B28" s="461"/>
      <c r="F28" s="782" t="s">
        <v>447</v>
      </c>
      <c r="G28" s="782"/>
      <c r="H28" s="782" t="s">
        <v>1226</v>
      </c>
      <c r="I28" s="782"/>
      <c r="J28" s="782" t="s">
        <v>1227</v>
      </c>
      <c r="K28" s="782"/>
      <c r="L28" s="468"/>
    </row>
    <row r="29" spans="1:16" s="458" customFormat="1" ht="13.15" customHeight="1">
      <c r="A29" s="737"/>
      <c r="B29" s="461"/>
      <c r="C29" s="458" t="s">
        <v>956</v>
      </c>
      <c r="D29" s="461"/>
      <c r="F29" s="1542">
        <v>8</v>
      </c>
      <c r="G29" s="1543"/>
      <c r="H29" s="1542">
        <v>16</v>
      </c>
      <c r="I29" s="1543"/>
      <c r="J29" s="1542">
        <v>125</v>
      </c>
      <c r="K29" s="1543"/>
    </row>
    <row r="30" spans="1:16" s="458" customFormat="1" ht="13.15" customHeight="1">
      <c r="A30" s="737"/>
      <c r="B30" s="461"/>
      <c r="C30" s="464" t="s">
        <v>1228</v>
      </c>
      <c r="F30" s="1542"/>
      <c r="G30" s="1543"/>
      <c r="H30" s="1542"/>
      <c r="I30" s="1543"/>
      <c r="J30" s="1542"/>
      <c r="K30" s="1543"/>
    </row>
    <row r="31" spans="1:16" s="458" customFormat="1" ht="3.4" customHeight="1">
      <c r="A31" s="737"/>
      <c r="B31" s="461"/>
      <c r="I31" s="735"/>
      <c r="J31" s="735"/>
      <c r="K31" s="735"/>
      <c r="M31" s="723"/>
      <c r="N31" s="723"/>
      <c r="O31" s="723"/>
      <c r="P31" s="723"/>
    </row>
    <row r="32" spans="1:16" s="458" customFormat="1" ht="13.15" customHeight="1">
      <c r="A32" s="737"/>
      <c r="B32" s="737"/>
      <c r="C32" s="461" t="s">
        <v>974</v>
      </c>
      <c r="F32" s="1544" t="s">
        <v>3925</v>
      </c>
      <c r="G32" s="1545"/>
      <c r="H32" s="1545"/>
      <c r="I32" s="1545"/>
      <c r="J32" s="1545"/>
      <c r="K32" s="1546"/>
      <c r="L32" s="476"/>
      <c r="M32" s="476"/>
      <c r="N32" s="476"/>
    </row>
    <row r="33" spans="1:19" s="458" customFormat="1" ht="13.15" customHeight="1">
      <c r="A33" s="737"/>
      <c r="B33" s="737"/>
      <c r="C33" s="458" t="s">
        <v>975</v>
      </c>
      <c r="F33" s="1547" t="s">
        <v>3927</v>
      </c>
      <c r="G33" s="1548"/>
      <c r="H33" s="1548"/>
      <c r="I33" s="1548"/>
      <c r="J33" s="1549"/>
      <c r="K33" s="477" t="s">
        <v>3057</v>
      </c>
      <c r="L33" s="1544" t="s">
        <v>3926</v>
      </c>
      <c r="M33" s="1545"/>
      <c r="N33" s="1546"/>
    </row>
    <row r="34" spans="1:19" s="458" customFormat="1" ht="13.15" customHeight="1">
      <c r="A34" s="737"/>
      <c r="B34" s="737"/>
      <c r="C34" s="458" t="s">
        <v>3058</v>
      </c>
      <c r="F34" s="1544" t="s">
        <v>3928</v>
      </c>
      <c r="G34" s="1545"/>
      <c r="H34" s="1545"/>
      <c r="I34" s="1545"/>
      <c r="J34" s="1546"/>
      <c r="K34" s="478" t="s">
        <v>954</v>
      </c>
      <c r="L34" s="1444" t="s">
        <v>1004</v>
      </c>
      <c r="M34" s="1445"/>
      <c r="N34" s="1446"/>
    </row>
    <row r="35" spans="1:19" s="458" customFormat="1" ht="13.15" customHeight="1">
      <c r="A35" s="737"/>
      <c r="B35" s="737"/>
      <c r="C35" s="716" t="s">
        <v>3354</v>
      </c>
      <c r="F35" s="1550">
        <v>310292103</v>
      </c>
      <c r="G35" s="1551"/>
      <c r="H35" s="715" t="s">
        <v>3059</v>
      </c>
      <c r="I35" s="1491">
        <v>4789945649</v>
      </c>
      <c r="J35" s="1552"/>
      <c r="K35" s="1553"/>
      <c r="L35" s="715" t="s">
        <v>2834</v>
      </c>
      <c r="M35" s="1491">
        <v>4789931002</v>
      </c>
      <c r="N35" s="1553"/>
    </row>
    <row r="36" spans="1:19" s="458" customFormat="1" ht="7.15" customHeight="1">
      <c r="A36" s="737"/>
      <c r="B36" s="737"/>
      <c r="C36" s="479"/>
      <c r="D36" s="480"/>
      <c r="E36" s="480"/>
      <c r="F36" s="721"/>
      <c r="G36" s="721"/>
      <c r="H36" s="721"/>
      <c r="I36" s="721"/>
      <c r="J36" s="480"/>
      <c r="K36" s="721"/>
      <c r="L36" s="721"/>
      <c r="N36" s="723"/>
      <c r="O36" s="723"/>
      <c r="P36" s="469"/>
    </row>
    <row r="37" spans="1:19" s="458" customFormat="1" ht="13.15" customHeight="1">
      <c r="A37" s="465" t="s">
        <v>2826</v>
      </c>
      <c r="C37" s="461" t="s">
        <v>2209</v>
      </c>
      <c r="F37" s="481"/>
      <c r="I37" s="464"/>
      <c r="J37" s="683" t="s">
        <v>1975</v>
      </c>
      <c r="K37" s="603"/>
      <c r="L37" s="603"/>
      <c r="M37" s="603"/>
      <c r="N37" s="603"/>
      <c r="O37" s="603"/>
      <c r="P37" s="604"/>
    </row>
    <row r="38" spans="1:19" s="458" customFormat="1" ht="3.4" customHeight="1">
      <c r="A38" s="737"/>
      <c r="B38" s="461"/>
      <c r="C38" s="461"/>
      <c r="I38" s="464"/>
      <c r="J38" s="605"/>
      <c r="K38" s="723"/>
      <c r="L38" s="723"/>
      <c r="M38" s="723"/>
      <c r="N38" s="723"/>
      <c r="O38" s="723"/>
      <c r="P38" s="606"/>
    </row>
    <row r="39" spans="1:19" s="458" customFormat="1" ht="12.75">
      <c r="A39" s="737"/>
      <c r="B39" s="737" t="s">
        <v>3060</v>
      </c>
      <c r="C39" s="461" t="s">
        <v>3437</v>
      </c>
      <c r="F39" s="1441" t="s">
        <v>3923</v>
      </c>
      <c r="J39" s="605" t="s">
        <v>1972</v>
      </c>
      <c r="K39" s="723"/>
      <c r="L39" s="792" t="s">
        <v>1973</v>
      </c>
      <c r="M39" s="792"/>
      <c r="N39" s="792"/>
      <c r="O39" s="792"/>
      <c r="P39" s="606"/>
    </row>
    <row r="40" spans="1:19" s="458" customFormat="1" ht="3.4" customHeight="1">
      <c r="A40" s="737"/>
      <c r="J40" s="605"/>
      <c r="K40" s="735"/>
      <c r="L40" s="723"/>
      <c r="M40" s="735"/>
      <c r="N40" s="735"/>
      <c r="O40" s="735"/>
      <c r="P40" s="607"/>
    </row>
    <row r="41" spans="1:19" s="458" customFormat="1" ht="13.15" customHeight="1">
      <c r="A41" s="737"/>
      <c r="B41" s="737" t="s">
        <v>3063</v>
      </c>
      <c r="C41" s="461" t="s">
        <v>1084</v>
      </c>
      <c r="J41" s="608" t="s">
        <v>1976</v>
      </c>
      <c r="K41" s="609"/>
      <c r="L41" s="795" t="s">
        <v>1971</v>
      </c>
      <c r="M41" s="795"/>
      <c r="N41" s="795"/>
      <c r="O41" s="795"/>
      <c r="P41" s="796"/>
      <c r="Q41" s="721"/>
    </row>
    <row r="42" spans="1:19" ht="13.15" customHeight="1">
      <c r="B42" s="737"/>
      <c r="C42" s="458" t="s">
        <v>3436</v>
      </c>
      <c r="D42" s="458"/>
      <c r="E42" s="458"/>
      <c r="F42" s="483">
        <f>'Part VI-Revenues &amp; Expenses'!$M$75</f>
        <v>79</v>
      </c>
      <c r="J42" s="398"/>
      <c r="L42" s="458"/>
      <c r="Q42" s="721"/>
    </row>
    <row r="43" spans="1:19" s="458" customFormat="1" ht="13.15" customHeight="1">
      <c r="A43" s="737"/>
      <c r="B43" s="737"/>
      <c r="C43" s="464" t="s">
        <v>469</v>
      </c>
      <c r="D43" s="723"/>
      <c r="F43" s="483">
        <f>'Part VI-Revenues &amp; Expenses'!$M$82</f>
        <v>0</v>
      </c>
      <c r="Q43" s="721"/>
    </row>
    <row r="44" spans="1:19" s="458" customFormat="1" ht="13.15" customHeight="1">
      <c r="A44" s="737"/>
      <c r="B44" s="737"/>
      <c r="C44" s="464" t="s">
        <v>443</v>
      </c>
      <c r="D44" s="723"/>
      <c r="F44" s="483">
        <f>'Part VI-Revenues &amp; Expenses'!$M$78</f>
        <v>0</v>
      </c>
      <c r="G44" s="458" t="s">
        <v>445</v>
      </c>
      <c r="L44" s="1554"/>
      <c r="M44" s="482"/>
      <c r="N44" s="482"/>
      <c r="O44" s="482"/>
      <c r="P44" s="482"/>
      <c r="Q44" s="721"/>
    </row>
    <row r="45" spans="1:19" s="458" customFormat="1" ht="13.15" customHeight="1">
      <c r="A45" s="737"/>
      <c r="B45" s="737"/>
      <c r="C45" s="484" t="s">
        <v>444</v>
      </c>
      <c r="F45" s="483">
        <f>'Part VI-Revenues &amp; Expenses'!$M$81</f>
        <v>0</v>
      </c>
      <c r="L45" s="482"/>
    </row>
    <row r="46" spans="1:19" s="458" customFormat="1" ht="13.15" customHeight="1">
      <c r="A46" s="737"/>
      <c r="B46" s="737"/>
      <c r="C46" s="484" t="s">
        <v>470</v>
      </c>
      <c r="F46" s="483">
        <f>'Part VI-Revenues &amp; Expenses'!$M$83</f>
        <v>0</v>
      </c>
      <c r="P46" s="723"/>
    </row>
    <row r="47" spans="1:19" s="458" customFormat="1" ht="3.6" customHeight="1">
      <c r="A47" s="737"/>
      <c r="P47" s="723"/>
    </row>
    <row r="48" spans="1:19" s="458" customFormat="1" ht="13.15" customHeight="1">
      <c r="A48" s="737"/>
      <c r="B48" s="471" t="s">
        <v>1239</v>
      </c>
      <c r="C48" s="470" t="s">
        <v>3408</v>
      </c>
      <c r="D48" s="723"/>
      <c r="I48" s="777" t="s">
        <v>2131</v>
      </c>
      <c r="J48" s="471" t="s">
        <v>3212</v>
      </c>
      <c r="K48" s="485" t="s">
        <v>3443</v>
      </c>
      <c r="M48" s="723"/>
      <c r="N48" s="723"/>
      <c r="O48" s="723"/>
      <c r="P48" s="721"/>
      <c r="Q48" s="721"/>
      <c r="R48" s="721"/>
      <c r="S48" s="723"/>
    </row>
    <row r="49" spans="1:16" s="458" customFormat="1" ht="13.15" customHeight="1">
      <c r="A49" s="737"/>
      <c r="B49" s="718"/>
      <c r="C49" s="468" t="s">
        <v>3409</v>
      </c>
      <c r="D49" s="723"/>
      <c r="E49" s="723"/>
      <c r="H49" s="486">
        <f>SUM(H50:H51)</f>
        <v>79</v>
      </c>
      <c r="I49" s="778"/>
      <c r="J49" s="737"/>
      <c r="K49" s="468" t="s">
        <v>3444</v>
      </c>
      <c r="M49" s="723"/>
      <c r="N49" s="723"/>
      <c r="O49" s="723"/>
      <c r="P49" s="486">
        <f>'Part VI-Revenues &amp; Expenses'!$M$94</f>
        <v>76250</v>
      </c>
    </row>
    <row r="50" spans="1:16" s="458" customFormat="1" ht="13.15" customHeight="1">
      <c r="A50" s="737"/>
      <c r="B50" s="482"/>
      <c r="D50" s="487" t="s">
        <v>490</v>
      </c>
      <c r="E50" s="487"/>
      <c r="H50" s="486">
        <f>'Part VI-Revenues &amp; Expenses'!$M$58</f>
        <v>16</v>
      </c>
      <c r="I50" s="486">
        <f>'Part VI-Revenues &amp; Expenses'!$M$66</f>
        <v>0</v>
      </c>
      <c r="K50" s="468" t="s">
        <v>326</v>
      </c>
      <c r="M50" s="723"/>
      <c r="N50" s="723"/>
      <c r="O50" s="723"/>
      <c r="P50" s="486">
        <f>'Part VI-Revenues &amp; Expenses'!$M$95</f>
        <v>0</v>
      </c>
    </row>
    <row r="51" spans="1:16" s="458" customFormat="1" ht="13.15" customHeight="1">
      <c r="A51" s="737"/>
      <c r="D51" s="487" t="s">
        <v>2864</v>
      </c>
      <c r="E51" s="487"/>
      <c r="H51" s="486">
        <f>'Part VI-Revenues &amp; Expenses'!$M$57</f>
        <v>63</v>
      </c>
      <c r="I51" s="486">
        <f>'Part VI-Revenues &amp; Expenses'!$M$65</f>
        <v>0</v>
      </c>
      <c r="K51" s="468" t="s">
        <v>3445</v>
      </c>
      <c r="M51" s="723"/>
      <c r="N51" s="723"/>
      <c r="O51" s="723"/>
      <c r="P51" s="486">
        <f>+P49+P50</f>
        <v>76250</v>
      </c>
    </row>
    <row r="52" spans="1:16" s="458" customFormat="1" ht="13.15" customHeight="1">
      <c r="A52" s="737"/>
      <c r="C52" s="468" t="s">
        <v>327</v>
      </c>
      <c r="D52" s="723"/>
      <c r="E52" s="723"/>
      <c r="H52" s="486">
        <f>'Part VI-Revenues &amp; Expenses'!$M$60</f>
        <v>0</v>
      </c>
      <c r="J52" s="737"/>
      <c r="K52" s="468" t="s">
        <v>2134</v>
      </c>
      <c r="M52" s="723"/>
      <c r="N52" s="723"/>
      <c r="O52" s="723"/>
      <c r="P52" s="486">
        <f>'Part VI-Revenues &amp; Expenses'!$M$97</f>
        <v>0</v>
      </c>
    </row>
    <row r="53" spans="1:16" s="458" customFormat="1" ht="13.15" customHeight="1">
      <c r="A53" s="737"/>
      <c r="C53" s="468" t="s">
        <v>3650</v>
      </c>
      <c r="D53" s="723"/>
      <c r="E53" s="723"/>
      <c r="H53" s="486">
        <f>+H49+H52</f>
        <v>79</v>
      </c>
      <c r="J53" s="737"/>
      <c r="K53" s="468" t="s">
        <v>2133</v>
      </c>
      <c r="M53" s="723"/>
      <c r="N53" s="723"/>
      <c r="O53" s="723"/>
      <c r="P53" s="486">
        <f>+P51+P52</f>
        <v>76250</v>
      </c>
    </row>
    <row r="54" spans="1:16" s="458" customFormat="1" ht="13.15" customHeight="1">
      <c r="A54" s="737"/>
      <c r="C54" s="468" t="s">
        <v>3651</v>
      </c>
      <c r="D54" s="723"/>
      <c r="E54" s="723"/>
      <c r="H54" s="486">
        <f>'Part VI-Revenues &amp; Expenses'!$M$62</f>
        <v>0</v>
      </c>
      <c r="J54" s="737"/>
    </row>
    <row r="55" spans="1:16" s="458" customFormat="1" ht="13.15" customHeight="1">
      <c r="A55" s="737"/>
      <c r="C55" s="468" t="s">
        <v>2825</v>
      </c>
      <c r="D55" s="723"/>
      <c r="E55" s="723"/>
      <c r="H55" s="486">
        <f>+H53+H54</f>
        <v>79</v>
      </c>
      <c r="J55" s="723"/>
    </row>
    <row r="56" spans="1:16" s="458" customFormat="1" ht="3.4" customHeight="1">
      <c r="A56" s="737"/>
      <c r="I56" s="721"/>
      <c r="L56" s="721"/>
      <c r="M56" s="721"/>
      <c r="N56" s="723"/>
      <c r="P56" s="469"/>
    </row>
    <row r="57" spans="1:16" s="458" customFormat="1" ht="13.15" customHeight="1">
      <c r="A57" s="737"/>
      <c r="B57" s="737" t="s">
        <v>2763</v>
      </c>
      <c r="C57" s="470" t="s">
        <v>3438</v>
      </c>
      <c r="D57" s="487" t="s">
        <v>3074</v>
      </c>
      <c r="G57" s="723"/>
      <c r="H57" s="1555">
        <v>6</v>
      </c>
      <c r="K57" s="468" t="s">
        <v>1760</v>
      </c>
      <c r="O57" s="723"/>
      <c r="P57" s="1555">
        <v>4450</v>
      </c>
    </row>
    <row r="58" spans="1:16" s="458" customFormat="1" ht="13.15" customHeight="1">
      <c r="A58" s="737"/>
      <c r="B58" s="737"/>
      <c r="D58" s="718" t="s">
        <v>3075</v>
      </c>
      <c r="H58" s="1555">
        <v>1</v>
      </c>
      <c r="I58" s="723"/>
      <c r="K58" s="468" t="s">
        <v>325</v>
      </c>
      <c r="O58" s="723"/>
      <c r="P58" s="486">
        <f>+P53+P57</f>
        <v>80700</v>
      </c>
    </row>
    <row r="59" spans="1:16" s="458" customFormat="1" ht="13.15" customHeight="1">
      <c r="A59" s="737"/>
      <c r="B59" s="737"/>
      <c r="D59" s="718" t="s">
        <v>3076</v>
      </c>
      <c r="H59" s="486">
        <f>+H57+H58</f>
        <v>7</v>
      </c>
      <c r="I59" s="723"/>
    </row>
    <row r="60" spans="1:16" s="458" customFormat="1" ht="3.4" customHeight="1">
      <c r="A60" s="737"/>
      <c r="B60" s="737"/>
      <c r="C60" s="723"/>
      <c r="D60" s="723"/>
      <c r="E60" s="723"/>
      <c r="F60" s="723"/>
      <c r="G60" s="721"/>
      <c r="I60" s="468"/>
      <c r="J60" s="723"/>
      <c r="P60" s="469"/>
    </row>
    <row r="61" spans="1:16" s="458" customFormat="1" ht="13.15" customHeight="1">
      <c r="A61" s="737"/>
      <c r="B61" s="737" t="s">
        <v>2764</v>
      </c>
      <c r="C61" s="470" t="s">
        <v>1085</v>
      </c>
      <c r="D61" s="723"/>
      <c r="E61" s="723"/>
      <c r="F61" s="723"/>
      <c r="G61" s="723"/>
      <c r="H61" s="1555">
        <v>158</v>
      </c>
    </row>
    <row r="62" spans="1:16" s="458" customFormat="1" ht="9" customHeight="1">
      <c r="A62" s="737"/>
      <c r="B62" s="737"/>
      <c r="C62" s="468"/>
      <c r="D62" s="723"/>
      <c r="E62" s="723"/>
      <c r="F62" s="723"/>
      <c r="G62" s="721"/>
      <c r="H62" s="723"/>
      <c r="I62" s="468"/>
      <c r="J62" s="468"/>
      <c r="K62" s="723"/>
      <c r="P62" s="469"/>
    </row>
    <row r="63" spans="1:16" s="458" customFormat="1" ht="13.15" customHeight="1">
      <c r="A63" s="737" t="s">
        <v>823</v>
      </c>
      <c r="C63" s="488" t="s">
        <v>1837</v>
      </c>
      <c r="D63" s="488"/>
      <c r="E63" s="488"/>
      <c r="F63" s="723"/>
      <c r="G63" s="721"/>
      <c r="K63" s="723"/>
      <c r="P63" s="469"/>
    </row>
    <row r="64" spans="1:16" s="458" customFormat="1" ht="3.4" customHeight="1">
      <c r="A64" s="737"/>
      <c r="C64" s="717"/>
      <c r="D64" s="717"/>
      <c r="E64" s="717"/>
      <c r="F64" s="723"/>
      <c r="G64" s="721"/>
      <c r="K64" s="723"/>
      <c r="P64" s="469"/>
    </row>
    <row r="65" spans="1:16" s="458" customFormat="1" ht="13.15" customHeight="1">
      <c r="A65" s="737"/>
      <c r="B65" s="737" t="s">
        <v>3060</v>
      </c>
      <c r="C65" s="395" t="s">
        <v>2273</v>
      </c>
      <c r="D65" s="717"/>
      <c r="E65" s="717"/>
      <c r="F65" s="723"/>
      <c r="G65" s="721"/>
      <c r="H65" s="1556" t="s">
        <v>3929</v>
      </c>
      <c r="I65" s="1557"/>
      <c r="K65" s="776" t="s">
        <v>2802</v>
      </c>
      <c r="L65" s="776"/>
      <c r="N65" s="1444"/>
      <c r="O65" s="1445"/>
      <c r="P65" s="1446"/>
    </row>
    <row r="66" spans="1:16" s="458" customFormat="1" ht="3.4" customHeight="1">
      <c r="A66" s="737"/>
      <c r="B66" s="737"/>
      <c r="D66" s="718"/>
      <c r="E66" s="718"/>
      <c r="F66" s="718"/>
      <c r="G66" s="718"/>
      <c r="I66" s="721"/>
      <c r="K66" s="716"/>
      <c r="L66" s="716"/>
      <c r="M66" s="721"/>
      <c r="N66" s="723"/>
      <c r="P66" s="469"/>
    </row>
    <row r="67" spans="1:16" s="458" customFormat="1" ht="13.15" customHeight="1">
      <c r="A67" s="737"/>
      <c r="B67" s="737" t="s">
        <v>3063</v>
      </c>
      <c r="C67" s="470" t="s">
        <v>2122</v>
      </c>
      <c r="D67" s="723"/>
      <c r="E67" s="487"/>
      <c r="G67" s="489" t="s">
        <v>1379</v>
      </c>
      <c r="H67" s="1555">
        <v>4</v>
      </c>
      <c r="K67" s="776" t="s">
        <v>813</v>
      </c>
      <c r="L67" s="776"/>
      <c r="P67" s="490">
        <f>IF('Part VI-Revenues &amp; Expenses'!$M$63=0,0,$H67/'Part VI-Revenues &amp; Expenses'!$M$63)</f>
        <v>5.0632911392405063E-2</v>
      </c>
    </row>
    <row r="68" spans="1:16" s="458" customFormat="1" ht="3.4" customHeight="1">
      <c r="A68" s="737"/>
      <c r="B68" s="737"/>
      <c r="D68" s="718"/>
      <c r="E68" s="718"/>
      <c r="F68" s="718"/>
      <c r="G68" s="718"/>
      <c r="I68" s="721"/>
      <c r="K68" s="716"/>
      <c r="L68" s="716"/>
      <c r="M68" s="721"/>
      <c r="P68" s="721"/>
    </row>
    <row r="69" spans="1:16" s="458" customFormat="1" ht="13.15" customHeight="1">
      <c r="A69" s="737"/>
      <c r="B69" s="737" t="s">
        <v>1239</v>
      </c>
      <c r="C69" s="470" t="s">
        <v>2891</v>
      </c>
      <c r="D69" s="487"/>
      <c r="E69" s="487"/>
      <c r="G69" s="489" t="s">
        <v>1379</v>
      </c>
      <c r="H69" s="1555">
        <v>2</v>
      </c>
      <c r="K69" s="776" t="s">
        <v>813</v>
      </c>
      <c r="L69" s="776"/>
      <c r="P69" s="490">
        <f>IF('Part VI-Revenues &amp; Expenses'!$M$63=0,0,$H69/'Part VI-Revenues &amp; Expenses'!$M$63)</f>
        <v>2.5316455696202531E-2</v>
      </c>
    </row>
    <row r="70" spans="1:16" s="458" customFormat="1" ht="3.4" customHeight="1">
      <c r="A70" s="737"/>
      <c r="B70" s="737"/>
      <c r="D70" s="718"/>
      <c r="E70" s="718"/>
      <c r="F70" s="718"/>
      <c r="G70" s="718"/>
      <c r="I70" s="721"/>
      <c r="K70" s="716"/>
      <c r="L70" s="716"/>
      <c r="M70" s="721"/>
      <c r="P70" s="721"/>
    </row>
    <row r="71" spans="1:16" s="458" customFormat="1" ht="13.15" customHeight="1">
      <c r="A71" s="737"/>
      <c r="B71" s="737" t="s">
        <v>3212</v>
      </c>
      <c r="C71" s="470" t="s">
        <v>1978</v>
      </c>
      <c r="D71" s="487"/>
      <c r="E71" s="487"/>
      <c r="G71" s="489" t="s">
        <v>1979</v>
      </c>
      <c r="H71" s="1555"/>
      <c r="K71" s="776" t="s">
        <v>813</v>
      </c>
      <c r="L71" s="776"/>
      <c r="P71" s="490">
        <f>IF('Part VI-Revenues &amp; Expenses'!$M$63=0,0,$H71/'Part VI-Revenues &amp; Expenses'!$M$63)</f>
        <v>0</v>
      </c>
    </row>
    <row r="72" spans="1:16" s="458" customFormat="1" ht="9" customHeight="1">
      <c r="A72" s="737"/>
      <c r="B72" s="737"/>
      <c r="D72" s="718"/>
      <c r="E72" s="718"/>
      <c r="F72" s="718"/>
      <c r="G72" s="718"/>
      <c r="I72" s="721"/>
      <c r="J72" s="721"/>
      <c r="K72" s="721"/>
      <c r="L72" s="721"/>
      <c r="M72" s="721"/>
      <c r="N72" s="723"/>
      <c r="P72" s="469"/>
    </row>
    <row r="73" spans="1:16" s="458" customFormat="1" ht="13.15" customHeight="1">
      <c r="A73" s="491" t="s">
        <v>1348</v>
      </c>
      <c r="B73" s="737"/>
      <c r="C73" s="717" t="s">
        <v>3592</v>
      </c>
      <c r="D73" s="718"/>
      <c r="E73" s="718"/>
      <c r="F73" s="718"/>
      <c r="G73" s="718"/>
      <c r="H73" s="718"/>
      <c r="I73" s="721"/>
      <c r="M73" s="721"/>
      <c r="N73" s="723"/>
      <c r="P73" s="469"/>
    </row>
    <row r="74" spans="1:16" s="458" customFormat="1" ht="3.4" customHeight="1">
      <c r="A74" s="737"/>
      <c r="B74" s="737"/>
      <c r="C74" s="717"/>
      <c r="D74" s="718"/>
      <c r="E74" s="718"/>
      <c r="F74" s="718"/>
      <c r="L74" s="721"/>
      <c r="M74" s="721"/>
      <c r="N74" s="723"/>
      <c r="P74" s="469"/>
    </row>
    <row r="75" spans="1:16" s="458" customFormat="1" ht="13.15" customHeight="1">
      <c r="A75" s="737"/>
      <c r="B75" s="737" t="s">
        <v>3060</v>
      </c>
      <c r="C75" s="395" t="s">
        <v>3591</v>
      </c>
      <c r="D75" s="718"/>
      <c r="E75" s="718"/>
      <c r="F75" s="718"/>
      <c r="H75" s="1558" t="s">
        <v>1461</v>
      </c>
      <c r="I75" s="1559"/>
      <c r="J75" s="1560"/>
      <c r="M75" s="721"/>
      <c r="N75" s="723"/>
      <c r="P75" s="469"/>
    </row>
    <row r="76" spans="1:16" s="458" customFormat="1" ht="3.4" customHeight="1">
      <c r="A76" s="737"/>
      <c r="B76" s="737"/>
      <c r="D76" s="718"/>
      <c r="E76" s="718"/>
      <c r="F76" s="718"/>
      <c r="G76" s="718"/>
      <c r="I76" s="721"/>
      <c r="J76" s="721"/>
      <c r="K76" s="721"/>
      <c r="L76" s="721"/>
      <c r="M76" s="721"/>
      <c r="N76" s="723"/>
      <c r="P76" s="469"/>
    </row>
    <row r="77" spans="1:16" s="458" customFormat="1" ht="13.15" customHeight="1">
      <c r="B77" s="737" t="s">
        <v>3063</v>
      </c>
      <c r="C77" s="461" t="s">
        <v>2286</v>
      </c>
      <c r="K77" s="464" t="s">
        <v>1460</v>
      </c>
      <c r="N77" s="492"/>
      <c r="P77" s="1441" t="s">
        <v>3919</v>
      </c>
    </row>
    <row r="78" spans="1:16" s="458" customFormat="1" ht="9" customHeight="1">
      <c r="A78" s="737"/>
      <c r="B78" s="737"/>
      <c r="C78" s="461"/>
      <c r="D78" s="718"/>
      <c r="E78" s="718"/>
      <c r="F78" s="718"/>
      <c r="G78" s="718"/>
      <c r="I78" s="721"/>
      <c r="J78" s="721"/>
      <c r="K78" s="721"/>
      <c r="L78" s="721"/>
      <c r="M78" s="721"/>
      <c r="N78" s="723"/>
      <c r="P78" s="469"/>
    </row>
    <row r="79" spans="1:16" s="458" customFormat="1" ht="13.15" customHeight="1">
      <c r="A79" s="491" t="s">
        <v>386</v>
      </c>
      <c r="B79" s="737"/>
      <c r="C79" s="717" t="s">
        <v>3133</v>
      </c>
      <c r="D79" s="718"/>
      <c r="E79" s="718"/>
      <c r="F79" s="718"/>
      <c r="G79" s="718"/>
      <c r="H79" s="718"/>
      <c r="I79" s="721"/>
      <c r="M79" s="721"/>
      <c r="N79" s="723"/>
      <c r="P79" s="469"/>
    </row>
    <row r="80" spans="1:16" s="458" customFormat="1" ht="3.4" customHeight="1">
      <c r="A80" s="737"/>
      <c r="B80" s="737"/>
      <c r="D80" s="718"/>
      <c r="E80" s="718"/>
      <c r="F80" s="718"/>
      <c r="G80" s="718"/>
      <c r="I80" s="721"/>
      <c r="J80" s="721"/>
      <c r="K80" s="721"/>
      <c r="L80" s="721"/>
      <c r="M80" s="721"/>
      <c r="N80" s="723"/>
      <c r="P80" s="469"/>
    </row>
    <row r="81" spans="1:16" s="458" customFormat="1" ht="13.15" customHeight="1">
      <c r="B81" s="737"/>
      <c r="C81" s="461"/>
      <c r="E81" s="1441" t="s">
        <v>3919</v>
      </c>
      <c r="F81" s="487" t="s">
        <v>3913</v>
      </c>
      <c r="H81" s="1441" t="s">
        <v>3919</v>
      </c>
      <c r="I81" s="716" t="s">
        <v>3912</v>
      </c>
      <c r="K81" s="1441"/>
      <c r="L81" s="458" t="s">
        <v>144</v>
      </c>
    </row>
    <row r="82" spans="1:16" s="458" customFormat="1" ht="13.15" customHeight="1">
      <c r="A82" s="737"/>
      <c r="B82" s="737"/>
      <c r="D82" s="480"/>
      <c r="E82" s="1441"/>
      <c r="F82" s="716" t="s">
        <v>651</v>
      </c>
      <c r="H82" s="1441"/>
      <c r="I82" s="718" t="s">
        <v>3233</v>
      </c>
      <c r="K82" s="1441"/>
      <c r="L82" s="458" t="s">
        <v>364</v>
      </c>
    </row>
    <row r="83" spans="1:16" s="458" customFormat="1" ht="9" customHeight="1">
      <c r="A83" s="737"/>
      <c r="B83" s="737"/>
      <c r="D83" s="480"/>
      <c r="E83" s="723"/>
      <c r="I83" s="480"/>
      <c r="J83" s="468"/>
      <c r="K83" s="723"/>
      <c r="P83" s="469"/>
    </row>
    <row r="84" spans="1:16" s="458" customFormat="1" ht="13.15" customHeight="1">
      <c r="A84" s="491" t="s">
        <v>542</v>
      </c>
      <c r="B84" s="737"/>
      <c r="C84" s="485" t="s">
        <v>1835</v>
      </c>
      <c r="D84" s="723"/>
      <c r="E84" s="723"/>
      <c r="F84" s="723"/>
      <c r="G84" s="723"/>
      <c r="H84" s="723"/>
      <c r="I84" s="480"/>
      <c r="J84" s="468"/>
      <c r="K84" s="723"/>
      <c r="P84" s="469"/>
    </row>
    <row r="85" spans="1:16" s="458" customFormat="1" ht="3.4" customHeight="1">
      <c r="A85" s="491"/>
      <c r="B85" s="737"/>
      <c r="C85" s="485"/>
      <c r="D85" s="723"/>
      <c r="E85" s="723"/>
      <c r="F85" s="723"/>
      <c r="G85" s="723"/>
      <c r="H85" s="723"/>
      <c r="I85" s="480"/>
      <c r="J85" s="468"/>
      <c r="K85" s="723"/>
    </row>
    <row r="86" spans="1:16" s="458" customFormat="1" ht="13.15" customHeight="1">
      <c r="A86" s="737"/>
      <c r="B86" s="737"/>
      <c r="C86" s="468" t="s">
        <v>848</v>
      </c>
      <c r="D86" s="723"/>
      <c r="E86" s="1444"/>
      <c r="F86" s="1445"/>
      <c r="G86" s="1445"/>
      <c r="H86" s="1445"/>
      <c r="I86" s="1445"/>
      <c r="J86" s="1445"/>
      <c r="K86" s="1445"/>
      <c r="L86" s="1446"/>
      <c r="M86" s="789" t="s">
        <v>849</v>
      </c>
      <c r="N86" s="789"/>
      <c r="O86" s="1561"/>
      <c r="P86" s="1562"/>
    </row>
    <row r="87" spans="1:16" s="458" customFormat="1" ht="13.15" customHeight="1">
      <c r="C87" s="464" t="s">
        <v>1642</v>
      </c>
      <c r="D87" s="472"/>
      <c r="E87" s="1444"/>
      <c r="F87" s="1445"/>
      <c r="G87" s="1445"/>
      <c r="H87" s="1445"/>
      <c r="I87" s="1445"/>
      <c r="J87" s="1445"/>
      <c r="K87" s="1445"/>
      <c r="L87" s="1446"/>
      <c r="M87" s="789" t="s">
        <v>1391</v>
      </c>
      <c r="N87" s="789"/>
      <c r="O87" s="1492"/>
      <c r="P87" s="1494"/>
    </row>
    <row r="88" spans="1:16" s="458" customFormat="1" ht="13.15" customHeight="1">
      <c r="C88" s="464" t="s">
        <v>954</v>
      </c>
      <c r="E88" s="1444"/>
      <c r="F88" s="1190"/>
      <c r="G88" s="1191"/>
      <c r="H88" s="715" t="s">
        <v>2831</v>
      </c>
      <c r="I88" s="1441"/>
      <c r="J88" s="493" t="s">
        <v>3354</v>
      </c>
      <c r="K88" s="1480"/>
      <c r="L88" s="1191"/>
      <c r="M88" s="418"/>
      <c r="N88" s="418"/>
      <c r="O88" s="418"/>
      <c r="P88" s="418"/>
    </row>
    <row r="89" spans="1:16" s="458" customFormat="1" ht="13.15" customHeight="1">
      <c r="C89" s="458" t="s">
        <v>3302</v>
      </c>
      <c r="E89" s="1444"/>
      <c r="F89" s="1190"/>
      <c r="G89" s="1191"/>
      <c r="H89" s="721" t="s">
        <v>3057</v>
      </c>
      <c r="I89" s="1444"/>
      <c r="J89" s="1190"/>
      <c r="K89" s="1191"/>
      <c r="L89" s="734" t="s">
        <v>3061</v>
      </c>
      <c r="M89" s="1444"/>
      <c r="N89" s="1190"/>
      <c r="O89" s="1190"/>
      <c r="P89" s="1191"/>
    </row>
    <row r="90" spans="1:16" s="458" customFormat="1" ht="13.15" customHeight="1">
      <c r="C90" s="464" t="s">
        <v>3301</v>
      </c>
      <c r="E90" s="1477"/>
      <c r="F90" s="1478"/>
      <c r="G90" s="1479"/>
      <c r="H90" s="721" t="s">
        <v>2834</v>
      </c>
      <c r="I90" s="1491"/>
      <c r="J90" s="1191"/>
      <c r="K90" s="493" t="s">
        <v>2835</v>
      </c>
      <c r="L90" s="1491"/>
      <c r="M90" s="1191"/>
      <c r="N90" s="493" t="s">
        <v>3056</v>
      </c>
      <c r="O90" s="1491"/>
      <c r="P90" s="1191"/>
    </row>
    <row r="91" spans="1:16" s="458" customFormat="1" ht="3.4" customHeight="1">
      <c r="A91" s="737"/>
      <c r="B91" s="737"/>
      <c r="G91" s="480"/>
      <c r="H91" s="721"/>
      <c r="I91" s="721"/>
      <c r="M91" s="469"/>
    </row>
    <row r="92" spans="1:16" s="458" customFormat="1" ht="13.15" customHeight="1">
      <c r="A92" s="491" t="s">
        <v>464</v>
      </c>
      <c r="B92" s="737"/>
      <c r="C92" s="717" t="s">
        <v>2666</v>
      </c>
      <c r="D92" s="480"/>
      <c r="E92" s="480"/>
      <c r="F92" s="721"/>
      <c r="G92" s="721"/>
      <c r="H92" s="721"/>
      <c r="I92" s="721"/>
      <c r="J92" s="480"/>
      <c r="K92" s="721"/>
      <c r="L92" s="721"/>
      <c r="N92" s="723"/>
      <c r="O92" s="723"/>
      <c r="P92" s="469"/>
    </row>
    <row r="93" spans="1:16" s="458" customFormat="1" ht="3.6" customHeight="1">
      <c r="A93" s="491"/>
      <c r="B93" s="737"/>
      <c r="C93" s="717"/>
      <c r="D93" s="480"/>
      <c r="E93" s="480"/>
      <c r="F93" s="721"/>
      <c r="G93" s="721"/>
      <c r="H93" s="721"/>
      <c r="I93" s="721"/>
      <c r="J93" s="480"/>
      <c r="K93" s="721"/>
      <c r="L93" s="721"/>
      <c r="N93" s="723"/>
      <c r="O93" s="723"/>
      <c r="P93" s="469"/>
    </row>
    <row r="94" spans="1:16" s="458" customFormat="1" ht="13.15" customHeight="1">
      <c r="C94" s="487" t="s">
        <v>3257</v>
      </c>
      <c r="D94" s="494"/>
      <c r="E94" s="494"/>
      <c r="F94" s="494"/>
      <c r="G94" s="494"/>
      <c r="H94" s="494"/>
      <c r="I94" s="494"/>
      <c r="J94" s="494"/>
      <c r="K94" s="494"/>
      <c r="L94" s="494"/>
      <c r="M94" s="494"/>
      <c r="N94" s="494"/>
      <c r="O94" s="494"/>
      <c r="P94" s="494"/>
    </row>
    <row r="95" spans="1:16" s="458" customFormat="1" ht="4.9000000000000004" customHeight="1">
      <c r="A95" s="737"/>
      <c r="B95" s="737"/>
      <c r="C95" s="495"/>
      <c r="D95" s="495"/>
      <c r="E95" s="495"/>
      <c r="F95" s="495"/>
      <c r="G95" s="495"/>
      <c r="H95" s="495"/>
      <c r="I95" s="495"/>
      <c r="J95" s="495"/>
      <c r="K95" s="495"/>
      <c r="L95" s="495"/>
      <c r="M95" s="495"/>
      <c r="N95" s="495"/>
      <c r="O95" s="495"/>
      <c r="P95" s="495"/>
    </row>
    <row r="96" spans="1:16" s="458" customFormat="1" ht="13.15" customHeight="1">
      <c r="A96" s="737"/>
      <c r="B96" s="737" t="s">
        <v>3060</v>
      </c>
      <c r="C96" s="717" t="s">
        <v>2123</v>
      </c>
      <c r="D96" s="718"/>
      <c r="E96" s="718"/>
      <c r="F96" s="721"/>
      <c r="G96" s="721"/>
      <c r="H96" s="1482">
        <v>1</v>
      </c>
      <c r="N96" s="723"/>
      <c r="O96" s="723"/>
    </row>
    <row r="97" spans="1:16" s="458" customFormat="1" ht="3.6" customHeight="1">
      <c r="A97" s="737"/>
      <c r="B97" s="737"/>
      <c r="C97" s="495"/>
      <c r="D97" s="495"/>
      <c r="E97" s="495"/>
      <c r="F97" s="495"/>
      <c r="G97" s="495"/>
      <c r="H97" s="495"/>
      <c r="J97" s="495"/>
      <c r="M97" s="495"/>
      <c r="N97" s="495"/>
      <c r="O97" s="495"/>
    </row>
    <row r="98" spans="1:16" s="458" customFormat="1" ht="13.15" customHeight="1">
      <c r="A98" s="737"/>
      <c r="B98" s="737" t="s">
        <v>3063</v>
      </c>
      <c r="C98" s="717" t="s">
        <v>526</v>
      </c>
      <c r="D98" s="718"/>
      <c r="E98" s="718"/>
      <c r="F98" s="721"/>
      <c r="G98" s="721"/>
      <c r="H98" s="1563">
        <v>852800</v>
      </c>
      <c r="J98" s="480"/>
      <c r="K98" s="716"/>
      <c r="N98" s="723"/>
    </row>
    <row r="99" spans="1:16" s="458" customFormat="1" ht="3.6" customHeight="1">
      <c r="A99" s="737"/>
      <c r="B99" s="737"/>
      <c r="C99" s="495"/>
      <c r="D99" s="495"/>
      <c r="E99" s="495"/>
      <c r="F99" s="495"/>
      <c r="G99" s="495"/>
      <c r="H99" s="495"/>
      <c r="I99" s="495"/>
      <c r="J99" s="495"/>
      <c r="K99" s="495"/>
      <c r="M99" s="495"/>
      <c r="N99" s="495"/>
      <c r="O99" s="495"/>
      <c r="P99" s="495"/>
    </row>
    <row r="100" spans="1:16" s="458" customFormat="1" ht="13.15" customHeight="1">
      <c r="B100" s="737" t="s">
        <v>1239</v>
      </c>
      <c r="C100" s="717" t="s">
        <v>396</v>
      </c>
      <c r="D100" s="718"/>
      <c r="E100" s="718"/>
      <c r="F100" s="721"/>
      <c r="G100" s="721"/>
      <c r="H100" s="721"/>
      <c r="I100" s="721"/>
      <c r="J100" s="480"/>
      <c r="K100" s="721"/>
      <c r="L100" s="721"/>
      <c r="N100" s="723"/>
      <c r="O100" s="723"/>
    </row>
    <row r="101" spans="1:16" s="458" customFormat="1" ht="13.15" customHeight="1">
      <c r="B101" s="737"/>
      <c r="C101" s="718" t="s">
        <v>3235</v>
      </c>
      <c r="D101" s="718"/>
      <c r="F101" s="718" t="s">
        <v>1774</v>
      </c>
      <c r="G101" s="721"/>
      <c r="H101" s="721"/>
      <c r="I101" s="721"/>
      <c r="J101" s="718" t="s">
        <v>3235</v>
      </c>
      <c r="K101" s="718"/>
      <c r="M101" s="718" t="s">
        <v>1774</v>
      </c>
      <c r="N101" s="721"/>
      <c r="O101" s="721"/>
      <c r="P101" s="721"/>
    </row>
    <row r="102" spans="1:16" s="458" customFormat="1" ht="13.15" customHeight="1">
      <c r="A102" s="737"/>
      <c r="B102" s="737"/>
      <c r="C102" s="1564" t="s">
        <v>3931</v>
      </c>
      <c r="D102" s="1565"/>
      <c r="E102" s="1565"/>
      <c r="F102" s="1565" t="s">
        <v>3924</v>
      </c>
      <c r="G102" s="1565"/>
      <c r="H102" s="1565"/>
      <c r="I102" s="1566"/>
      <c r="J102" s="1567">
        <v>8</v>
      </c>
      <c r="K102" s="1568"/>
      <c r="L102" s="1568"/>
      <c r="M102" s="1568"/>
      <c r="N102" s="1568"/>
      <c r="O102" s="1568"/>
      <c r="P102" s="1569"/>
    </row>
    <row r="103" spans="1:16" s="458" customFormat="1" ht="13.15" customHeight="1">
      <c r="A103" s="737"/>
      <c r="B103" s="737"/>
      <c r="C103" s="1564">
        <v>2</v>
      </c>
      <c r="D103" s="1565"/>
      <c r="E103" s="1565"/>
      <c r="F103" s="1565"/>
      <c r="G103" s="1565"/>
      <c r="H103" s="1565"/>
      <c r="I103" s="1566"/>
      <c r="J103" s="1564">
        <v>9</v>
      </c>
      <c r="K103" s="1565"/>
      <c r="L103" s="1565"/>
      <c r="M103" s="1565"/>
      <c r="N103" s="1565"/>
      <c r="O103" s="1565"/>
      <c r="P103" s="1566"/>
    </row>
    <row r="104" spans="1:16" s="458" customFormat="1" ht="13.15" customHeight="1">
      <c r="A104" s="737"/>
      <c r="B104" s="737"/>
      <c r="C104" s="1564">
        <v>3</v>
      </c>
      <c r="D104" s="1565"/>
      <c r="E104" s="1565"/>
      <c r="F104" s="1565"/>
      <c r="G104" s="1565"/>
      <c r="H104" s="1565"/>
      <c r="I104" s="1566"/>
      <c r="J104" s="1564">
        <v>10</v>
      </c>
      <c r="K104" s="1565"/>
      <c r="L104" s="1565"/>
      <c r="M104" s="1565"/>
      <c r="N104" s="1565"/>
      <c r="O104" s="1565"/>
      <c r="P104" s="1566"/>
    </row>
    <row r="105" spans="1:16" s="458" customFormat="1" ht="13.15" customHeight="1">
      <c r="A105" s="737"/>
      <c r="B105" s="737"/>
      <c r="C105" s="1564">
        <v>4</v>
      </c>
      <c r="D105" s="1565"/>
      <c r="E105" s="1565"/>
      <c r="F105" s="1565"/>
      <c r="G105" s="1565"/>
      <c r="H105" s="1565"/>
      <c r="I105" s="1566"/>
      <c r="J105" s="1564">
        <v>11</v>
      </c>
      <c r="K105" s="1565"/>
      <c r="L105" s="1565"/>
      <c r="M105" s="1565"/>
      <c r="N105" s="1565"/>
      <c r="O105" s="1565"/>
      <c r="P105" s="1566"/>
    </row>
    <row r="106" spans="1:16" s="458" customFormat="1" ht="13.15" customHeight="1">
      <c r="A106" s="737"/>
      <c r="B106" s="737"/>
      <c r="C106" s="1564">
        <v>5</v>
      </c>
      <c r="D106" s="1565"/>
      <c r="E106" s="1565"/>
      <c r="F106" s="1565"/>
      <c r="G106" s="1565"/>
      <c r="H106" s="1565"/>
      <c r="I106" s="1566"/>
      <c r="J106" s="1564">
        <v>12</v>
      </c>
      <c r="K106" s="1565"/>
      <c r="L106" s="1565"/>
      <c r="M106" s="1565"/>
      <c r="N106" s="1565"/>
      <c r="O106" s="1565"/>
      <c r="P106" s="1566"/>
    </row>
    <row r="107" spans="1:16" s="458" customFormat="1" ht="13.15" customHeight="1">
      <c r="A107" s="737"/>
      <c r="B107" s="737"/>
      <c r="C107" s="1564">
        <v>6</v>
      </c>
      <c r="D107" s="1565"/>
      <c r="E107" s="1565"/>
      <c r="F107" s="1565"/>
      <c r="G107" s="1565"/>
      <c r="H107" s="1565"/>
      <c r="I107" s="1566"/>
      <c r="J107" s="1564">
        <v>13</v>
      </c>
      <c r="K107" s="1565"/>
      <c r="L107" s="1565"/>
      <c r="M107" s="1565"/>
      <c r="N107" s="1565"/>
      <c r="O107" s="1565"/>
      <c r="P107" s="1566"/>
    </row>
    <row r="108" spans="1:16" s="458" customFormat="1" ht="13.15" customHeight="1">
      <c r="A108" s="737"/>
      <c r="B108" s="737"/>
      <c r="C108" s="1570">
        <v>7</v>
      </c>
      <c r="D108" s="1571"/>
      <c r="E108" s="1571"/>
      <c r="F108" s="1571"/>
      <c r="G108" s="1571"/>
      <c r="H108" s="1571"/>
      <c r="I108" s="1572"/>
      <c r="J108" s="1570">
        <v>14</v>
      </c>
      <c r="K108" s="1571"/>
      <c r="L108" s="1571"/>
      <c r="M108" s="1571"/>
      <c r="N108" s="1571"/>
      <c r="O108" s="1571"/>
      <c r="P108" s="1572"/>
    </row>
    <row r="109" spans="1:16" s="458" customFormat="1" ht="4.9000000000000004" customHeight="1">
      <c r="A109" s="737"/>
      <c r="B109" s="737"/>
      <c r="C109" s="495"/>
      <c r="D109" s="495"/>
      <c r="E109" s="495"/>
      <c r="F109" s="495"/>
      <c r="G109" s="495"/>
      <c r="H109" s="495"/>
      <c r="I109" s="495"/>
      <c r="J109" s="495"/>
      <c r="K109" s="495"/>
      <c r="L109" s="495"/>
      <c r="M109" s="495"/>
      <c r="N109" s="495"/>
      <c r="O109" s="495"/>
      <c r="P109" s="495"/>
    </row>
    <row r="110" spans="1:16" s="458" customFormat="1" ht="13.15" customHeight="1">
      <c r="A110" s="737"/>
      <c r="B110" s="737" t="s">
        <v>3212</v>
      </c>
      <c r="C110" s="775" t="s">
        <v>2900</v>
      </c>
      <c r="D110" s="775"/>
      <c r="E110" s="775"/>
      <c r="F110" s="775"/>
      <c r="G110" s="775"/>
      <c r="H110" s="775"/>
      <c r="I110" s="775"/>
      <c r="J110" s="775"/>
      <c r="K110" s="775"/>
      <c r="L110" s="775"/>
      <c r="M110" s="775"/>
      <c r="N110" s="775"/>
      <c r="O110" s="775"/>
      <c r="P110" s="775"/>
    </row>
    <row r="111" spans="1:16" s="458" customFormat="1" ht="13.15" customHeight="1">
      <c r="A111" s="737"/>
      <c r="B111" s="737"/>
      <c r="C111" s="775"/>
      <c r="D111" s="775"/>
      <c r="E111" s="775"/>
      <c r="F111" s="775"/>
      <c r="G111" s="775"/>
      <c r="H111" s="775"/>
      <c r="I111" s="775"/>
      <c r="J111" s="775"/>
      <c r="K111" s="775"/>
      <c r="L111" s="775"/>
      <c r="M111" s="775"/>
      <c r="N111" s="775"/>
      <c r="O111" s="775"/>
      <c r="P111" s="775"/>
    </row>
    <row r="112" spans="1:16" s="458" customFormat="1" ht="13.15" customHeight="1">
      <c r="B112" s="737"/>
      <c r="C112" s="718" t="s">
        <v>3235</v>
      </c>
      <c r="D112" s="718"/>
      <c r="F112" s="718" t="s">
        <v>1774</v>
      </c>
      <c r="G112" s="721"/>
      <c r="H112" s="721"/>
      <c r="I112" s="721"/>
      <c r="J112" s="718" t="s">
        <v>3235</v>
      </c>
      <c r="K112" s="718"/>
      <c r="M112" s="718" t="s">
        <v>1774</v>
      </c>
      <c r="N112" s="721"/>
      <c r="O112" s="721"/>
      <c r="P112" s="721"/>
    </row>
    <row r="113" spans="1:16" s="458" customFormat="1" ht="13.15" customHeight="1">
      <c r="A113" s="737"/>
      <c r="B113" s="737"/>
      <c r="C113" s="1567">
        <v>1</v>
      </c>
      <c r="D113" s="1568"/>
      <c r="E113" s="1568"/>
      <c r="F113" s="1568"/>
      <c r="G113" s="1568"/>
      <c r="H113" s="1568"/>
      <c r="I113" s="1569"/>
      <c r="J113" s="1567">
        <v>8</v>
      </c>
      <c r="K113" s="1568"/>
      <c r="L113" s="1568"/>
      <c r="M113" s="1568"/>
      <c r="N113" s="1568"/>
      <c r="O113" s="1568"/>
      <c r="P113" s="1569"/>
    </row>
    <row r="114" spans="1:16" s="458" customFormat="1" ht="13.15" customHeight="1">
      <c r="A114" s="737"/>
      <c r="B114" s="737"/>
      <c r="C114" s="1564">
        <v>2</v>
      </c>
      <c r="D114" s="1565"/>
      <c r="E114" s="1565"/>
      <c r="F114" s="1565"/>
      <c r="G114" s="1565"/>
      <c r="H114" s="1565"/>
      <c r="I114" s="1566"/>
      <c r="J114" s="1564">
        <v>9</v>
      </c>
      <c r="K114" s="1565"/>
      <c r="L114" s="1565"/>
      <c r="M114" s="1565"/>
      <c r="N114" s="1565"/>
      <c r="O114" s="1565"/>
      <c r="P114" s="1566"/>
    </row>
    <row r="115" spans="1:16" s="458" customFormat="1" ht="13.15" customHeight="1">
      <c r="A115" s="737"/>
      <c r="B115" s="737"/>
      <c r="C115" s="1564">
        <v>3</v>
      </c>
      <c r="D115" s="1565"/>
      <c r="E115" s="1565"/>
      <c r="F115" s="1565"/>
      <c r="G115" s="1565"/>
      <c r="H115" s="1565"/>
      <c r="I115" s="1566"/>
      <c r="J115" s="1564">
        <v>10</v>
      </c>
      <c r="K115" s="1565"/>
      <c r="L115" s="1565"/>
      <c r="M115" s="1565"/>
      <c r="N115" s="1565"/>
      <c r="O115" s="1565"/>
      <c r="P115" s="1566"/>
    </row>
    <row r="116" spans="1:16" s="458" customFormat="1" ht="13.15" customHeight="1">
      <c r="A116" s="737"/>
      <c r="B116" s="737"/>
      <c r="C116" s="1564">
        <v>4</v>
      </c>
      <c r="D116" s="1565"/>
      <c r="E116" s="1565"/>
      <c r="F116" s="1565"/>
      <c r="G116" s="1565"/>
      <c r="H116" s="1565"/>
      <c r="I116" s="1566"/>
      <c r="J116" s="1564">
        <v>11</v>
      </c>
      <c r="K116" s="1565"/>
      <c r="L116" s="1565"/>
      <c r="M116" s="1565"/>
      <c r="N116" s="1565"/>
      <c r="O116" s="1565"/>
      <c r="P116" s="1566"/>
    </row>
    <row r="117" spans="1:16" s="458" customFormat="1" ht="13.15" customHeight="1">
      <c r="A117" s="737"/>
      <c r="B117" s="737"/>
      <c r="C117" s="1564">
        <v>5</v>
      </c>
      <c r="D117" s="1565"/>
      <c r="E117" s="1565"/>
      <c r="F117" s="1565"/>
      <c r="G117" s="1565"/>
      <c r="H117" s="1565"/>
      <c r="I117" s="1566"/>
      <c r="J117" s="1564">
        <v>12</v>
      </c>
      <c r="K117" s="1565"/>
      <c r="L117" s="1565"/>
      <c r="M117" s="1565"/>
      <c r="N117" s="1565"/>
      <c r="O117" s="1565"/>
      <c r="P117" s="1566"/>
    </row>
    <row r="118" spans="1:16" s="458" customFormat="1" ht="13.15" customHeight="1">
      <c r="A118" s="737"/>
      <c r="B118" s="737"/>
      <c r="C118" s="1564">
        <v>6</v>
      </c>
      <c r="D118" s="1565"/>
      <c r="E118" s="1565"/>
      <c r="F118" s="1565"/>
      <c r="G118" s="1565"/>
      <c r="H118" s="1565"/>
      <c r="I118" s="1566"/>
      <c r="J118" s="1564">
        <v>13</v>
      </c>
      <c r="K118" s="1565"/>
      <c r="L118" s="1565"/>
      <c r="M118" s="1565"/>
      <c r="N118" s="1565"/>
      <c r="O118" s="1565"/>
      <c r="P118" s="1566"/>
    </row>
    <row r="119" spans="1:16" s="458" customFormat="1" ht="13.15" customHeight="1">
      <c r="A119" s="737"/>
      <c r="B119" s="737"/>
      <c r="C119" s="1570">
        <v>7</v>
      </c>
      <c r="D119" s="1571"/>
      <c r="E119" s="1571"/>
      <c r="F119" s="1571"/>
      <c r="G119" s="1571"/>
      <c r="H119" s="1571"/>
      <c r="I119" s="1572"/>
      <c r="J119" s="1570">
        <v>14</v>
      </c>
      <c r="K119" s="1571"/>
      <c r="L119" s="1571"/>
      <c r="M119" s="1571"/>
      <c r="N119" s="1571"/>
      <c r="O119" s="1571"/>
      <c r="P119" s="1572"/>
    </row>
    <row r="120" spans="1:16" s="458" customFormat="1" ht="6.6" customHeight="1">
      <c r="A120" s="737"/>
      <c r="B120" s="737"/>
      <c r="C120" s="718"/>
      <c r="D120" s="718"/>
      <c r="E120" s="718"/>
      <c r="F120" s="721"/>
      <c r="G120" s="721"/>
      <c r="H120" s="721"/>
      <c r="I120" s="721"/>
      <c r="J120" s="480"/>
      <c r="K120" s="721"/>
      <c r="L120" s="721"/>
      <c r="N120" s="723"/>
      <c r="O120" s="723"/>
      <c r="P120" s="469"/>
    </row>
    <row r="121" spans="1:16" s="458" customFormat="1" ht="13.15" customHeight="1">
      <c r="A121" s="491" t="s">
        <v>465</v>
      </c>
      <c r="B121" s="737"/>
      <c r="C121" s="488" t="s">
        <v>3664</v>
      </c>
      <c r="D121" s="488"/>
      <c r="E121" s="488"/>
      <c r="F121" s="488"/>
      <c r="H121" s="1441" t="s">
        <v>3923</v>
      </c>
      <c r="M121" s="721"/>
      <c r="N121" s="723"/>
      <c r="O121" s="723"/>
      <c r="P121" s="469"/>
    </row>
    <row r="122" spans="1:16" s="458" customFormat="1" ht="3.4" customHeight="1">
      <c r="A122" s="491"/>
      <c r="B122" s="737"/>
      <c r="C122" s="717"/>
      <c r="D122" s="717"/>
      <c r="E122" s="717"/>
      <c r="F122" s="717"/>
      <c r="G122" s="721"/>
      <c r="M122" s="721"/>
      <c r="N122" s="723"/>
      <c r="O122" s="723"/>
    </row>
    <row r="123" spans="1:16" s="458" customFormat="1" ht="13.15" customHeight="1">
      <c r="A123" s="737"/>
      <c r="B123" s="737" t="s">
        <v>3060</v>
      </c>
      <c r="C123" s="465" t="s">
        <v>2732</v>
      </c>
      <c r="H123" s="1441" t="s">
        <v>3923</v>
      </c>
      <c r="M123" s="721"/>
      <c r="N123" s="723"/>
      <c r="O123" s="723"/>
      <c r="P123" s="469"/>
    </row>
    <row r="124" spans="1:16" s="458" customFormat="1" ht="13.15" customHeight="1">
      <c r="A124" s="737"/>
      <c r="B124" s="737"/>
      <c r="C124" s="718" t="s">
        <v>3666</v>
      </c>
      <c r="D124" s="718"/>
      <c r="E124" s="718"/>
      <c r="F124" s="721"/>
      <c r="H124" s="1573"/>
      <c r="N124" s="723"/>
      <c r="O124" s="723"/>
      <c r="P124" s="469"/>
    </row>
    <row r="125" spans="1:16" s="458" customFormat="1" ht="13.15" customHeight="1">
      <c r="A125" s="737"/>
      <c r="B125" s="737"/>
      <c r="C125" s="496" t="s">
        <v>2731</v>
      </c>
      <c r="D125" s="464"/>
      <c r="H125" s="1444"/>
      <c r="I125" s="1446"/>
      <c r="P125" s="469"/>
    </row>
    <row r="126" spans="1:16" s="458" customFormat="1" ht="13.15" customHeight="1">
      <c r="A126" s="737"/>
      <c r="B126" s="737"/>
      <c r="C126" s="718" t="s">
        <v>3667</v>
      </c>
      <c r="D126" s="718"/>
      <c r="E126" s="718"/>
      <c r="F126" s="721"/>
      <c r="H126" s="1573"/>
      <c r="K126" s="418" t="s">
        <v>3375</v>
      </c>
      <c r="O126" s="1444" t="s">
        <v>715</v>
      </c>
      <c r="P126" s="1446"/>
    </row>
    <row r="127" spans="1:16" s="458" customFormat="1" ht="13.15" customHeight="1">
      <c r="A127" s="737"/>
      <c r="B127" s="737"/>
      <c r="C127" s="718" t="s">
        <v>3665</v>
      </c>
      <c r="F127" s="721"/>
      <c r="H127" s="1482" t="s">
        <v>3923</v>
      </c>
      <c r="K127" s="418" t="s">
        <v>3376</v>
      </c>
      <c r="O127" s="1444" t="s">
        <v>715</v>
      </c>
      <c r="P127" s="1446"/>
    </row>
    <row r="128" spans="1:16" s="458" customFormat="1" ht="13.15" customHeight="1">
      <c r="A128" s="737"/>
      <c r="B128" s="737"/>
      <c r="C128" s="718" t="s">
        <v>3273</v>
      </c>
      <c r="D128" s="718"/>
      <c r="E128" s="718"/>
      <c r="F128" s="721"/>
      <c r="H128" s="1561"/>
      <c r="I128" s="1562"/>
      <c r="N128" s="723"/>
      <c r="O128" s="723"/>
      <c r="P128" s="469"/>
    </row>
    <row r="129" spans="1:16" s="458" customFormat="1" ht="3.4" customHeight="1">
      <c r="A129" s="737"/>
      <c r="B129" s="737"/>
      <c r="C129" s="718"/>
      <c r="D129" s="718"/>
      <c r="E129" s="718"/>
      <c r="F129" s="721"/>
      <c r="N129" s="723"/>
      <c r="O129" s="723"/>
      <c r="P129" s="469"/>
    </row>
    <row r="130" spans="1:16" s="458" customFormat="1" ht="13.15" customHeight="1">
      <c r="A130" s="737"/>
      <c r="B130" s="737" t="s">
        <v>3063</v>
      </c>
      <c r="C130" s="717" t="s">
        <v>3769</v>
      </c>
      <c r="D130" s="718"/>
      <c r="E130" s="718"/>
      <c r="F130" s="721"/>
      <c r="H130" s="1482" t="s">
        <v>3923</v>
      </c>
      <c r="N130" s="723"/>
      <c r="O130" s="723"/>
      <c r="P130" s="469"/>
    </row>
    <row r="131" spans="1:16" s="458" customFormat="1" ht="3.4" customHeight="1">
      <c r="A131" s="737"/>
      <c r="B131" s="737"/>
      <c r="C131" s="718"/>
      <c r="D131" s="718"/>
      <c r="E131" s="718"/>
      <c r="F131" s="721"/>
      <c r="G131" s="721"/>
      <c r="M131" s="721"/>
      <c r="N131" s="723"/>
      <c r="O131" s="723"/>
      <c r="P131" s="469"/>
    </row>
    <row r="132" spans="1:16" s="458" customFormat="1" ht="13.15" customHeight="1">
      <c r="A132" s="737"/>
      <c r="B132" s="737" t="s">
        <v>1239</v>
      </c>
      <c r="C132" s="717" t="s">
        <v>982</v>
      </c>
      <c r="D132" s="718"/>
      <c r="E132" s="718"/>
      <c r="F132" s="721"/>
      <c r="G132" s="721"/>
      <c r="N132" s="723"/>
      <c r="O132" s="723"/>
      <c r="P132" s="469"/>
    </row>
    <row r="133" spans="1:16" s="458" customFormat="1" ht="13.15" customHeight="1">
      <c r="A133" s="737"/>
      <c r="B133" s="737"/>
      <c r="C133" s="718" t="s">
        <v>1086</v>
      </c>
      <c r="D133" s="718"/>
      <c r="E133" s="718"/>
      <c r="F133" s="721"/>
      <c r="G133" s="721"/>
      <c r="H133" s="1482" t="s">
        <v>3923</v>
      </c>
      <c r="K133" s="718" t="s">
        <v>2287</v>
      </c>
      <c r="L133" s="718"/>
      <c r="M133" s="721"/>
      <c r="N133" s="721"/>
      <c r="O133" s="1482" t="s">
        <v>3923</v>
      </c>
      <c r="P133" s="469"/>
    </row>
    <row r="134" spans="1:16" s="458" customFormat="1" ht="13.15" customHeight="1">
      <c r="A134" s="737"/>
      <c r="B134" s="737"/>
      <c r="C134" s="718" t="s">
        <v>1087</v>
      </c>
      <c r="D134" s="718"/>
      <c r="E134" s="718"/>
      <c r="F134" s="721"/>
      <c r="G134" s="721"/>
      <c r="H134" s="1482" t="s">
        <v>3923</v>
      </c>
      <c r="J134" s="718"/>
      <c r="K134" s="718"/>
      <c r="L134" s="718"/>
      <c r="M134" s="721"/>
      <c r="N134" s="721"/>
      <c r="O134" s="721"/>
      <c r="P134" s="469"/>
    </row>
    <row r="135" spans="1:16" s="458" customFormat="1" ht="6" customHeight="1">
      <c r="A135" s="737"/>
      <c r="B135" s="737"/>
      <c r="C135" s="718"/>
      <c r="D135" s="718"/>
      <c r="E135" s="718"/>
      <c r="F135" s="721"/>
      <c r="G135" s="721"/>
      <c r="H135" s="721"/>
      <c r="I135" s="721"/>
      <c r="J135" s="480"/>
      <c r="K135" s="721"/>
      <c r="L135" s="721"/>
      <c r="N135" s="723"/>
      <c r="O135" s="723"/>
      <c r="P135" s="469"/>
    </row>
    <row r="136" spans="1:16" s="458" customFormat="1" ht="13.15" customHeight="1">
      <c r="A136" s="491" t="s">
        <v>466</v>
      </c>
      <c r="B136" s="737"/>
      <c r="C136" s="488" t="s">
        <v>1836</v>
      </c>
      <c r="D136" s="488"/>
      <c r="E136" s="488"/>
      <c r="F136" s="488"/>
      <c r="G136" s="721"/>
      <c r="H136" s="721"/>
      <c r="I136" s="721"/>
      <c r="J136" s="480"/>
      <c r="K136" s="721"/>
      <c r="L136" s="721"/>
      <c r="N136" s="723"/>
      <c r="O136" s="723"/>
      <c r="P136" s="469"/>
    </row>
    <row r="137" spans="1:16" s="458" customFormat="1" ht="1.9" customHeight="1">
      <c r="A137" s="491"/>
      <c r="B137" s="737"/>
      <c r="C137" s="717"/>
      <c r="D137" s="717"/>
      <c r="E137" s="717"/>
      <c r="F137" s="717"/>
      <c r="G137" s="721"/>
      <c r="H137" s="721"/>
      <c r="I137" s="721"/>
      <c r="J137" s="480"/>
      <c r="K137" s="721"/>
      <c r="L137" s="721"/>
      <c r="N137" s="723"/>
      <c r="O137" s="723"/>
    </row>
    <row r="138" spans="1:16" s="458" customFormat="1" ht="13.15" customHeight="1">
      <c r="A138" s="737"/>
      <c r="B138" s="737" t="s">
        <v>3060</v>
      </c>
      <c r="C138" s="479" t="s">
        <v>2865</v>
      </c>
      <c r="F138" s="721"/>
      <c r="G138" s="721"/>
      <c r="H138" s="721"/>
      <c r="I138" s="721"/>
      <c r="J138" s="480"/>
      <c r="K138" s="721"/>
      <c r="L138" s="721"/>
      <c r="N138" s="723"/>
      <c r="O138" s="723"/>
      <c r="P138" s="469"/>
    </row>
    <row r="139" spans="1:16" s="458" customFormat="1" ht="12.6" customHeight="1">
      <c r="A139" s="737"/>
      <c r="B139" s="737"/>
      <c r="C139" s="487" t="s">
        <v>2279</v>
      </c>
      <c r="D139" s="480"/>
      <c r="E139" s="480"/>
      <c r="F139" s="721"/>
      <c r="G139" s="721"/>
      <c r="H139" s="721"/>
      <c r="I139" s="721"/>
      <c r="K139" s="1482" t="s">
        <v>3923</v>
      </c>
      <c r="N139" s="723"/>
      <c r="O139" s="723"/>
      <c r="P139" s="469"/>
    </row>
    <row r="140" spans="1:16" s="458" customFormat="1" ht="12.6" customHeight="1">
      <c r="A140" s="737"/>
      <c r="B140" s="737"/>
      <c r="C140" s="458" t="s">
        <v>950</v>
      </c>
      <c r="K140" s="1555"/>
      <c r="L140" s="464" t="s">
        <v>2827</v>
      </c>
      <c r="P140" s="497">
        <f>IF('Part VI-Revenues &amp; Expenses'!$M$61=0,0,$K140/'Part VI-Revenues &amp; Expenses'!$M$61)</f>
        <v>0</v>
      </c>
    </row>
    <row r="141" spans="1:16" s="458" customFormat="1" ht="12.6" customHeight="1">
      <c r="A141" s="737"/>
      <c r="B141" s="737"/>
      <c r="C141" s="458" t="s">
        <v>3274</v>
      </c>
      <c r="K141" s="1555"/>
      <c r="L141" s="464" t="s">
        <v>2827</v>
      </c>
      <c r="P141" s="497">
        <f>IF('Part VI-Revenues &amp; Expenses'!$M$61=0,0,$K141/'Part VI-Revenues &amp; Expenses'!$M$61)</f>
        <v>0</v>
      </c>
    </row>
    <row r="142" spans="1:16" s="458" customFormat="1" ht="12.6" customHeight="1">
      <c r="A142" s="737"/>
      <c r="B142" s="737"/>
      <c r="C142" s="458" t="s">
        <v>2828</v>
      </c>
      <c r="E142" s="1444"/>
      <c r="F142" s="1445"/>
      <c r="G142" s="1445"/>
      <c r="H142" s="1445"/>
      <c r="I142" s="1445"/>
      <c r="J142" s="1445"/>
      <c r="K142" s="1446"/>
      <c r="L142" s="498" t="s">
        <v>2829</v>
      </c>
      <c r="M142" s="1444"/>
      <c r="N142" s="1445"/>
      <c r="O142" s="1445"/>
      <c r="P142" s="1446"/>
    </row>
    <row r="143" spans="1:16" s="458" customFormat="1" ht="12.6" customHeight="1">
      <c r="A143" s="737"/>
      <c r="B143" s="737"/>
      <c r="C143" s="464" t="s">
        <v>2830</v>
      </c>
      <c r="D143" s="472"/>
      <c r="E143" s="1444"/>
      <c r="F143" s="1445"/>
      <c r="G143" s="1445"/>
      <c r="H143" s="1445"/>
      <c r="I143" s="1445"/>
      <c r="J143" s="1445"/>
      <c r="K143" s="1574"/>
      <c r="L143" s="716" t="s">
        <v>2832</v>
      </c>
      <c r="M143" s="1492"/>
      <c r="N143" s="1493"/>
      <c r="O143" s="1493"/>
      <c r="P143" s="1494"/>
    </row>
    <row r="144" spans="1:16" s="458" customFormat="1" ht="12.6" customHeight="1">
      <c r="A144" s="737"/>
      <c r="B144" s="737"/>
      <c r="C144" s="464" t="s">
        <v>954</v>
      </c>
      <c r="E144" s="1444"/>
      <c r="F144" s="1445"/>
      <c r="G144" s="1445"/>
      <c r="H144" s="1446"/>
      <c r="I144" s="493" t="s">
        <v>3354</v>
      </c>
      <c r="J144" s="1480"/>
      <c r="K144" s="1481"/>
      <c r="L144" s="498" t="s">
        <v>2835</v>
      </c>
      <c r="M144" s="1477"/>
      <c r="N144" s="1478"/>
      <c r="O144" s="1479"/>
    </row>
    <row r="145" spans="1:16" s="458" customFormat="1" ht="12.6" customHeight="1">
      <c r="A145" s="737"/>
      <c r="B145" s="737"/>
      <c r="C145" s="464" t="s">
        <v>2833</v>
      </c>
      <c r="E145" s="1477"/>
      <c r="F145" s="1478"/>
      <c r="G145" s="1479"/>
      <c r="H145" s="499" t="s">
        <v>2834</v>
      </c>
      <c r="I145" s="1477"/>
      <c r="J145" s="1478"/>
      <c r="K145" s="1479"/>
      <c r="L145" s="500" t="s">
        <v>3056</v>
      </c>
      <c r="M145" s="1477"/>
      <c r="N145" s="1478"/>
      <c r="O145" s="1479"/>
    </row>
    <row r="146" spans="1:16" s="458" customFormat="1" ht="1.9" customHeight="1">
      <c r="A146" s="737"/>
      <c r="B146" s="737"/>
      <c r="C146" s="464"/>
      <c r="E146" s="501"/>
      <c r="F146" s="501"/>
      <c r="G146" s="501"/>
      <c r="H146" s="721"/>
      <c r="I146" s="501"/>
      <c r="J146" s="501"/>
      <c r="K146" s="721"/>
      <c r="L146" s="501"/>
      <c r="M146" s="501"/>
      <c r="N146" s="721"/>
      <c r="O146" s="501"/>
      <c r="P146" s="501"/>
    </row>
    <row r="147" spans="1:16" s="458" customFormat="1" ht="12.6" customHeight="1">
      <c r="A147" s="737"/>
      <c r="B147" s="737" t="s">
        <v>3063</v>
      </c>
      <c r="C147" s="717" t="s">
        <v>2373</v>
      </c>
      <c r="D147" s="717"/>
      <c r="E147" s="717"/>
      <c r="F147" s="717"/>
      <c r="G147" s="717"/>
      <c r="I147" s="1482" t="s">
        <v>3923</v>
      </c>
      <c r="J147" s="800" t="s">
        <v>1254</v>
      </c>
      <c r="K147" s="801"/>
      <c r="L147" s="1482"/>
      <c r="M147" s="797" t="s">
        <v>3471</v>
      </c>
      <c r="N147" s="798"/>
      <c r="O147" s="799"/>
      <c r="P147" s="1573"/>
    </row>
    <row r="148" spans="1:16" s="458" customFormat="1" ht="1.9" customHeight="1">
      <c r="A148" s="737"/>
      <c r="B148" s="737"/>
      <c r="C148" s="717"/>
      <c r="D148" s="717"/>
      <c r="E148" s="461"/>
      <c r="F148" s="717"/>
      <c r="G148" s="717"/>
      <c r="J148" s="468"/>
      <c r="K148" s="502"/>
      <c r="M148" s="723"/>
      <c r="O148" s="721"/>
      <c r="P148" s="469"/>
    </row>
    <row r="149" spans="1:16" s="458" customFormat="1" ht="12.6" customHeight="1">
      <c r="A149" s="737"/>
      <c r="B149" s="737" t="s">
        <v>1239</v>
      </c>
      <c r="C149" s="717" t="s">
        <v>2786</v>
      </c>
      <c r="D149" s="717"/>
      <c r="E149" s="717"/>
      <c r="F149" s="717"/>
      <c r="G149" s="717"/>
      <c r="I149" s="1482" t="s">
        <v>3923</v>
      </c>
      <c r="L149" s="418"/>
      <c r="M149" s="418"/>
      <c r="P149" s="469"/>
    </row>
    <row r="150" spans="1:16" s="458" customFormat="1" ht="1.9" customHeight="1">
      <c r="A150" s="737"/>
      <c r="B150" s="737"/>
      <c r="C150" s="464"/>
      <c r="E150" s="501"/>
      <c r="F150" s="501"/>
      <c r="G150" s="501"/>
      <c r="H150" s="721"/>
      <c r="I150" s="501"/>
      <c r="J150" s="501"/>
      <c r="K150" s="721"/>
      <c r="L150" s="501"/>
      <c r="M150" s="501"/>
      <c r="N150" s="721"/>
      <c r="O150" s="501"/>
      <c r="P150" s="501"/>
    </row>
    <row r="151" spans="1:16" s="458" customFormat="1" ht="12.6" customHeight="1">
      <c r="A151" s="737"/>
      <c r="B151" s="737" t="s">
        <v>3212</v>
      </c>
      <c r="C151" s="791" t="s">
        <v>3055</v>
      </c>
      <c r="D151" s="791"/>
      <c r="E151" s="791"/>
      <c r="F151" s="791"/>
      <c r="G151" s="717"/>
      <c r="I151" s="1482" t="s">
        <v>3923</v>
      </c>
    </row>
    <row r="152" spans="1:16" s="458" customFormat="1" ht="12.6" customHeight="1">
      <c r="B152" s="737"/>
      <c r="C152" s="790" t="s">
        <v>2210</v>
      </c>
      <c r="D152" s="790"/>
      <c r="E152" s="717"/>
      <c r="F152" s="717"/>
      <c r="G152" s="717"/>
      <c r="I152" s="1575"/>
    </row>
    <row r="153" spans="1:16" s="458" customFormat="1" ht="12.6" customHeight="1">
      <c r="A153" s="737"/>
      <c r="B153" s="737"/>
      <c r="C153" s="776" t="s">
        <v>1380</v>
      </c>
      <c r="D153" s="776"/>
      <c r="E153" s="461"/>
      <c r="F153" s="717"/>
      <c r="G153" s="717"/>
      <c r="I153" s="1575"/>
      <c r="K153" s="468"/>
      <c r="P153" s="469"/>
    </row>
    <row r="154" spans="1:16" s="458" customFormat="1" ht="12.6" customHeight="1">
      <c r="B154" s="737"/>
      <c r="C154" s="776" t="s">
        <v>2823</v>
      </c>
      <c r="D154" s="776"/>
      <c r="E154" s="461"/>
      <c r="F154" s="717"/>
      <c r="G154" s="717"/>
      <c r="I154" s="503" t="str">
        <f>IF(I152="","",I153/I152)</f>
        <v/>
      </c>
      <c r="K154" s="468"/>
      <c r="M154" s="723"/>
      <c r="P154" s="469"/>
    </row>
    <row r="155" spans="1:16" s="458" customFormat="1" ht="1.9" customHeight="1">
      <c r="A155" s="737"/>
      <c r="B155" s="737"/>
      <c r="C155" s="717"/>
      <c r="D155" s="717"/>
      <c r="E155" s="461"/>
      <c r="F155" s="717"/>
      <c r="G155" s="717"/>
      <c r="H155" s="502"/>
      <c r="J155" s="468"/>
      <c r="K155" s="480"/>
      <c r="M155" s="723"/>
      <c r="O155" s="721"/>
      <c r="P155" s="469"/>
    </row>
    <row r="156" spans="1:16" s="458" customFormat="1" ht="13.15" customHeight="1">
      <c r="A156" s="737"/>
      <c r="B156" s="737" t="s">
        <v>2763</v>
      </c>
      <c r="C156" s="395" t="s">
        <v>2374</v>
      </c>
      <c r="D156" s="718"/>
      <c r="E156" s="718"/>
      <c r="F156" s="718"/>
      <c r="G156" s="718"/>
      <c r="H156" s="721"/>
      <c r="J156" s="468"/>
      <c r="K156" s="480"/>
      <c r="M156" s="723"/>
      <c r="O156" s="721"/>
      <c r="P156" s="469"/>
    </row>
    <row r="157" spans="1:16" s="458" customFormat="1" ht="12.6" customHeight="1">
      <c r="A157" s="737"/>
      <c r="B157" s="737"/>
      <c r="C157" s="723" t="s">
        <v>3328</v>
      </c>
      <c r="D157" s="470"/>
      <c r="E157" s="723"/>
      <c r="F157" s="723"/>
      <c r="I157" s="1482"/>
      <c r="L157" s="723" t="s">
        <v>3327</v>
      </c>
      <c r="P157" s="1482"/>
    </row>
    <row r="158" spans="1:16" s="458" customFormat="1" ht="12.6" customHeight="1">
      <c r="A158" s="737"/>
      <c r="B158" s="737"/>
      <c r="C158" s="723" t="s">
        <v>3330</v>
      </c>
      <c r="I158" s="1482"/>
      <c r="L158" s="723" t="s">
        <v>2376</v>
      </c>
      <c r="P158" s="1482"/>
    </row>
    <row r="159" spans="1:16" s="458" customFormat="1" ht="12.6" customHeight="1">
      <c r="A159" s="737"/>
      <c r="C159" s="723" t="s">
        <v>1980</v>
      </c>
      <c r="D159" s="505"/>
      <c r="I159" s="1482" t="s">
        <v>3919</v>
      </c>
      <c r="L159" s="723" t="s">
        <v>2545</v>
      </c>
      <c r="P159" s="1482"/>
    </row>
    <row r="160" spans="1:16" s="458" customFormat="1" ht="12.6" customHeight="1">
      <c r="A160" s="737"/>
      <c r="B160" s="737"/>
      <c r="C160" s="723" t="s">
        <v>2375</v>
      </c>
      <c r="D160" s="470"/>
      <c r="E160" s="723"/>
      <c r="F160" s="723"/>
      <c r="I160" s="1482" t="s">
        <v>3919</v>
      </c>
      <c r="K160" s="470"/>
      <c r="L160" s="723" t="s">
        <v>2290</v>
      </c>
      <c r="M160" s="723"/>
      <c r="P160" s="1482"/>
    </row>
    <row r="161" spans="1:16" s="458" customFormat="1" ht="12.6" customHeight="1">
      <c r="A161" s="737"/>
      <c r="B161" s="737"/>
      <c r="C161" s="723" t="s">
        <v>2377</v>
      </c>
      <c r="D161" s="470"/>
      <c r="E161" s="723"/>
      <c r="F161" s="723"/>
      <c r="I161" s="1482" t="s">
        <v>3919</v>
      </c>
      <c r="K161" s="470"/>
      <c r="L161" s="723"/>
      <c r="M161" s="723"/>
    </row>
    <row r="162" spans="1:16" s="458" customFormat="1" ht="12.6" customHeight="1">
      <c r="A162" s="737"/>
      <c r="B162" s="461"/>
      <c r="C162" s="723" t="s">
        <v>2845</v>
      </c>
      <c r="D162" s="470"/>
      <c r="I162" s="1482"/>
      <c r="J162" s="504" t="s">
        <v>3374</v>
      </c>
      <c r="O162" s="1576"/>
      <c r="P162" s="1577"/>
    </row>
    <row r="163" spans="1:16" s="458" customFormat="1" ht="12.6" customHeight="1">
      <c r="A163" s="737"/>
      <c r="B163" s="737"/>
      <c r="C163" s="723" t="s">
        <v>3410</v>
      </c>
      <c r="E163" s="1556"/>
      <c r="F163" s="1578"/>
      <c r="G163" s="1578"/>
      <c r="H163" s="1557"/>
      <c r="I163" s="1482"/>
    </row>
    <row r="164" spans="1:16" s="458" customFormat="1" ht="1.9" customHeight="1">
      <c r="A164" s="737"/>
      <c r="B164" s="737"/>
      <c r="P164" s="468"/>
    </row>
    <row r="165" spans="1:16" s="458" customFormat="1" ht="13.15" customHeight="1">
      <c r="B165" s="737" t="s">
        <v>2764</v>
      </c>
      <c r="C165" s="465" t="s">
        <v>1229</v>
      </c>
    </row>
    <row r="166" spans="1:16" s="458" customFormat="1" ht="12.6" customHeight="1">
      <c r="A166" s="737"/>
      <c r="B166" s="737"/>
      <c r="C166" s="464" t="s">
        <v>976</v>
      </c>
      <c r="D166" s="718"/>
      <c r="E166" s="718"/>
      <c r="F166" s="721"/>
      <c r="G166" s="721"/>
      <c r="I166" s="1561"/>
      <c r="J166" s="1562"/>
      <c r="N166" s="723"/>
      <c r="O166" s="723"/>
      <c r="P166" s="469"/>
    </row>
    <row r="167" spans="1:16" s="458" customFormat="1" ht="12.6" customHeight="1">
      <c r="A167" s="737"/>
      <c r="B167" s="737"/>
      <c r="C167" s="464" t="s">
        <v>368</v>
      </c>
      <c r="D167" s="718"/>
      <c r="E167" s="718"/>
      <c r="F167" s="721"/>
      <c r="G167" s="721"/>
      <c r="I167" s="1561"/>
      <c r="J167" s="1562"/>
      <c r="N167" s="723"/>
      <c r="O167" s="723"/>
      <c r="P167" s="469"/>
    </row>
    <row r="168" spans="1:16" s="458" customFormat="1" ht="12.6" customHeight="1">
      <c r="A168" s="737"/>
      <c r="B168" s="737"/>
      <c r="C168" s="464" t="s">
        <v>3436</v>
      </c>
      <c r="D168" s="718"/>
      <c r="E168" s="718"/>
      <c r="F168" s="721"/>
      <c r="G168" s="721"/>
      <c r="I168" s="1561">
        <v>41487</v>
      </c>
      <c r="J168" s="1562"/>
      <c r="N168" s="723"/>
      <c r="O168" s="723"/>
      <c r="P168" s="469"/>
    </row>
    <row r="169" spans="1:16" s="458" customFormat="1" ht="1.9" customHeight="1">
      <c r="B169" s="461"/>
      <c r="C169" s="723"/>
      <c r="H169" s="723"/>
      <c r="L169" s="482"/>
      <c r="M169" s="482"/>
      <c r="N169" s="482"/>
      <c r="O169" s="482"/>
      <c r="P169" s="466"/>
    </row>
    <row r="170" spans="1:16" ht="12.4" customHeight="1">
      <c r="A170" s="491" t="s">
        <v>2753</v>
      </c>
      <c r="C170" s="491" t="s">
        <v>880</v>
      </c>
      <c r="K170" s="491" t="s">
        <v>3381</v>
      </c>
      <c r="L170" s="491" t="s">
        <v>89</v>
      </c>
    </row>
    <row r="171" spans="1:16" ht="38.450000000000003" customHeight="1">
      <c r="A171" s="1294" t="s">
        <v>3932</v>
      </c>
      <c r="B171" s="1353"/>
      <c r="C171" s="1353"/>
      <c r="D171" s="1353"/>
      <c r="E171" s="1353"/>
      <c r="F171" s="1353"/>
      <c r="G171" s="1353"/>
      <c r="H171" s="1353"/>
      <c r="I171" s="1353"/>
      <c r="J171" s="1354"/>
      <c r="K171" s="1293"/>
      <c r="L171" s="1351"/>
      <c r="M171" s="1351"/>
      <c r="N171" s="1351"/>
      <c r="O171" s="1351"/>
      <c r="P171" s="1352"/>
    </row>
    <row r="172" spans="1:16" ht="38.450000000000003" customHeight="1">
      <c r="A172" s="1294"/>
      <c r="B172" s="1353"/>
      <c r="C172" s="1353"/>
      <c r="D172" s="1353"/>
      <c r="E172" s="1353"/>
      <c r="F172" s="1353"/>
      <c r="G172" s="1353"/>
      <c r="H172" s="1353"/>
      <c r="I172" s="1353"/>
      <c r="J172" s="1354"/>
      <c r="K172" s="1297"/>
      <c r="L172" s="1355"/>
      <c r="M172" s="1355"/>
      <c r="N172" s="1355"/>
      <c r="O172" s="1355"/>
      <c r="P172" s="1356"/>
    </row>
    <row r="173" spans="1:16" ht="38.450000000000003" customHeight="1">
      <c r="A173" s="1298"/>
      <c r="B173" s="1357"/>
      <c r="C173" s="1357"/>
      <c r="D173" s="1357"/>
      <c r="E173" s="1357"/>
      <c r="F173" s="1357"/>
      <c r="G173" s="1357"/>
      <c r="H173" s="1357"/>
      <c r="I173" s="1357"/>
      <c r="J173" s="1358"/>
      <c r="K173" s="1301"/>
      <c r="L173" s="1359"/>
      <c r="M173" s="1359"/>
      <c r="N173" s="1359"/>
      <c r="O173" s="1359"/>
      <c r="P173" s="1360"/>
    </row>
    <row r="181" spans="1:27" ht="12.4"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2831</v>
      </c>
      <c r="C182" s="623" t="s">
        <v>1869</v>
      </c>
      <c r="D182" s="623" t="s">
        <v>1870</v>
      </c>
      <c r="E182" s="623" t="s">
        <v>1871</v>
      </c>
      <c r="F182" s="623" t="s">
        <v>1793</v>
      </c>
      <c r="G182" s="623" t="s">
        <v>539</v>
      </c>
      <c r="H182" s="624" t="s">
        <v>1801</v>
      </c>
      <c r="I182" s="625"/>
      <c r="J182" s="623" t="s">
        <v>3637</v>
      </c>
      <c r="K182" s="623"/>
      <c r="L182" s="626"/>
      <c r="M182" s="627"/>
      <c r="N182" s="627" t="s">
        <v>954</v>
      </c>
      <c r="O182" s="628" t="s">
        <v>955</v>
      </c>
      <c r="P182" s="627" t="s">
        <v>3243</v>
      </c>
      <c r="Q182" s="611"/>
      <c r="S182" s="611"/>
      <c r="T182" s="629" t="s">
        <v>624</v>
      </c>
      <c r="U182" s="628" t="s">
        <v>955</v>
      </c>
      <c r="V182" s="611"/>
      <c r="W182" s="611"/>
      <c r="X182" s="611"/>
      <c r="Y182" s="611"/>
      <c r="Z182" s="611"/>
      <c r="AA182" s="611"/>
    </row>
    <row r="183" spans="1:27" ht="12.4" customHeight="1">
      <c r="A183" s="611"/>
      <c r="B183" s="507" t="s">
        <v>1429</v>
      </c>
      <c r="C183" s="507" t="s">
        <v>1872</v>
      </c>
      <c r="D183" s="507" t="s">
        <v>1873</v>
      </c>
      <c r="E183" s="630" t="s">
        <v>1874</v>
      </c>
      <c r="F183" s="630"/>
      <c r="G183" s="631" t="s">
        <v>1802</v>
      </c>
      <c r="H183" s="632" t="s">
        <v>537</v>
      </c>
      <c r="I183" s="633"/>
      <c r="J183" s="634" t="s">
        <v>2274</v>
      </c>
      <c r="K183" s="635"/>
      <c r="L183" s="626"/>
      <c r="M183" s="627"/>
      <c r="N183" s="636" t="s">
        <v>3638</v>
      </c>
      <c r="O183" s="636" t="s">
        <v>3027</v>
      </c>
      <c r="P183" s="507" t="s">
        <v>2379</v>
      </c>
      <c r="Q183" s="611"/>
      <c r="S183" s="611"/>
      <c r="T183" s="636" t="s">
        <v>1894</v>
      </c>
      <c r="U183" s="636" t="s">
        <v>1739</v>
      </c>
      <c r="V183" s="611"/>
      <c r="W183" s="611"/>
      <c r="X183" s="611"/>
      <c r="Y183" s="611"/>
      <c r="Z183" s="611"/>
      <c r="AA183" s="611"/>
    </row>
    <row r="184" spans="1:27" ht="12.4" customHeight="1">
      <c r="A184" s="611"/>
      <c r="B184" s="507" t="s">
        <v>1430</v>
      </c>
      <c r="C184" s="507" t="s">
        <v>2807</v>
      </c>
      <c r="D184" s="507" t="s">
        <v>1873</v>
      </c>
      <c r="E184" s="630" t="s">
        <v>2808</v>
      </c>
      <c r="F184" s="630"/>
      <c r="G184" s="631" t="s">
        <v>1803</v>
      </c>
      <c r="H184" s="632" t="s">
        <v>537</v>
      </c>
      <c r="I184" s="633"/>
      <c r="J184" s="634" t="s">
        <v>2276</v>
      </c>
      <c r="K184" s="635"/>
      <c r="L184" s="626"/>
      <c r="M184" s="627"/>
      <c r="N184" s="636" t="s">
        <v>2275</v>
      </c>
      <c r="O184" s="636" t="s">
        <v>3761</v>
      </c>
      <c r="P184" s="507" t="s">
        <v>2380</v>
      </c>
      <c r="Q184" s="611"/>
      <c r="S184" s="611"/>
      <c r="T184" s="636" t="s">
        <v>844</v>
      </c>
      <c r="U184" s="636" t="s">
        <v>216</v>
      </c>
      <c r="V184" s="611"/>
      <c r="W184" s="611"/>
      <c r="X184" s="611"/>
      <c r="Y184" s="611"/>
      <c r="Z184" s="611"/>
      <c r="AA184" s="611"/>
    </row>
    <row r="185" spans="1:27" ht="12.4" customHeight="1">
      <c r="A185" s="611"/>
      <c r="B185" s="507" t="s">
        <v>1431</v>
      </c>
      <c r="C185" s="507" t="s">
        <v>2809</v>
      </c>
      <c r="D185" s="507" t="s">
        <v>1873</v>
      </c>
      <c r="E185" s="630" t="s">
        <v>2810</v>
      </c>
      <c r="F185" s="630"/>
      <c r="G185" s="631" t="s">
        <v>1804</v>
      </c>
      <c r="H185" s="632" t="s">
        <v>537</v>
      </c>
      <c r="I185" s="633"/>
      <c r="J185" s="634" t="s">
        <v>677</v>
      </c>
      <c r="K185" s="635"/>
      <c r="L185" s="626"/>
      <c r="M185" s="627"/>
      <c r="N185" s="636" t="s">
        <v>1541</v>
      </c>
      <c r="O185" s="636" t="s">
        <v>2016</v>
      </c>
      <c r="P185" s="507" t="s">
        <v>2381</v>
      </c>
      <c r="Q185" s="611"/>
      <c r="S185" s="611"/>
      <c r="T185" s="636" t="s">
        <v>1499</v>
      </c>
      <c r="U185" s="636" t="s">
        <v>1735</v>
      </c>
      <c r="V185" s="611"/>
      <c r="W185" s="611"/>
      <c r="X185" s="611"/>
      <c r="Y185" s="611"/>
      <c r="Z185" s="611"/>
      <c r="AA185" s="611"/>
    </row>
    <row r="186" spans="1:27" ht="12.4" customHeight="1">
      <c r="A186" s="611"/>
      <c r="B186" s="507" t="s">
        <v>1432</v>
      </c>
      <c r="C186" s="507" t="s">
        <v>2811</v>
      </c>
      <c r="D186" s="507" t="s">
        <v>1873</v>
      </c>
      <c r="E186" s="637" t="s">
        <v>2812</v>
      </c>
      <c r="F186" s="637"/>
      <c r="G186" s="631" t="s">
        <v>1805</v>
      </c>
      <c r="H186" s="632" t="s">
        <v>538</v>
      </c>
      <c r="I186" s="638"/>
      <c r="J186" s="634" t="s">
        <v>3176</v>
      </c>
      <c r="K186" s="635"/>
      <c r="L186" s="626"/>
      <c r="M186" s="627"/>
      <c r="N186" s="636" t="s">
        <v>678</v>
      </c>
      <c r="O186" s="636" t="s">
        <v>3817</v>
      </c>
      <c r="P186" s="507" t="s">
        <v>2382</v>
      </c>
      <c r="Q186" s="611"/>
      <c r="S186" s="611"/>
      <c r="T186" s="636" t="s">
        <v>2370</v>
      </c>
      <c r="U186" s="636" t="s">
        <v>3816</v>
      </c>
      <c r="V186" s="611"/>
      <c r="W186" s="611"/>
      <c r="X186" s="611"/>
      <c r="Y186" s="611"/>
      <c r="Z186" s="611"/>
      <c r="AA186" s="611"/>
    </row>
    <row r="187" spans="1:27" ht="12.4" customHeight="1">
      <c r="A187" s="611"/>
      <c r="B187" s="507" t="s">
        <v>1433</v>
      </c>
      <c r="C187" s="507" t="s">
        <v>2813</v>
      </c>
      <c r="D187" s="507" t="s">
        <v>2037</v>
      </c>
      <c r="E187" s="637" t="s">
        <v>212</v>
      </c>
      <c r="F187" s="637"/>
      <c r="G187" s="631" t="s">
        <v>1806</v>
      </c>
      <c r="H187" s="632" t="s">
        <v>537</v>
      </c>
      <c r="I187" s="638"/>
      <c r="J187" s="634" t="s">
        <v>3178</v>
      </c>
      <c r="K187" s="635"/>
      <c r="L187" s="626"/>
      <c r="M187" s="627"/>
      <c r="N187" s="636" t="s">
        <v>3177</v>
      </c>
      <c r="O187" s="636" t="s">
        <v>428</v>
      </c>
      <c r="P187" s="507" t="s">
        <v>2383</v>
      </c>
      <c r="Q187" s="611"/>
      <c r="S187" s="611"/>
      <c r="T187" s="636" t="s">
        <v>2853</v>
      </c>
      <c r="U187" s="636" t="s">
        <v>124</v>
      </c>
      <c r="V187" s="611"/>
      <c r="W187" s="611"/>
      <c r="X187" s="611"/>
      <c r="Y187" s="611"/>
      <c r="Z187" s="611"/>
      <c r="AA187" s="611"/>
    </row>
    <row r="188" spans="1:27" ht="12.4" customHeight="1">
      <c r="A188" s="611"/>
      <c r="B188" s="507" t="s">
        <v>1434</v>
      </c>
      <c r="C188" s="507" t="s">
        <v>2012</v>
      </c>
      <c r="D188" s="507" t="s">
        <v>2013</v>
      </c>
      <c r="E188" s="630" t="s">
        <v>2014</v>
      </c>
      <c r="F188" s="630"/>
      <c r="G188" s="631" t="s">
        <v>2866</v>
      </c>
      <c r="H188" s="632" t="s">
        <v>537</v>
      </c>
      <c r="I188" s="633"/>
      <c r="J188" s="634" t="s">
        <v>3180</v>
      </c>
      <c r="K188" s="635"/>
      <c r="L188" s="626"/>
      <c r="M188" s="627"/>
      <c r="N188" s="636" t="s">
        <v>3179</v>
      </c>
      <c r="O188" s="636" t="s">
        <v>241</v>
      </c>
      <c r="P188" s="507" t="s">
        <v>2384</v>
      </c>
      <c r="Q188" s="611"/>
      <c r="S188" s="611"/>
      <c r="T188" s="636" t="s">
        <v>3222</v>
      </c>
      <c r="U188" s="636" t="s">
        <v>120</v>
      </c>
      <c r="V188" s="611"/>
      <c r="W188" s="611"/>
      <c r="X188" s="611"/>
      <c r="Y188" s="611"/>
      <c r="Z188" s="611"/>
      <c r="AA188" s="611"/>
    </row>
    <row r="189" spans="1:27" ht="12.4" customHeight="1">
      <c r="A189" s="611"/>
      <c r="B189" s="507" t="s">
        <v>1435</v>
      </c>
      <c r="C189" s="507" t="s">
        <v>2015</v>
      </c>
      <c r="D189" s="507" t="s">
        <v>2037</v>
      </c>
      <c r="E189" s="637" t="s">
        <v>1340</v>
      </c>
      <c r="F189" s="637"/>
      <c r="G189" s="631" t="s">
        <v>3886</v>
      </c>
      <c r="H189" s="632" t="s">
        <v>538</v>
      </c>
      <c r="I189" s="638"/>
      <c r="J189" s="634" t="s">
        <v>3182</v>
      </c>
      <c r="K189" s="635"/>
      <c r="L189" s="626"/>
      <c r="M189" s="627"/>
      <c r="N189" s="636" t="s">
        <v>3181</v>
      </c>
      <c r="O189" s="636" t="s">
        <v>126</v>
      </c>
      <c r="P189" s="507" t="s">
        <v>2385</v>
      </c>
      <c r="Q189" s="611"/>
      <c r="S189" s="611"/>
      <c r="T189" s="636" t="s">
        <v>393</v>
      </c>
      <c r="U189" s="636" t="s">
        <v>124</v>
      </c>
      <c r="V189" s="611"/>
      <c r="W189" s="611"/>
      <c r="X189" s="611"/>
      <c r="Y189" s="611"/>
      <c r="Z189" s="611"/>
      <c r="AA189" s="611"/>
    </row>
    <row r="190" spans="1:27" ht="12.4" customHeight="1">
      <c r="A190" s="611"/>
      <c r="B190" s="507" t="s">
        <v>1436</v>
      </c>
      <c r="C190" s="507" t="s">
        <v>2016</v>
      </c>
      <c r="D190" s="507" t="s">
        <v>2013</v>
      </c>
      <c r="E190" s="637" t="s">
        <v>1340</v>
      </c>
      <c r="F190" s="637"/>
      <c r="G190" s="631" t="s">
        <v>3886</v>
      </c>
      <c r="H190" s="632" t="s">
        <v>538</v>
      </c>
      <c r="I190" s="638"/>
      <c r="J190" s="634" t="s">
        <v>3184</v>
      </c>
      <c r="K190" s="635"/>
      <c r="L190" s="626"/>
      <c r="M190" s="627"/>
      <c r="N190" s="636" t="s">
        <v>3183</v>
      </c>
      <c r="O190" s="636" t="s">
        <v>2019</v>
      </c>
      <c r="P190" s="507" t="s">
        <v>2386</v>
      </c>
      <c r="Q190" s="631"/>
      <c r="S190" s="611"/>
      <c r="T190" s="611"/>
      <c r="U190" s="611"/>
      <c r="V190" s="611"/>
      <c r="W190" s="611"/>
      <c r="X190" s="611"/>
      <c r="Y190" s="611"/>
      <c r="Z190" s="611"/>
      <c r="AA190" s="611"/>
    </row>
    <row r="191" spans="1:27" ht="12.4" customHeight="1">
      <c r="A191" s="611"/>
      <c r="B191" s="507" t="s">
        <v>1437</v>
      </c>
      <c r="C191" s="507" t="s">
        <v>2017</v>
      </c>
      <c r="D191" s="507" t="s">
        <v>1873</v>
      </c>
      <c r="E191" s="630" t="s">
        <v>2018</v>
      </c>
      <c r="F191" s="630"/>
      <c r="G191" s="631" t="s">
        <v>3887</v>
      </c>
      <c r="H191" s="632" t="s">
        <v>537</v>
      </c>
      <c r="I191" s="633"/>
      <c r="J191" s="634" t="s">
        <v>3039</v>
      </c>
      <c r="K191" s="639"/>
      <c r="L191" s="626"/>
      <c r="M191" s="627"/>
      <c r="N191" s="636" t="s">
        <v>2812</v>
      </c>
      <c r="O191" s="636" t="s">
        <v>1552</v>
      </c>
      <c r="P191" s="507" t="s">
        <v>2387</v>
      </c>
      <c r="Q191" s="631"/>
      <c r="S191" s="611"/>
      <c r="T191" s="611"/>
      <c r="U191" s="611"/>
      <c r="V191" s="611"/>
      <c r="W191" s="611"/>
      <c r="X191" s="611"/>
      <c r="Y191" s="611"/>
      <c r="Z191" s="611"/>
      <c r="AA191" s="611"/>
    </row>
    <row r="192" spans="1:27" ht="12.4" customHeight="1">
      <c r="A192" s="611"/>
      <c r="B192" s="507" t="s">
        <v>1438</v>
      </c>
      <c r="C192" s="507" t="s">
        <v>2019</v>
      </c>
      <c r="D192" s="507" t="s">
        <v>1873</v>
      </c>
      <c r="E192" s="630" t="s">
        <v>2020</v>
      </c>
      <c r="F192" s="630"/>
      <c r="G192" s="631" t="s">
        <v>3888</v>
      </c>
      <c r="H192" s="632" t="s">
        <v>537</v>
      </c>
      <c r="I192" s="633"/>
      <c r="J192" s="634" t="s">
        <v>237</v>
      </c>
      <c r="K192" s="639"/>
      <c r="L192" s="507"/>
      <c r="M192" s="627"/>
      <c r="N192" s="636" t="s">
        <v>3040</v>
      </c>
      <c r="O192" s="636" t="s">
        <v>635</v>
      </c>
      <c r="P192" s="507" t="s">
        <v>2388</v>
      </c>
      <c r="Q192" s="631"/>
      <c r="S192" s="611"/>
      <c r="T192" s="611"/>
      <c r="U192" s="611"/>
      <c r="V192" s="611"/>
      <c r="W192" s="611"/>
      <c r="X192" s="611"/>
      <c r="Y192" s="611"/>
      <c r="Z192" s="611"/>
      <c r="AA192" s="611"/>
    </row>
    <row r="193" spans="1:27" ht="12.4" customHeight="1">
      <c r="A193" s="611"/>
      <c r="B193" s="507" t="s">
        <v>1439</v>
      </c>
      <c r="C193" s="507" t="s">
        <v>2021</v>
      </c>
      <c r="D193" s="507" t="s">
        <v>2037</v>
      </c>
      <c r="E193" s="637" t="s">
        <v>2022</v>
      </c>
      <c r="F193" s="637"/>
      <c r="G193" s="631" t="s">
        <v>3889</v>
      </c>
      <c r="H193" s="632" t="s">
        <v>538</v>
      </c>
      <c r="I193" s="638"/>
      <c r="J193" s="634" t="s">
        <v>239</v>
      </c>
      <c r="K193" s="639"/>
      <c r="L193" s="626"/>
      <c r="M193" s="627"/>
      <c r="N193" s="636" t="s">
        <v>238</v>
      </c>
      <c r="O193" s="636" t="s">
        <v>2182</v>
      </c>
      <c r="P193" s="507" t="s">
        <v>2389</v>
      </c>
      <c r="Q193" s="631"/>
      <c r="S193" s="611"/>
      <c r="T193" s="611"/>
      <c r="U193" s="611"/>
      <c r="V193" s="611"/>
      <c r="W193" s="611"/>
      <c r="X193" s="611"/>
      <c r="Y193" s="611"/>
      <c r="Z193" s="611"/>
      <c r="AA193" s="611"/>
    </row>
    <row r="194" spans="1:27" ht="12.4" customHeight="1">
      <c r="A194" s="611"/>
      <c r="B194" s="507" t="s">
        <v>1440</v>
      </c>
      <c r="C194" s="507" t="s">
        <v>2023</v>
      </c>
      <c r="D194" s="507" t="s">
        <v>1873</v>
      </c>
      <c r="E194" s="637" t="s">
        <v>2024</v>
      </c>
      <c r="F194" s="637"/>
      <c r="G194" s="631" t="s">
        <v>3890</v>
      </c>
      <c r="H194" s="632" t="s">
        <v>537</v>
      </c>
      <c r="I194" s="638"/>
      <c r="J194" s="634" t="s">
        <v>658</v>
      </c>
      <c r="K194" s="635"/>
      <c r="L194" s="626"/>
      <c r="M194" s="627"/>
      <c r="N194" s="636" t="s">
        <v>240</v>
      </c>
      <c r="O194" s="636" t="s">
        <v>3634</v>
      </c>
      <c r="P194" s="507" t="s">
        <v>2390</v>
      </c>
      <c r="Q194" s="631"/>
      <c r="S194" s="611"/>
      <c r="T194" s="611"/>
      <c r="U194" s="611"/>
      <c r="V194" s="611"/>
      <c r="W194" s="611"/>
      <c r="X194" s="611"/>
      <c r="Y194" s="611"/>
      <c r="Z194" s="611"/>
      <c r="AA194" s="611"/>
    </row>
    <row r="195" spans="1:27" ht="12.4" customHeight="1">
      <c r="A195" s="611"/>
      <c r="B195" s="507" t="s">
        <v>1441</v>
      </c>
      <c r="C195" s="507" t="s">
        <v>2025</v>
      </c>
      <c r="D195" s="507" t="s">
        <v>1873</v>
      </c>
      <c r="E195" s="630" t="s">
        <v>13</v>
      </c>
      <c r="F195" s="630"/>
      <c r="G195" s="631" t="s">
        <v>3891</v>
      </c>
      <c r="H195" s="632" t="s">
        <v>538</v>
      </c>
      <c r="I195" s="633"/>
      <c r="J195" s="634" t="s">
        <v>660</v>
      </c>
      <c r="K195" s="635"/>
      <c r="L195" s="626"/>
      <c r="M195" s="627"/>
      <c r="N195" s="636" t="s">
        <v>659</v>
      </c>
      <c r="O195" s="636" t="s">
        <v>2809</v>
      </c>
      <c r="P195" s="507" t="s">
        <v>2391</v>
      </c>
      <c r="Q195" s="631"/>
      <c r="S195" s="611"/>
      <c r="T195" s="611"/>
      <c r="U195" s="611"/>
      <c r="V195" s="611"/>
      <c r="W195" s="611"/>
      <c r="X195" s="611"/>
      <c r="Y195" s="611"/>
      <c r="Z195" s="611"/>
      <c r="AA195" s="611"/>
    </row>
    <row r="196" spans="1:27" ht="12.4" customHeight="1">
      <c r="A196" s="611"/>
      <c r="B196" s="507" t="s">
        <v>1442</v>
      </c>
      <c r="C196" s="507" t="s">
        <v>2026</v>
      </c>
      <c r="D196" s="507" t="s">
        <v>1873</v>
      </c>
      <c r="E196" s="630" t="s">
        <v>2714</v>
      </c>
      <c r="F196" s="630"/>
      <c r="G196" s="631" t="s">
        <v>3892</v>
      </c>
      <c r="H196" s="632" t="s">
        <v>538</v>
      </c>
      <c r="I196" s="633"/>
      <c r="J196" s="634" t="s">
        <v>662</v>
      </c>
      <c r="K196" s="635"/>
      <c r="L196" s="626"/>
      <c r="M196" s="627"/>
      <c r="N196" s="636" t="s">
        <v>661</v>
      </c>
      <c r="O196" s="636" t="s">
        <v>1868</v>
      </c>
      <c r="P196" s="507" t="s">
        <v>2392</v>
      </c>
      <c r="Q196" s="631"/>
      <c r="S196" s="611"/>
      <c r="T196" s="611"/>
      <c r="U196" s="611"/>
      <c r="V196" s="611"/>
      <c r="W196" s="611"/>
      <c r="X196" s="611"/>
      <c r="Y196" s="611"/>
      <c r="Z196" s="611"/>
      <c r="AA196" s="611"/>
    </row>
    <row r="197" spans="1:27" ht="12.4" customHeight="1">
      <c r="A197" s="611"/>
      <c r="B197" s="507" t="s">
        <v>1443</v>
      </c>
      <c r="C197" s="507" t="s">
        <v>2027</v>
      </c>
      <c r="D197" s="507" t="s">
        <v>1873</v>
      </c>
      <c r="E197" s="637" t="s">
        <v>2028</v>
      </c>
      <c r="F197" s="637"/>
      <c r="G197" s="631" t="s">
        <v>2189</v>
      </c>
      <c r="H197" s="632" t="s">
        <v>538</v>
      </c>
      <c r="I197" s="638"/>
      <c r="J197" s="634" t="s">
        <v>664</v>
      </c>
      <c r="K197" s="635"/>
      <c r="L197" s="626"/>
      <c r="M197" s="627"/>
      <c r="N197" s="636" t="s">
        <v>663</v>
      </c>
      <c r="O197" s="636" t="s">
        <v>241</v>
      </c>
      <c r="P197" s="507" t="s">
        <v>2393</v>
      </c>
      <c r="Q197" s="631"/>
      <c r="S197" s="611"/>
      <c r="T197" s="611"/>
      <c r="U197" s="611"/>
      <c r="V197" s="611"/>
      <c r="W197" s="611"/>
      <c r="X197" s="611"/>
      <c r="Y197" s="611"/>
      <c r="Z197" s="611"/>
      <c r="AA197" s="611"/>
    </row>
    <row r="198" spans="1:27" ht="12.4" customHeight="1">
      <c r="A198" s="611"/>
      <c r="B198" s="507" t="s">
        <v>1444</v>
      </c>
      <c r="C198" s="507" t="s">
        <v>2029</v>
      </c>
      <c r="D198" s="507" t="s">
        <v>1873</v>
      </c>
      <c r="E198" s="637" t="s">
        <v>2030</v>
      </c>
      <c r="F198" s="637"/>
      <c r="G198" s="631" t="s">
        <v>3910</v>
      </c>
      <c r="H198" s="632" t="s">
        <v>537</v>
      </c>
      <c r="I198" s="638"/>
      <c r="J198" s="634" t="s">
        <v>3393</v>
      </c>
      <c r="K198" s="635"/>
      <c r="L198" s="626"/>
      <c r="M198" s="627"/>
      <c r="N198" s="636" t="s">
        <v>665</v>
      </c>
      <c r="O198" s="636" t="s">
        <v>137</v>
      </c>
      <c r="P198" s="507" t="s">
        <v>2394</v>
      </c>
      <c r="Q198" s="631"/>
      <c r="S198" s="611"/>
      <c r="T198" s="611"/>
      <c r="U198" s="611"/>
      <c r="V198" s="611"/>
      <c r="W198" s="611"/>
      <c r="X198" s="611"/>
      <c r="Y198" s="611"/>
      <c r="Z198" s="611"/>
      <c r="AA198" s="611"/>
    </row>
    <row r="199" spans="1:27" ht="12.4" customHeight="1">
      <c r="A199" s="611"/>
      <c r="B199" s="507" t="s">
        <v>1445</v>
      </c>
      <c r="C199" s="507" t="s">
        <v>2031</v>
      </c>
      <c r="D199" s="507" t="s">
        <v>2037</v>
      </c>
      <c r="E199" s="637" t="s">
        <v>1341</v>
      </c>
      <c r="F199" s="637"/>
      <c r="G199" s="631" t="s">
        <v>3911</v>
      </c>
      <c r="H199" s="632" t="s">
        <v>538</v>
      </c>
      <c r="I199" s="638"/>
      <c r="J199" s="634" t="s">
        <v>3395</v>
      </c>
      <c r="K199" s="635"/>
      <c r="L199" s="626"/>
      <c r="M199" s="627"/>
      <c r="N199" s="636" t="s">
        <v>3394</v>
      </c>
      <c r="O199" s="636" t="s">
        <v>3762</v>
      </c>
      <c r="P199" s="507" t="s">
        <v>2395</v>
      </c>
      <c r="Q199" s="631"/>
      <c r="S199" s="611"/>
      <c r="T199" s="611"/>
      <c r="U199" s="611"/>
      <c r="V199" s="611"/>
      <c r="W199" s="611"/>
      <c r="X199" s="611"/>
      <c r="Y199" s="611"/>
      <c r="Z199" s="611"/>
      <c r="AA199" s="611"/>
    </row>
    <row r="200" spans="1:27" ht="12.4" customHeight="1">
      <c r="A200" s="611"/>
      <c r="B200" s="507" t="s">
        <v>1446</v>
      </c>
      <c r="C200" s="507" t="s">
        <v>2033</v>
      </c>
      <c r="D200" s="507" t="s">
        <v>2037</v>
      </c>
      <c r="E200" s="637" t="s">
        <v>1340</v>
      </c>
      <c r="F200" s="637"/>
      <c r="G200" s="631" t="s">
        <v>1942</v>
      </c>
      <c r="H200" s="632" t="s">
        <v>538</v>
      </c>
      <c r="I200" s="638"/>
      <c r="J200" s="634" t="s">
        <v>473</v>
      </c>
      <c r="K200" s="635"/>
      <c r="L200" s="626"/>
      <c r="M200" s="627"/>
      <c r="N200" s="636" t="s">
        <v>2901</v>
      </c>
      <c r="O200" s="636" t="s">
        <v>3285</v>
      </c>
      <c r="P200" s="507" t="s">
        <v>2396</v>
      </c>
      <c r="Q200" s="631"/>
      <c r="S200" s="611"/>
      <c r="T200" s="611"/>
      <c r="U200" s="611"/>
      <c r="V200" s="611"/>
      <c r="W200" s="611"/>
      <c r="X200" s="611"/>
      <c r="Y200" s="611"/>
      <c r="Z200" s="611"/>
      <c r="AA200" s="611"/>
    </row>
    <row r="201" spans="1:27" ht="12.4" customHeight="1">
      <c r="A201" s="611"/>
      <c r="B201" s="507" t="s">
        <v>1447</v>
      </c>
      <c r="C201" s="507" t="s">
        <v>2034</v>
      </c>
      <c r="D201" s="507" t="s">
        <v>1873</v>
      </c>
      <c r="E201" s="630" t="s">
        <v>2035</v>
      </c>
      <c r="F201" s="630"/>
      <c r="G201" s="631" t="s">
        <v>1943</v>
      </c>
      <c r="H201" s="632" t="s">
        <v>537</v>
      </c>
      <c r="I201" s="633"/>
      <c r="J201" s="634" t="s">
        <v>475</v>
      </c>
      <c r="K201" s="635"/>
      <c r="L201" s="626"/>
      <c r="M201" s="627"/>
      <c r="N201" s="636" t="s">
        <v>474</v>
      </c>
      <c r="O201" s="636" t="s">
        <v>3285</v>
      </c>
      <c r="P201" s="507" t="s">
        <v>2397</v>
      </c>
      <c r="Q201" s="631"/>
      <c r="S201" s="611"/>
      <c r="T201" s="611"/>
      <c r="U201" s="611"/>
      <c r="V201" s="611"/>
      <c r="W201" s="611"/>
      <c r="X201" s="611"/>
      <c r="Y201" s="611"/>
      <c r="Z201" s="611"/>
      <c r="AA201" s="611"/>
    </row>
    <row r="202" spans="1:27" ht="12.4" customHeight="1">
      <c r="A202" s="611"/>
      <c r="B202" s="507" t="s">
        <v>1448</v>
      </c>
      <c r="C202" s="507" t="s">
        <v>2036</v>
      </c>
      <c r="D202" s="507" t="s">
        <v>1873</v>
      </c>
      <c r="E202" s="637" t="s">
        <v>1220</v>
      </c>
      <c r="F202" s="637"/>
      <c r="G202" s="631" t="s">
        <v>1944</v>
      </c>
      <c r="H202" s="632" t="s">
        <v>537</v>
      </c>
      <c r="I202" s="638"/>
      <c r="J202" s="634" t="s">
        <v>3843</v>
      </c>
      <c r="K202" s="635"/>
      <c r="L202" s="626"/>
      <c r="M202" s="627"/>
      <c r="N202" s="636" t="s">
        <v>3844</v>
      </c>
      <c r="O202" s="636" t="s">
        <v>3821</v>
      </c>
      <c r="P202" s="507" t="s">
        <v>2398</v>
      </c>
      <c r="Q202" s="631"/>
      <c r="S202" s="611"/>
      <c r="T202" s="611"/>
      <c r="U202" s="611"/>
      <c r="V202" s="611"/>
      <c r="W202" s="611"/>
      <c r="X202" s="611"/>
      <c r="Y202" s="611"/>
      <c r="Z202" s="611"/>
      <c r="AA202" s="611"/>
    </row>
    <row r="203" spans="1:27" ht="12.4" customHeight="1">
      <c r="A203" s="611"/>
      <c r="B203" s="507" t="s">
        <v>1449</v>
      </c>
      <c r="C203" s="507" t="s">
        <v>1221</v>
      </c>
      <c r="D203" s="507" t="s">
        <v>1873</v>
      </c>
      <c r="E203" s="630" t="s">
        <v>1222</v>
      </c>
      <c r="F203" s="630"/>
      <c r="G203" s="631" t="s">
        <v>2729</v>
      </c>
      <c r="H203" s="632" t="s">
        <v>537</v>
      </c>
      <c r="I203" s="633"/>
      <c r="J203" s="634" t="s">
        <v>3845</v>
      </c>
      <c r="K203" s="635"/>
      <c r="L203" s="626"/>
      <c r="M203" s="627"/>
      <c r="N203" s="636" t="s">
        <v>3846</v>
      </c>
      <c r="O203" s="636" t="s">
        <v>1729</v>
      </c>
      <c r="P203" s="507" t="s">
        <v>2399</v>
      </c>
      <c r="Q203" s="631"/>
      <c r="S203" s="611"/>
      <c r="T203" s="611"/>
      <c r="U203" s="611"/>
      <c r="V203" s="611"/>
      <c r="W203" s="611"/>
      <c r="X203" s="611"/>
      <c r="Y203" s="611"/>
      <c r="Z203" s="611"/>
      <c r="AA203" s="611"/>
    </row>
    <row r="204" spans="1:27" ht="12.4" customHeight="1">
      <c r="A204" s="611"/>
      <c r="B204" s="507" t="s">
        <v>1450</v>
      </c>
      <c r="C204" s="507" t="s">
        <v>1223</v>
      </c>
      <c r="D204" s="507" t="s">
        <v>2037</v>
      </c>
      <c r="E204" s="637" t="s">
        <v>1340</v>
      </c>
      <c r="F204" s="637"/>
      <c r="G204" s="631" t="s">
        <v>3886</v>
      </c>
      <c r="H204" s="632" t="s">
        <v>538</v>
      </c>
      <c r="I204" s="638"/>
      <c r="J204" s="634" t="s">
        <v>3847</v>
      </c>
      <c r="K204" s="635"/>
      <c r="L204" s="626"/>
      <c r="M204" s="627"/>
      <c r="N204" s="636" t="s">
        <v>3848</v>
      </c>
      <c r="O204" s="636" t="s">
        <v>419</v>
      </c>
      <c r="P204" s="507" t="s">
        <v>2400</v>
      </c>
      <c r="Q204" s="631"/>
      <c r="S204" s="611"/>
      <c r="T204" s="611"/>
      <c r="U204" s="611"/>
      <c r="V204" s="611"/>
      <c r="W204" s="611"/>
      <c r="X204" s="611"/>
      <c r="Y204" s="611"/>
      <c r="Z204" s="611"/>
      <c r="AA204" s="611"/>
    </row>
    <row r="205" spans="1:27" ht="12.4" customHeight="1">
      <c r="A205" s="611"/>
      <c r="B205" s="507" t="s">
        <v>1451</v>
      </c>
      <c r="C205" s="507" t="s">
        <v>2271</v>
      </c>
      <c r="D205" s="507" t="s">
        <v>2013</v>
      </c>
      <c r="E205" s="637" t="s">
        <v>2272</v>
      </c>
      <c r="F205" s="637"/>
      <c r="G205" s="631" t="s">
        <v>2698</v>
      </c>
      <c r="H205" s="632" t="s">
        <v>538</v>
      </c>
      <c r="I205" s="638"/>
      <c r="J205" s="634" t="s">
        <v>3849</v>
      </c>
      <c r="K205" s="635"/>
      <c r="L205" s="626"/>
      <c r="M205" s="627"/>
      <c r="N205" s="636" t="s">
        <v>3850</v>
      </c>
      <c r="O205" s="636" t="s">
        <v>3759</v>
      </c>
      <c r="P205" s="507" t="s">
        <v>2401</v>
      </c>
      <c r="Q205" s="631"/>
      <c r="S205" s="611"/>
      <c r="T205" s="611"/>
      <c r="U205" s="611"/>
      <c r="V205" s="611"/>
      <c r="W205" s="611"/>
      <c r="X205" s="611"/>
      <c r="Y205" s="611"/>
      <c r="Z205" s="611"/>
      <c r="AA205" s="611"/>
    </row>
    <row r="206" spans="1:27" ht="12.4" customHeight="1">
      <c r="A206" s="611"/>
      <c r="B206" s="507" t="s">
        <v>1452</v>
      </c>
      <c r="C206" s="507" t="s">
        <v>213</v>
      </c>
      <c r="D206" s="507" t="s">
        <v>1873</v>
      </c>
      <c r="E206" s="630" t="s">
        <v>214</v>
      </c>
      <c r="F206" s="630"/>
      <c r="G206" s="631" t="s">
        <v>2699</v>
      </c>
      <c r="H206" s="632" t="s">
        <v>537</v>
      </c>
      <c r="I206" s="633"/>
      <c r="J206" s="634" t="s">
        <v>3851</v>
      </c>
      <c r="K206" s="635"/>
      <c r="L206" s="626"/>
      <c r="M206" s="627"/>
      <c r="N206" s="636" t="s">
        <v>3852</v>
      </c>
      <c r="O206" s="636" t="s">
        <v>2034</v>
      </c>
      <c r="P206" s="507" t="s">
        <v>2402</v>
      </c>
      <c r="Q206" s="631"/>
      <c r="S206" s="611"/>
      <c r="T206" s="611"/>
      <c r="U206" s="611"/>
      <c r="V206" s="611"/>
      <c r="W206" s="611"/>
      <c r="X206" s="611"/>
      <c r="Y206" s="611"/>
      <c r="Z206" s="611"/>
      <c r="AA206" s="611"/>
    </row>
    <row r="207" spans="1:27" ht="12.4" customHeight="1">
      <c r="A207" s="611"/>
      <c r="B207" s="507" t="s">
        <v>1453</v>
      </c>
      <c r="C207" s="507" t="s">
        <v>215</v>
      </c>
      <c r="D207" s="507" t="s">
        <v>1873</v>
      </c>
      <c r="E207" s="637" t="s">
        <v>2028</v>
      </c>
      <c r="F207" s="637"/>
      <c r="G207" s="631" t="s">
        <v>2189</v>
      </c>
      <c r="H207" s="632" t="s">
        <v>538</v>
      </c>
      <c r="I207" s="638"/>
      <c r="J207" s="634" t="s">
        <v>3853</v>
      </c>
      <c r="K207" s="635"/>
      <c r="L207" s="626"/>
      <c r="M207" s="627"/>
      <c r="N207" s="636" t="s">
        <v>3855</v>
      </c>
      <c r="O207" s="636" t="s">
        <v>3903</v>
      </c>
      <c r="P207" s="507" t="s">
        <v>2403</v>
      </c>
      <c r="Q207" s="631"/>
      <c r="S207" s="611"/>
      <c r="T207" s="611"/>
      <c r="U207" s="611"/>
      <c r="V207" s="611"/>
      <c r="W207" s="611"/>
      <c r="X207" s="611"/>
      <c r="Y207" s="611"/>
      <c r="Z207" s="611"/>
      <c r="AA207" s="611"/>
    </row>
    <row r="208" spans="1:27" ht="12.4" customHeight="1">
      <c r="A208" s="611"/>
      <c r="B208" s="507" t="s">
        <v>2044</v>
      </c>
      <c r="C208" s="507" t="s">
        <v>216</v>
      </c>
      <c r="D208" s="507" t="s">
        <v>2037</v>
      </c>
      <c r="E208" s="637" t="s">
        <v>217</v>
      </c>
      <c r="F208" s="637"/>
      <c r="G208" s="631" t="s">
        <v>2700</v>
      </c>
      <c r="H208" s="632" t="s">
        <v>538</v>
      </c>
      <c r="I208" s="638"/>
      <c r="J208" s="634" t="s">
        <v>3854</v>
      </c>
      <c r="K208" s="635"/>
      <c r="L208" s="626"/>
      <c r="M208" s="627"/>
      <c r="N208" s="636" t="s">
        <v>3857</v>
      </c>
      <c r="O208" s="636" t="s">
        <v>2988</v>
      </c>
      <c r="P208" s="507" t="s">
        <v>2404</v>
      </c>
      <c r="Q208" s="631"/>
      <c r="S208" s="611"/>
      <c r="T208" s="611"/>
      <c r="U208" s="611"/>
      <c r="V208" s="611"/>
      <c r="W208" s="611"/>
      <c r="X208" s="611"/>
      <c r="Y208" s="611"/>
      <c r="Z208" s="611"/>
      <c r="AA208" s="611"/>
    </row>
    <row r="209" spans="1:27" ht="12.4" customHeight="1">
      <c r="A209" s="611"/>
      <c r="B209" s="507" t="s">
        <v>2045</v>
      </c>
      <c r="C209" s="507" t="s">
        <v>218</v>
      </c>
      <c r="D209" s="507" t="s">
        <v>2013</v>
      </c>
      <c r="E209" s="630" t="s">
        <v>219</v>
      </c>
      <c r="F209" s="630"/>
      <c r="G209" s="631" t="s">
        <v>2701</v>
      </c>
      <c r="H209" s="632" t="s">
        <v>537</v>
      </c>
      <c r="I209" s="633"/>
      <c r="J209" s="634" t="s">
        <v>3856</v>
      </c>
      <c r="K209" s="635"/>
      <c r="L209" s="626"/>
      <c r="M209" s="627"/>
      <c r="N209" s="636" t="s">
        <v>222</v>
      </c>
      <c r="O209" s="636" t="s">
        <v>221</v>
      </c>
      <c r="P209" s="1579" t="s">
        <v>1413</v>
      </c>
      <c r="Q209" s="611"/>
      <c r="S209" s="611"/>
      <c r="T209" s="611"/>
      <c r="U209" s="611"/>
      <c r="V209" s="611"/>
      <c r="W209" s="611"/>
      <c r="X209" s="611"/>
      <c r="Y209" s="611"/>
      <c r="Z209" s="611"/>
      <c r="AA209" s="611"/>
    </row>
    <row r="210" spans="1:27" ht="12.4" customHeight="1">
      <c r="A210" s="611"/>
      <c r="B210" s="507" t="s">
        <v>2046</v>
      </c>
      <c r="C210" s="507" t="s">
        <v>220</v>
      </c>
      <c r="D210" s="507" t="s">
        <v>2013</v>
      </c>
      <c r="E210" s="637" t="s">
        <v>1340</v>
      </c>
      <c r="F210" s="637"/>
      <c r="G210" s="631" t="s">
        <v>3886</v>
      </c>
      <c r="H210" s="632" t="s">
        <v>538</v>
      </c>
      <c r="I210" s="638"/>
      <c r="J210" s="634" t="s">
        <v>531</v>
      </c>
      <c r="K210" s="635"/>
      <c r="L210" s="626"/>
      <c r="M210" s="627"/>
      <c r="N210" s="636" t="s">
        <v>1867</v>
      </c>
      <c r="O210" s="636" t="s">
        <v>1868</v>
      </c>
      <c r="P210" s="507" t="s">
        <v>2405</v>
      </c>
      <c r="Q210" s="631"/>
      <c r="S210" s="611"/>
      <c r="T210" s="611"/>
      <c r="U210" s="611"/>
      <c r="V210" s="611"/>
      <c r="W210" s="611"/>
      <c r="X210" s="611"/>
      <c r="Y210" s="611"/>
      <c r="Z210" s="611"/>
      <c r="AA210" s="611"/>
    </row>
    <row r="211" spans="1:27" ht="12.4" customHeight="1">
      <c r="A211" s="611"/>
      <c r="B211" s="507" t="s">
        <v>2047</v>
      </c>
      <c r="C211" s="507" t="s">
        <v>221</v>
      </c>
      <c r="D211" s="507" t="s">
        <v>2037</v>
      </c>
      <c r="E211" s="630" t="s">
        <v>3135</v>
      </c>
      <c r="F211" s="630"/>
      <c r="G211" s="631" t="s">
        <v>957</v>
      </c>
      <c r="H211" s="632" t="s">
        <v>538</v>
      </c>
      <c r="I211" s="633"/>
      <c r="J211" s="634" t="s">
        <v>532</v>
      </c>
      <c r="K211" s="635"/>
      <c r="L211" s="507"/>
      <c r="M211" s="627"/>
      <c r="N211" s="636" t="s">
        <v>1359</v>
      </c>
      <c r="O211" s="636" t="s">
        <v>254</v>
      </c>
      <c r="P211" s="507" t="s">
        <v>2406</v>
      </c>
      <c r="Q211" s="631"/>
      <c r="S211" s="611"/>
      <c r="T211" s="611"/>
      <c r="U211" s="611"/>
      <c r="V211" s="611"/>
      <c r="W211" s="611"/>
      <c r="X211" s="611"/>
      <c r="Y211" s="611"/>
      <c r="Z211" s="611"/>
      <c r="AA211" s="611"/>
    </row>
    <row r="212" spans="1:27" ht="12.4" customHeight="1">
      <c r="A212" s="611"/>
      <c r="B212" s="507" t="s">
        <v>2048</v>
      </c>
      <c r="C212" s="507" t="s">
        <v>3756</v>
      </c>
      <c r="D212" s="507" t="s">
        <v>1873</v>
      </c>
      <c r="E212" s="630" t="s">
        <v>3757</v>
      </c>
      <c r="F212" s="630"/>
      <c r="G212" s="631" t="s">
        <v>958</v>
      </c>
      <c r="H212" s="632" t="s">
        <v>537</v>
      </c>
      <c r="I212" s="633"/>
      <c r="J212" s="634" t="s">
        <v>1358</v>
      </c>
      <c r="K212" s="639"/>
      <c r="L212" s="626"/>
      <c r="M212" s="627"/>
      <c r="N212" s="636" t="s">
        <v>3167</v>
      </c>
      <c r="O212" s="636" t="s">
        <v>2015</v>
      </c>
      <c r="P212" s="507" t="s">
        <v>2407</v>
      </c>
      <c r="Q212" s="631"/>
      <c r="S212" s="611"/>
      <c r="T212" s="611"/>
      <c r="U212" s="611"/>
      <c r="V212" s="611"/>
      <c r="W212" s="611"/>
      <c r="X212" s="611"/>
      <c r="Y212" s="611"/>
      <c r="Z212" s="611"/>
      <c r="AA212" s="611"/>
    </row>
    <row r="213" spans="1:27" ht="12.4" customHeight="1">
      <c r="A213" s="611"/>
      <c r="B213" s="507" t="s">
        <v>2049</v>
      </c>
      <c r="C213" s="507" t="s">
        <v>3758</v>
      </c>
      <c r="D213" s="507" t="s">
        <v>2037</v>
      </c>
      <c r="E213" s="637" t="s">
        <v>1340</v>
      </c>
      <c r="F213" s="637"/>
      <c r="G213" s="631" t="s">
        <v>3886</v>
      </c>
      <c r="H213" s="632" t="s">
        <v>538</v>
      </c>
      <c r="I213" s="638"/>
      <c r="J213" s="634" t="s">
        <v>1360</v>
      </c>
      <c r="K213" s="639"/>
      <c r="L213" s="626"/>
      <c r="M213" s="627"/>
      <c r="N213" s="636" t="s">
        <v>2032</v>
      </c>
      <c r="O213" s="636" t="s">
        <v>1741</v>
      </c>
      <c r="P213" s="1579" t="s">
        <v>1413</v>
      </c>
      <c r="Q213" s="611"/>
      <c r="S213" s="611"/>
      <c r="T213" s="611"/>
      <c r="U213" s="611"/>
      <c r="V213" s="611"/>
      <c r="W213" s="611"/>
      <c r="X213" s="611"/>
      <c r="Y213" s="611"/>
      <c r="Z213" s="611"/>
      <c r="AA213" s="611"/>
    </row>
    <row r="214" spans="1:27" ht="12.4" customHeight="1">
      <c r="A214" s="611"/>
      <c r="B214" s="507" t="s">
        <v>2050</v>
      </c>
      <c r="C214" s="507" t="s">
        <v>3759</v>
      </c>
      <c r="D214" s="507" t="s">
        <v>1873</v>
      </c>
      <c r="E214" s="630" t="s">
        <v>3760</v>
      </c>
      <c r="F214" s="630"/>
      <c r="G214" s="631" t="s">
        <v>959</v>
      </c>
      <c r="H214" s="632" t="s">
        <v>537</v>
      </c>
      <c r="I214" s="633"/>
      <c r="J214" s="634" t="s">
        <v>3168</v>
      </c>
      <c r="K214" s="639"/>
      <c r="L214" s="626"/>
      <c r="M214" s="627"/>
      <c r="N214" s="636" t="s">
        <v>3170</v>
      </c>
      <c r="O214" s="636" t="s">
        <v>3761</v>
      </c>
      <c r="P214" s="507" t="s">
        <v>2408</v>
      </c>
      <c r="Q214" s="631"/>
      <c r="S214" s="611"/>
      <c r="T214" s="611"/>
      <c r="U214" s="611"/>
      <c r="V214" s="611"/>
      <c r="W214" s="611"/>
      <c r="X214" s="611"/>
      <c r="Y214" s="611"/>
      <c r="Z214" s="611"/>
      <c r="AA214" s="611"/>
    </row>
    <row r="215" spans="1:27" ht="12.4" customHeight="1">
      <c r="A215" s="611"/>
      <c r="B215" s="507" t="s">
        <v>2051</v>
      </c>
      <c r="C215" s="507" t="s">
        <v>3761</v>
      </c>
      <c r="D215" s="507" t="s">
        <v>2013</v>
      </c>
      <c r="E215" s="637" t="s">
        <v>1340</v>
      </c>
      <c r="F215" s="637"/>
      <c r="G215" s="631" t="s">
        <v>3886</v>
      </c>
      <c r="H215" s="632" t="s">
        <v>538</v>
      </c>
      <c r="I215" s="638"/>
      <c r="J215" s="634" t="s">
        <v>3169</v>
      </c>
      <c r="K215" s="639"/>
      <c r="L215" s="626"/>
      <c r="M215" s="627"/>
      <c r="N215" s="636" t="s">
        <v>3077</v>
      </c>
      <c r="O215" s="636" t="s">
        <v>3281</v>
      </c>
      <c r="P215" s="507" t="s">
        <v>2409</v>
      </c>
      <c r="Q215" s="631"/>
      <c r="S215" s="611"/>
      <c r="T215" s="611"/>
      <c r="U215" s="611"/>
      <c r="V215" s="611"/>
      <c r="W215" s="611"/>
      <c r="X215" s="611"/>
      <c r="Y215" s="611"/>
      <c r="Z215" s="611"/>
      <c r="AA215" s="611"/>
    </row>
    <row r="216" spans="1:27" ht="12.4" customHeight="1">
      <c r="A216" s="611"/>
      <c r="B216" s="507" t="s">
        <v>2052</v>
      </c>
      <c r="C216" s="507" t="s">
        <v>3762</v>
      </c>
      <c r="D216" s="507" t="s">
        <v>1873</v>
      </c>
      <c r="E216" s="630" t="s">
        <v>3763</v>
      </c>
      <c r="F216" s="630"/>
      <c r="G216" s="631" t="s">
        <v>960</v>
      </c>
      <c r="H216" s="632" t="s">
        <v>537</v>
      </c>
      <c r="I216" s="633"/>
      <c r="J216" s="634" t="s">
        <v>3171</v>
      </c>
      <c r="K216" s="639"/>
      <c r="L216" s="626"/>
      <c r="M216" s="627"/>
      <c r="N216" s="636" t="s">
        <v>3172</v>
      </c>
      <c r="O216" s="636" t="s">
        <v>424</v>
      </c>
      <c r="P216" s="507" t="s">
        <v>2410</v>
      </c>
      <c r="Q216" s="631"/>
      <c r="S216" s="611"/>
      <c r="T216" s="611"/>
      <c r="U216" s="611"/>
      <c r="V216" s="611"/>
      <c r="W216" s="611"/>
      <c r="X216" s="611"/>
      <c r="Y216" s="611"/>
      <c r="Z216" s="611"/>
      <c r="AA216" s="611"/>
    </row>
    <row r="217" spans="1:27" ht="12.4" customHeight="1">
      <c r="A217" s="611"/>
      <c r="B217" s="507" t="s">
        <v>2053</v>
      </c>
      <c r="C217" s="507" t="s">
        <v>3764</v>
      </c>
      <c r="D217" s="507" t="s">
        <v>1873</v>
      </c>
      <c r="E217" s="630" t="s">
        <v>3815</v>
      </c>
      <c r="F217" s="630"/>
      <c r="G217" s="631" t="s">
        <v>961</v>
      </c>
      <c r="H217" s="632" t="s">
        <v>537</v>
      </c>
      <c r="I217" s="633"/>
      <c r="J217" s="634" t="s">
        <v>3203</v>
      </c>
      <c r="K217" s="639"/>
      <c r="L217" s="626"/>
      <c r="M217" s="627"/>
      <c r="N217" s="636" t="s">
        <v>3204</v>
      </c>
      <c r="O217" s="636" t="s">
        <v>965</v>
      </c>
      <c r="P217" s="507" t="s">
        <v>2411</v>
      </c>
      <c r="Q217" s="631"/>
      <c r="S217" s="611"/>
      <c r="T217" s="611"/>
      <c r="U217" s="611"/>
      <c r="V217" s="611"/>
      <c r="W217" s="611"/>
      <c r="X217" s="611"/>
      <c r="Y217" s="611"/>
      <c r="Z217" s="611"/>
      <c r="AA217" s="611"/>
    </row>
    <row r="218" spans="1:27" ht="12.4" customHeight="1">
      <c r="A218" s="611"/>
      <c r="B218" s="507" t="s">
        <v>2054</v>
      </c>
      <c r="C218" s="507" t="s">
        <v>3816</v>
      </c>
      <c r="D218" s="507" t="s">
        <v>2037</v>
      </c>
      <c r="E218" s="637" t="s">
        <v>1341</v>
      </c>
      <c r="F218" s="637"/>
      <c r="G218" s="631" t="s">
        <v>3911</v>
      </c>
      <c r="H218" s="632" t="s">
        <v>538</v>
      </c>
      <c r="I218" s="638"/>
      <c r="J218" s="634" t="s">
        <v>3205</v>
      </c>
      <c r="K218" s="639"/>
      <c r="L218" s="626"/>
      <c r="M218" s="627"/>
      <c r="N218" s="636" t="s">
        <v>3206</v>
      </c>
      <c r="O218" s="636" t="s">
        <v>2541</v>
      </c>
      <c r="P218" s="507" t="s">
        <v>2412</v>
      </c>
      <c r="Q218" s="631"/>
      <c r="S218" s="611"/>
      <c r="T218" s="611"/>
      <c r="U218" s="611"/>
      <c r="V218" s="611"/>
      <c r="W218" s="611"/>
      <c r="X218" s="611"/>
      <c r="Y218" s="611"/>
      <c r="Z218" s="611"/>
      <c r="AA218" s="611"/>
    </row>
    <row r="219" spans="1:27" ht="12.4" customHeight="1">
      <c r="A219" s="611"/>
      <c r="B219" s="507" t="s">
        <v>2055</v>
      </c>
      <c r="C219" s="507" t="s">
        <v>3817</v>
      </c>
      <c r="D219" s="507" t="s">
        <v>1873</v>
      </c>
      <c r="E219" s="630" t="s">
        <v>3818</v>
      </c>
      <c r="F219" s="630"/>
      <c r="G219" s="631" t="s">
        <v>962</v>
      </c>
      <c r="H219" s="632" t="s">
        <v>537</v>
      </c>
      <c r="I219" s="633"/>
      <c r="J219" s="634" t="s">
        <v>3207</v>
      </c>
      <c r="K219" s="639"/>
      <c r="L219" s="626"/>
      <c r="M219" s="627"/>
      <c r="N219" s="636" t="s">
        <v>3208</v>
      </c>
      <c r="O219" s="636" t="s">
        <v>254</v>
      </c>
      <c r="P219" s="507" t="s">
        <v>2413</v>
      </c>
      <c r="Q219" s="631"/>
      <c r="S219" s="611"/>
      <c r="T219" s="611"/>
      <c r="U219" s="611"/>
      <c r="V219" s="611"/>
      <c r="W219" s="611"/>
      <c r="X219" s="611"/>
      <c r="Y219" s="611"/>
      <c r="Z219" s="611"/>
      <c r="AA219" s="611"/>
    </row>
    <row r="220" spans="1:27" ht="12.4" customHeight="1">
      <c r="A220" s="611"/>
      <c r="B220" s="507" t="s">
        <v>2056</v>
      </c>
      <c r="C220" s="507" t="s">
        <v>3819</v>
      </c>
      <c r="D220" s="507" t="s">
        <v>2037</v>
      </c>
      <c r="E220" s="637" t="s">
        <v>1340</v>
      </c>
      <c r="F220" s="637"/>
      <c r="G220" s="631" t="s">
        <v>3886</v>
      </c>
      <c r="H220" s="632" t="s">
        <v>538</v>
      </c>
      <c r="I220" s="638"/>
      <c r="J220" s="634" t="s">
        <v>3209</v>
      </c>
      <c r="K220" s="639"/>
      <c r="L220" s="626"/>
      <c r="M220" s="627"/>
      <c r="N220" s="636" t="s">
        <v>2813</v>
      </c>
      <c r="O220" s="636" t="s">
        <v>137</v>
      </c>
      <c r="P220" s="507" t="s">
        <v>2414</v>
      </c>
      <c r="Q220" s="631"/>
      <c r="S220" s="611"/>
      <c r="T220" s="611"/>
      <c r="U220" s="611"/>
      <c r="V220" s="611"/>
      <c r="W220" s="611"/>
      <c r="X220" s="611"/>
      <c r="Y220" s="611"/>
      <c r="Z220" s="611"/>
      <c r="AA220" s="611"/>
    </row>
    <row r="221" spans="1:27" ht="12.4" customHeight="1">
      <c r="A221" s="611"/>
      <c r="B221" s="507" t="s">
        <v>2057</v>
      </c>
      <c r="C221" s="507" t="s">
        <v>3820</v>
      </c>
      <c r="D221" s="507" t="s">
        <v>2037</v>
      </c>
      <c r="E221" s="637" t="s">
        <v>2022</v>
      </c>
      <c r="F221" s="637"/>
      <c r="G221" s="631" t="s">
        <v>3889</v>
      </c>
      <c r="H221" s="632" t="s">
        <v>538</v>
      </c>
      <c r="I221" s="638"/>
      <c r="J221" s="634" t="s">
        <v>3837</v>
      </c>
      <c r="K221" s="639"/>
      <c r="L221" s="626"/>
      <c r="M221" s="627"/>
      <c r="N221" s="636" t="s">
        <v>3838</v>
      </c>
      <c r="O221" s="636" t="s">
        <v>220</v>
      </c>
      <c r="P221" s="507" t="s">
        <v>2415</v>
      </c>
      <c r="Q221" s="631"/>
      <c r="S221" s="611"/>
      <c r="T221" s="611"/>
      <c r="U221" s="611"/>
      <c r="V221" s="611"/>
      <c r="W221" s="611"/>
      <c r="X221" s="611"/>
      <c r="Y221" s="611"/>
      <c r="Z221" s="611"/>
      <c r="AA221" s="611"/>
    </row>
    <row r="222" spans="1:27" ht="12.4" customHeight="1">
      <c r="A222" s="611"/>
      <c r="B222" s="507" t="s">
        <v>2058</v>
      </c>
      <c r="C222" s="507" t="s">
        <v>3821</v>
      </c>
      <c r="D222" s="507" t="s">
        <v>1873</v>
      </c>
      <c r="E222" s="630" t="s">
        <v>251</v>
      </c>
      <c r="F222" s="630"/>
      <c r="G222" s="631" t="s">
        <v>963</v>
      </c>
      <c r="H222" s="632" t="s">
        <v>537</v>
      </c>
      <c r="I222" s="633"/>
      <c r="J222" s="634" t="s">
        <v>1621</v>
      </c>
      <c r="K222" s="639"/>
      <c r="L222" s="626"/>
      <c r="M222" s="627"/>
      <c r="N222" s="636" t="s">
        <v>1622</v>
      </c>
      <c r="O222" s="636" t="s">
        <v>635</v>
      </c>
      <c r="P222" s="507" t="s">
        <v>2416</v>
      </c>
      <c r="Q222" s="631"/>
      <c r="S222" s="611"/>
      <c r="T222" s="611"/>
      <c r="U222" s="611"/>
      <c r="V222" s="611"/>
      <c r="W222" s="611"/>
      <c r="X222" s="611"/>
      <c r="Y222" s="611"/>
      <c r="Z222" s="611"/>
      <c r="AA222" s="611"/>
    </row>
    <row r="223" spans="1:27" ht="12.4" customHeight="1">
      <c r="A223" s="611"/>
      <c r="B223" s="507" t="s">
        <v>2059</v>
      </c>
      <c r="C223" s="507" t="s">
        <v>252</v>
      </c>
      <c r="D223" s="507" t="s">
        <v>2013</v>
      </c>
      <c r="E223" s="637" t="s">
        <v>2272</v>
      </c>
      <c r="F223" s="637"/>
      <c r="G223" s="631" t="s">
        <v>2698</v>
      </c>
      <c r="H223" s="632" t="s">
        <v>538</v>
      </c>
      <c r="I223" s="638"/>
      <c r="J223" s="634" t="s">
        <v>3082</v>
      </c>
      <c r="K223" s="639"/>
      <c r="L223" s="626"/>
      <c r="M223" s="627"/>
      <c r="N223" s="636" t="s">
        <v>2016</v>
      </c>
      <c r="O223" s="636" t="s">
        <v>424</v>
      </c>
      <c r="P223" s="507" t="s">
        <v>2417</v>
      </c>
      <c r="Q223" s="631"/>
      <c r="S223" s="611"/>
      <c r="T223" s="611"/>
      <c r="U223" s="611"/>
      <c r="V223" s="611"/>
      <c r="W223" s="611"/>
      <c r="X223" s="611"/>
      <c r="Y223" s="611"/>
      <c r="Z223" s="611"/>
      <c r="AA223" s="611"/>
    </row>
    <row r="224" spans="1:27" ht="12.4" customHeight="1">
      <c r="A224" s="611"/>
      <c r="B224" s="507" t="s">
        <v>2060</v>
      </c>
      <c r="C224" s="507" t="s">
        <v>253</v>
      </c>
      <c r="D224" s="507" t="s">
        <v>2013</v>
      </c>
      <c r="E224" s="637" t="s">
        <v>1340</v>
      </c>
      <c r="F224" s="637"/>
      <c r="G224" s="631" t="s">
        <v>3886</v>
      </c>
      <c r="H224" s="632" t="s">
        <v>538</v>
      </c>
      <c r="I224" s="638"/>
      <c r="J224" s="634" t="s">
        <v>17</v>
      </c>
      <c r="K224" s="639"/>
      <c r="L224" s="626"/>
      <c r="M224" s="627"/>
      <c r="N224" s="636" t="s">
        <v>18</v>
      </c>
      <c r="O224" s="636" t="s">
        <v>2663</v>
      </c>
      <c r="P224" s="507" t="s">
        <v>2418</v>
      </c>
      <c r="Q224" s="631"/>
      <c r="S224" s="611"/>
      <c r="T224" s="611"/>
      <c r="U224" s="611"/>
      <c r="V224" s="611"/>
      <c r="W224" s="611"/>
      <c r="X224" s="611"/>
      <c r="Y224" s="611"/>
      <c r="Z224" s="611"/>
      <c r="AA224" s="611"/>
    </row>
    <row r="225" spans="1:27" ht="12.4" customHeight="1">
      <c r="A225" s="611"/>
      <c r="B225" s="507" t="s">
        <v>2061</v>
      </c>
      <c r="C225" s="507" t="s">
        <v>254</v>
      </c>
      <c r="D225" s="507" t="s">
        <v>1873</v>
      </c>
      <c r="E225" s="630" t="s">
        <v>255</v>
      </c>
      <c r="F225" s="630"/>
      <c r="G225" s="631" t="s">
        <v>964</v>
      </c>
      <c r="H225" s="632" t="s">
        <v>537</v>
      </c>
      <c r="I225" s="633"/>
      <c r="J225" s="634" t="s">
        <v>3363</v>
      </c>
      <c r="K225" s="639"/>
      <c r="L225" s="626"/>
      <c r="M225" s="627"/>
      <c r="N225" s="636" t="s">
        <v>3364</v>
      </c>
      <c r="O225" s="636" t="s">
        <v>1872</v>
      </c>
      <c r="P225" s="507" t="s">
        <v>2419</v>
      </c>
      <c r="Q225" s="631"/>
      <c r="S225" s="611"/>
      <c r="T225" s="611"/>
      <c r="U225" s="611"/>
      <c r="V225" s="611"/>
      <c r="W225" s="611"/>
      <c r="X225" s="611"/>
      <c r="Y225" s="611"/>
      <c r="Z225" s="611"/>
      <c r="AA225" s="611"/>
    </row>
    <row r="226" spans="1:27" ht="12.4" customHeight="1">
      <c r="A226" s="611"/>
      <c r="B226" s="507" t="s">
        <v>2062</v>
      </c>
      <c r="C226" s="507" t="s">
        <v>256</v>
      </c>
      <c r="D226" s="507" t="s">
        <v>2037</v>
      </c>
      <c r="E226" s="637" t="s">
        <v>1340</v>
      </c>
      <c r="F226" s="637"/>
      <c r="G226" s="631" t="s">
        <v>3886</v>
      </c>
      <c r="H226" s="632" t="s">
        <v>538</v>
      </c>
      <c r="I226" s="638"/>
      <c r="J226" s="634" t="s">
        <v>3365</v>
      </c>
      <c r="K226" s="639"/>
      <c r="L226" s="626"/>
      <c r="M226" s="627"/>
      <c r="N226" s="636" t="s">
        <v>3366</v>
      </c>
      <c r="O226" s="636" t="s">
        <v>3373</v>
      </c>
      <c r="P226" s="507" t="s">
        <v>2420</v>
      </c>
      <c r="Q226" s="631"/>
      <c r="S226" s="611"/>
      <c r="T226" s="611"/>
      <c r="U226" s="611"/>
      <c r="V226" s="611"/>
      <c r="W226" s="611"/>
      <c r="X226" s="611"/>
      <c r="Y226" s="611"/>
      <c r="Z226" s="611"/>
      <c r="AA226" s="611"/>
    </row>
    <row r="227" spans="1:27" ht="12.4" customHeight="1">
      <c r="A227" s="611"/>
      <c r="B227" s="507" t="s">
        <v>2063</v>
      </c>
      <c r="C227" s="507" t="s">
        <v>257</v>
      </c>
      <c r="D227" s="507" t="s">
        <v>1873</v>
      </c>
      <c r="E227" s="630" t="s">
        <v>1549</v>
      </c>
      <c r="F227" s="630"/>
      <c r="G227" s="631" t="s">
        <v>3035</v>
      </c>
      <c r="H227" s="632" t="s">
        <v>537</v>
      </c>
      <c r="I227" s="633"/>
      <c r="J227" s="634" t="s">
        <v>3367</v>
      </c>
      <c r="K227" s="639"/>
      <c r="L227" s="626"/>
      <c r="M227" s="627"/>
      <c r="N227" s="507" t="s">
        <v>3865</v>
      </c>
      <c r="O227" s="507" t="s">
        <v>965</v>
      </c>
      <c r="P227" s="1580" t="s">
        <v>3242</v>
      </c>
      <c r="Q227" s="631"/>
      <c r="R227" s="434"/>
      <c r="S227" s="507"/>
      <c r="T227" s="611"/>
      <c r="U227" s="611"/>
      <c r="V227" s="611"/>
      <c r="W227" s="611"/>
      <c r="X227" s="611"/>
      <c r="Y227" s="611"/>
      <c r="Z227" s="611"/>
      <c r="AA227" s="611"/>
    </row>
    <row r="228" spans="1:27" ht="12.4" customHeight="1">
      <c r="A228" s="611"/>
      <c r="B228" s="507" t="s">
        <v>2064</v>
      </c>
      <c r="C228" s="507" t="s">
        <v>1550</v>
      </c>
      <c r="D228" s="507" t="s">
        <v>1873</v>
      </c>
      <c r="E228" s="630" t="s">
        <v>1551</v>
      </c>
      <c r="F228" s="630"/>
      <c r="G228" s="631" t="s">
        <v>3036</v>
      </c>
      <c r="H228" s="632" t="s">
        <v>537</v>
      </c>
      <c r="I228" s="633"/>
      <c r="J228" s="634" t="s">
        <v>3401</v>
      </c>
      <c r="K228" s="639"/>
      <c r="L228" s="626"/>
      <c r="M228" s="627"/>
      <c r="N228" s="636" t="s">
        <v>3368</v>
      </c>
      <c r="O228" s="636" t="s">
        <v>136</v>
      </c>
      <c r="P228" s="507" t="s">
        <v>2421</v>
      </c>
      <c r="Q228" s="631"/>
      <c r="R228" s="434"/>
      <c r="S228" s="507"/>
      <c r="T228" s="611"/>
      <c r="U228" s="611"/>
      <c r="V228" s="611"/>
      <c r="W228" s="611"/>
      <c r="X228" s="611"/>
      <c r="Y228" s="611"/>
      <c r="Z228" s="611"/>
      <c r="AA228" s="611"/>
    </row>
    <row r="229" spans="1:27" ht="12.4" customHeight="1">
      <c r="A229" s="611"/>
      <c r="B229" s="507" t="s">
        <v>2065</v>
      </c>
      <c r="C229" s="507" t="s">
        <v>1552</v>
      </c>
      <c r="D229" s="507" t="s">
        <v>1873</v>
      </c>
      <c r="E229" s="637" t="s">
        <v>2812</v>
      </c>
      <c r="F229" s="637"/>
      <c r="G229" s="631" t="s">
        <v>1805</v>
      </c>
      <c r="H229" s="632" t="s">
        <v>538</v>
      </c>
      <c r="I229" s="638"/>
      <c r="J229" s="634" t="s">
        <v>2803</v>
      </c>
      <c r="K229" s="639"/>
      <c r="L229" s="626"/>
      <c r="M229" s="627"/>
      <c r="N229" s="636" t="s">
        <v>2778</v>
      </c>
      <c r="O229" s="636" t="s">
        <v>3764</v>
      </c>
      <c r="P229" s="507" t="s">
        <v>2422</v>
      </c>
      <c r="Q229" s="631"/>
      <c r="R229" s="434"/>
      <c r="S229" s="507"/>
      <c r="T229" s="611"/>
      <c r="U229" s="611"/>
      <c r="V229" s="611"/>
      <c r="W229" s="611"/>
      <c r="X229" s="611"/>
      <c r="Y229" s="611"/>
      <c r="Z229" s="611"/>
      <c r="AA229" s="611"/>
    </row>
    <row r="230" spans="1:27" ht="12.4" customHeight="1">
      <c r="A230" s="611"/>
      <c r="B230" s="507" t="s">
        <v>2066</v>
      </c>
      <c r="C230" s="507" t="s">
        <v>1465</v>
      </c>
      <c r="D230" s="507" t="s">
        <v>2037</v>
      </c>
      <c r="E230" s="637" t="s">
        <v>1340</v>
      </c>
      <c r="F230" s="637"/>
      <c r="G230" s="631" t="s">
        <v>3886</v>
      </c>
      <c r="H230" s="632" t="s">
        <v>538</v>
      </c>
      <c r="I230" s="638"/>
      <c r="J230" s="634" t="s">
        <v>2805</v>
      </c>
      <c r="K230" s="639"/>
      <c r="L230" s="626"/>
      <c r="M230" s="627"/>
      <c r="N230" s="636" t="s">
        <v>2804</v>
      </c>
      <c r="O230" s="636" t="s">
        <v>2015</v>
      </c>
      <c r="P230" s="507" t="s">
        <v>2423</v>
      </c>
      <c r="Q230" s="631"/>
      <c r="R230" s="434"/>
      <c r="S230" s="507"/>
      <c r="T230" s="611"/>
      <c r="U230" s="611"/>
      <c r="V230" s="611"/>
      <c r="W230" s="611"/>
      <c r="X230" s="611"/>
      <c r="Y230" s="611"/>
      <c r="Z230" s="611"/>
      <c r="AA230" s="611"/>
    </row>
    <row r="231" spans="1:27" ht="12.4" customHeight="1">
      <c r="A231" s="611"/>
      <c r="B231" s="507" t="s">
        <v>2067</v>
      </c>
      <c r="C231" s="507" t="s">
        <v>1466</v>
      </c>
      <c r="D231" s="507" t="s">
        <v>1873</v>
      </c>
      <c r="E231" s="630" t="s">
        <v>1467</v>
      </c>
      <c r="F231" s="630"/>
      <c r="G231" s="631" t="s">
        <v>3037</v>
      </c>
      <c r="H231" s="632" t="s">
        <v>537</v>
      </c>
      <c r="I231" s="633"/>
      <c r="J231" s="634" t="s">
        <v>3263</v>
      </c>
      <c r="K231" s="639"/>
      <c r="L231" s="626"/>
      <c r="M231" s="627"/>
      <c r="N231" s="636" t="s">
        <v>2806</v>
      </c>
      <c r="O231" s="636" t="s">
        <v>3088</v>
      </c>
      <c r="P231" s="507" t="s">
        <v>2424</v>
      </c>
      <c r="Q231" s="611"/>
      <c r="S231" s="611"/>
      <c r="T231" s="611"/>
      <c r="U231" s="611"/>
      <c r="V231" s="611"/>
      <c r="W231" s="611"/>
      <c r="X231" s="611"/>
      <c r="Y231" s="611"/>
      <c r="Z231" s="611"/>
      <c r="AA231" s="611"/>
    </row>
    <row r="232" spans="1:27" ht="12.4" customHeight="1">
      <c r="A232" s="611"/>
      <c r="B232" s="507" t="s">
        <v>2068</v>
      </c>
      <c r="C232" s="507" t="s">
        <v>1468</v>
      </c>
      <c r="D232" s="507" t="s">
        <v>1873</v>
      </c>
      <c r="E232" s="630" t="s">
        <v>2714</v>
      </c>
      <c r="F232" s="630"/>
      <c r="G232" s="631" t="s">
        <v>3892</v>
      </c>
      <c r="H232" s="632" t="s">
        <v>538</v>
      </c>
      <c r="I232" s="633"/>
      <c r="J232" s="634" t="s">
        <v>3264</v>
      </c>
      <c r="K232" s="639"/>
      <c r="L232" s="626"/>
      <c r="M232" s="627"/>
      <c r="N232" s="636" t="s">
        <v>1414</v>
      </c>
      <c r="O232" s="636" t="s">
        <v>3900</v>
      </c>
      <c r="P232" s="1579" t="s">
        <v>1413</v>
      </c>
      <c r="Q232" s="611"/>
      <c r="S232" s="611"/>
      <c r="T232" s="611"/>
      <c r="U232" s="611"/>
      <c r="V232" s="611"/>
      <c r="W232" s="611"/>
      <c r="X232" s="611"/>
      <c r="Y232" s="611"/>
      <c r="Z232" s="611"/>
      <c r="AA232" s="611"/>
    </row>
    <row r="233" spans="1:27" ht="12.4" customHeight="1">
      <c r="A233" s="611"/>
      <c r="B233" s="507" t="s">
        <v>2069</v>
      </c>
      <c r="C233" s="507" t="s">
        <v>1469</v>
      </c>
      <c r="D233" s="507" t="s">
        <v>1873</v>
      </c>
      <c r="E233" s="637" t="s">
        <v>2028</v>
      </c>
      <c r="F233" s="637"/>
      <c r="G233" s="631" t="s">
        <v>2189</v>
      </c>
      <c r="H233" s="632" t="s">
        <v>538</v>
      </c>
      <c r="I233" s="638"/>
      <c r="J233" s="634" t="s">
        <v>3690</v>
      </c>
      <c r="K233" s="635"/>
      <c r="L233" s="626"/>
      <c r="M233" s="627"/>
      <c r="N233" s="636" t="s">
        <v>3265</v>
      </c>
      <c r="O233" s="636" t="s">
        <v>3902</v>
      </c>
      <c r="P233" s="507" t="s">
        <v>2425</v>
      </c>
      <c r="Q233" s="631"/>
      <c r="S233" s="611"/>
      <c r="T233" s="611"/>
      <c r="U233" s="611"/>
      <c r="V233" s="611"/>
      <c r="W233" s="611"/>
      <c r="X233" s="611"/>
      <c r="Y233" s="611"/>
      <c r="Z233" s="611"/>
      <c r="AA233" s="611"/>
    </row>
    <row r="234" spans="1:27" ht="12.4" customHeight="1">
      <c r="A234" s="611"/>
      <c r="B234" s="640"/>
      <c r="C234" s="507" t="s">
        <v>1470</v>
      </c>
      <c r="D234" s="507" t="s">
        <v>2037</v>
      </c>
      <c r="E234" s="630" t="s">
        <v>1471</v>
      </c>
      <c r="F234" s="630"/>
      <c r="G234" s="631" t="s">
        <v>2038</v>
      </c>
      <c r="H234" s="632" t="s">
        <v>537</v>
      </c>
      <c r="I234" s="633"/>
      <c r="J234" s="634" t="s">
        <v>3692</v>
      </c>
      <c r="K234" s="635"/>
      <c r="L234" s="626"/>
      <c r="M234" s="627"/>
      <c r="N234" s="636" t="s">
        <v>3691</v>
      </c>
      <c r="O234" s="636" t="s">
        <v>1726</v>
      </c>
      <c r="P234" s="507" t="s">
        <v>2426</v>
      </c>
      <c r="Q234" s="631"/>
      <c r="S234" s="611"/>
      <c r="T234" s="611"/>
      <c r="U234" s="611"/>
      <c r="V234" s="611"/>
      <c r="W234" s="611"/>
      <c r="X234" s="611"/>
      <c r="Y234" s="611"/>
      <c r="Z234" s="611"/>
      <c r="AA234" s="611"/>
    </row>
    <row r="235" spans="1:27" ht="12.4" customHeight="1">
      <c r="A235" s="611"/>
      <c r="B235" s="640"/>
      <c r="C235" s="507" t="s">
        <v>3371</v>
      </c>
      <c r="D235" s="507" t="s">
        <v>1873</v>
      </c>
      <c r="E235" s="630" t="s">
        <v>3372</v>
      </c>
      <c r="F235" s="630"/>
      <c r="G235" s="631" t="s">
        <v>2039</v>
      </c>
      <c r="H235" s="632" t="s">
        <v>537</v>
      </c>
      <c r="I235" s="633"/>
      <c r="J235" s="634" t="s">
        <v>3694</v>
      </c>
      <c r="K235" s="635"/>
      <c r="L235" s="626"/>
      <c r="M235" s="627"/>
      <c r="N235" s="507" t="s">
        <v>3866</v>
      </c>
      <c r="O235" s="507" t="s">
        <v>415</v>
      </c>
      <c r="P235" s="1580" t="s">
        <v>3242</v>
      </c>
      <c r="Q235" s="631"/>
      <c r="S235" s="611"/>
      <c r="T235" s="611"/>
      <c r="U235" s="611"/>
      <c r="V235" s="611"/>
      <c r="W235" s="611"/>
      <c r="X235" s="611"/>
      <c r="Y235" s="611"/>
      <c r="Z235" s="611"/>
      <c r="AA235" s="611"/>
    </row>
    <row r="236" spans="1:27" ht="12.4" customHeight="1">
      <c r="A236" s="611"/>
      <c r="B236" s="640"/>
      <c r="C236" s="507" t="s">
        <v>3373</v>
      </c>
      <c r="D236" s="507" t="s">
        <v>1873</v>
      </c>
      <c r="E236" s="630" t="s">
        <v>999</v>
      </c>
      <c r="F236" s="630"/>
      <c r="G236" s="631" t="s">
        <v>2040</v>
      </c>
      <c r="H236" s="632" t="s">
        <v>537</v>
      </c>
      <c r="I236" s="633"/>
      <c r="J236" s="634" t="s">
        <v>3696</v>
      </c>
      <c r="K236" s="635"/>
      <c r="L236" s="626"/>
      <c r="M236" s="627"/>
      <c r="N236" s="636" t="s">
        <v>3693</v>
      </c>
      <c r="O236" s="636" t="s">
        <v>2991</v>
      </c>
      <c r="P236" s="507" t="s">
        <v>2427</v>
      </c>
      <c r="Q236" s="631"/>
      <c r="S236" s="611"/>
      <c r="T236" s="611"/>
      <c r="U236" s="611"/>
      <c r="V236" s="611"/>
      <c r="W236" s="611"/>
      <c r="X236" s="611"/>
      <c r="Y236" s="611"/>
      <c r="Z236" s="611"/>
      <c r="AA236" s="611"/>
    </row>
    <row r="237" spans="1:27" ht="12.4" customHeight="1">
      <c r="A237" s="611"/>
      <c r="B237" s="640"/>
      <c r="C237" s="507" t="s">
        <v>1000</v>
      </c>
      <c r="D237" s="507" t="s">
        <v>2013</v>
      </c>
      <c r="E237" s="630" t="s">
        <v>1001</v>
      </c>
      <c r="F237" s="630"/>
      <c r="G237" s="631" t="s">
        <v>2041</v>
      </c>
      <c r="H237" s="632" t="s">
        <v>537</v>
      </c>
      <c r="I237" s="633"/>
      <c r="J237" s="634" t="s">
        <v>3697</v>
      </c>
      <c r="K237" s="635"/>
      <c r="L237" s="626"/>
      <c r="M237" s="627"/>
      <c r="N237" s="636" t="s">
        <v>3695</v>
      </c>
      <c r="O237" s="636" t="s">
        <v>1466</v>
      </c>
      <c r="P237" s="507" t="s">
        <v>2428</v>
      </c>
      <c r="Q237" s="631"/>
      <c r="S237" s="611"/>
      <c r="T237" s="611"/>
      <c r="U237" s="611"/>
      <c r="V237" s="611"/>
      <c r="W237" s="611"/>
      <c r="X237" s="611"/>
      <c r="Y237" s="611"/>
      <c r="Z237" s="611"/>
      <c r="AA237" s="611"/>
    </row>
    <row r="238" spans="1:27" ht="12.4" customHeight="1">
      <c r="A238" s="611"/>
      <c r="B238" s="640"/>
      <c r="C238" s="507" t="s">
        <v>1002</v>
      </c>
      <c r="D238" s="507" t="s">
        <v>2037</v>
      </c>
      <c r="E238" s="637" t="s">
        <v>1340</v>
      </c>
      <c r="F238" s="637"/>
      <c r="G238" s="631" t="s">
        <v>3886</v>
      </c>
      <c r="H238" s="632" t="s">
        <v>538</v>
      </c>
      <c r="I238" s="638"/>
      <c r="J238" s="634" t="s">
        <v>3355</v>
      </c>
      <c r="K238" s="635"/>
      <c r="L238" s="626"/>
      <c r="M238" s="627"/>
      <c r="N238" s="636" t="s">
        <v>3698</v>
      </c>
      <c r="O238" s="636" t="s">
        <v>215</v>
      </c>
      <c r="P238" s="507" t="s">
        <v>2429</v>
      </c>
      <c r="Q238" s="631"/>
      <c r="S238" s="611"/>
      <c r="T238" s="611"/>
      <c r="U238" s="611"/>
      <c r="V238" s="611"/>
      <c r="W238" s="611"/>
      <c r="X238" s="611"/>
      <c r="Y238" s="611"/>
      <c r="Z238" s="611"/>
      <c r="AA238" s="611"/>
    </row>
    <row r="239" spans="1:27" ht="12.4" customHeight="1">
      <c r="A239" s="611"/>
      <c r="B239" s="640"/>
      <c r="C239" s="507" t="s">
        <v>1003</v>
      </c>
      <c r="D239" s="507" t="s">
        <v>2013</v>
      </c>
      <c r="E239" s="637" t="s">
        <v>3400</v>
      </c>
      <c r="F239" s="637"/>
      <c r="G239" s="631" t="s">
        <v>2042</v>
      </c>
      <c r="H239" s="632" t="s">
        <v>538</v>
      </c>
      <c r="I239" s="638"/>
      <c r="J239" s="634" t="s">
        <v>1066</v>
      </c>
      <c r="K239" s="635"/>
      <c r="L239" s="626"/>
      <c r="M239" s="627"/>
      <c r="N239" s="636" t="s">
        <v>3356</v>
      </c>
      <c r="O239" s="636" t="s">
        <v>1000</v>
      </c>
      <c r="P239" s="507" t="s">
        <v>2430</v>
      </c>
      <c r="Q239" s="631"/>
      <c r="S239" s="611"/>
      <c r="T239" s="611"/>
      <c r="U239" s="611"/>
      <c r="V239" s="611"/>
      <c r="W239" s="611"/>
      <c r="X239" s="611"/>
      <c r="Y239" s="611"/>
      <c r="Z239" s="611"/>
      <c r="AA239" s="611"/>
    </row>
    <row r="240" spans="1:27" ht="12.4" customHeight="1">
      <c r="A240" s="611"/>
      <c r="B240" s="640"/>
      <c r="C240" s="507" t="s">
        <v>1004</v>
      </c>
      <c r="D240" s="507" t="s">
        <v>2013</v>
      </c>
      <c r="E240" s="637" t="s">
        <v>1340</v>
      </c>
      <c r="F240" s="637"/>
      <c r="G240" s="631" t="s">
        <v>3886</v>
      </c>
      <c r="H240" s="632" t="s">
        <v>538</v>
      </c>
      <c r="I240" s="638"/>
      <c r="J240" s="634" t="s">
        <v>1068</v>
      </c>
      <c r="K240" s="635"/>
      <c r="L240" s="626"/>
      <c r="M240" s="627"/>
      <c r="N240" s="636" t="s">
        <v>1067</v>
      </c>
      <c r="O240" s="636" t="s">
        <v>3756</v>
      </c>
      <c r="P240" s="507" t="s">
        <v>2431</v>
      </c>
      <c r="Q240" s="631"/>
      <c r="S240" s="611"/>
      <c r="T240" s="611"/>
      <c r="U240" s="611"/>
      <c r="V240" s="611"/>
      <c r="W240" s="611"/>
      <c r="X240" s="611"/>
      <c r="Y240" s="611"/>
      <c r="Z240" s="611"/>
      <c r="AA240" s="611"/>
    </row>
    <row r="241" spans="1:27" ht="12.4" customHeight="1">
      <c r="A241" s="611"/>
      <c r="B241" s="640"/>
      <c r="C241" s="507" t="s">
        <v>1005</v>
      </c>
      <c r="D241" s="507" t="s">
        <v>2013</v>
      </c>
      <c r="E241" s="637" t="s">
        <v>1006</v>
      </c>
      <c r="F241" s="637"/>
      <c r="G241" s="631" t="s">
        <v>2043</v>
      </c>
      <c r="H241" s="632" t="s">
        <v>537</v>
      </c>
      <c r="I241" s="638"/>
      <c r="J241" s="634" t="s">
        <v>1070</v>
      </c>
      <c r="K241" s="635"/>
      <c r="L241" s="626"/>
      <c r="M241" s="627"/>
      <c r="N241" s="636" t="s">
        <v>1069</v>
      </c>
      <c r="O241" s="636" t="s">
        <v>1741</v>
      </c>
      <c r="P241" s="507" t="s">
        <v>2432</v>
      </c>
      <c r="Q241" s="631"/>
      <c r="S241" s="611"/>
      <c r="T241" s="611"/>
      <c r="U241" s="611"/>
      <c r="V241" s="611"/>
      <c r="W241" s="611"/>
      <c r="X241" s="611"/>
      <c r="Y241" s="611"/>
      <c r="Z241" s="611"/>
      <c r="AA241" s="611"/>
    </row>
    <row r="242" spans="1:27" ht="12.4" customHeight="1">
      <c r="A242" s="611"/>
      <c r="B242" s="640"/>
      <c r="C242" s="507" t="s">
        <v>1868</v>
      </c>
      <c r="D242" s="507" t="s">
        <v>2037</v>
      </c>
      <c r="E242" s="637" t="s">
        <v>1340</v>
      </c>
      <c r="F242" s="637"/>
      <c r="G242" s="631" t="s">
        <v>3886</v>
      </c>
      <c r="H242" s="632" t="s">
        <v>538</v>
      </c>
      <c r="I242" s="638"/>
      <c r="J242" s="634" t="s">
        <v>1072</v>
      </c>
      <c r="K242" s="635"/>
      <c r="L242" s="626"/>
      <c r="M242" s="627"/>
      <c r="N242" s="636" t="s">
        <v>1071</v>
      </c>
      <c r="O242" s="636" t="s">
        <v>3902</v>
      </c>
      <c r="P242" s="507" t="s">
        <v>2433</v>
      </c>
      <c r="Q242" s="631"/>
      <c r="S242" s="611"/>
      <c r="T242" s="611"/>
      <c r="U242" s="611"/>
      <c r="V242" s="611"/>
      <c r="W242" s="611"/>
      <c r="X242" s="611"/>
      <c r="Y242" s="611"/>
      <c r="Z242" s="611"/>
      <c r="AA242" s="611"/>
    </row>
    <row r="243" spans="1:27" ht="12.4" customHeight="1">
      <c r="A243" s="611"/>
      <c r="B243" s="640"/>
      <c r="C243" s="507" t="s">
        <v>1007</v>
      </c>
      <c r="D243" s="507" t="s">
        <v>2013</v>
      </c>
      <c r="E243" s="630" t="s">
        <v>1008</v>
      </c>
      <c r="F243" s="630"/>
      <c r="G243" s="631" t="s">
        <v>306</v>
      </c>
      <c r="H243" s="632" t="s">
        <v>537</v>
      </c>
      <c r="I243" s="633"/>
      <c r="J243" s="634" t="s">
        <v>3346</v>
      </c>
      <c r="K243" s="635"/>
      <c r="L243" s="626"/>
      <c r="M243" s="627"/>
      <c r="N243" s="507" t="s">
        <v>3867</v>
      </c>
      <c r="O243" s="507" t="s">
        <v>3758</v>
      </c>
      <c r="P243" s="1580" t="s">
        <v>3242</v>
      </c>
      <c r="Q243" s="631"/>
      <c r="S243" s="611"/>
      <c r="T243" s="611"/>
      <c r="U243" s="611"/>
      <c r="V243" s="611"/>
      <c r="W243" s="611"/>
      <c r="X243" s="611"/>
      <c r="Y243" s="611"/>
      <c r="Z243" s="611"/>
      <c r="AA243" s="611"/>
    </row>
    <row r="244" spans="1:27" ht="12.4" customHeight="1">
      <c r="A244" s="611"/>
      <c r="B244" s="640"/>
      <c r="C244" s="507" t="s">
        <v>1009</v>
      </c>
      <c r="D244" s="507" t="s">
        <v>2037</v>
      </c>
      <c r="E244" s="637" t="s">
        <v>1010</v>
      </c>
      <c r="F244" s="637"/>
      <c r="G244" s="631" t="s">
        <v>307</v>
      </c>
      <c r="H244" s="632" t="s">
        <v>537</v>
      </c>
      <c r="I244" s="638"/>
      <c r="J244" s="634" t="s">
        <v>3347</v>
      </c>
      <c r="K244" s="635"/>
      <c r="L244" s="626"/>
      <c r="M244" s="627"/>
      <c r="N244" s="636" t="s">
        <v>3348</v>
      </c>
      <c r="O244" s="636" t="s">
        <v>2663</v>
      </c>
      <c r="P244" s="507" t="s">
        <v>2434</v>
      </c>
      <c r="Q244" s="631"/>
      <c r="S244" s="611"/>
      <c r="T244" s="611"/>
      <c r="U244" s="611"/>
      <c r="V244" s="611"/>
      <c r="W244" s="611"/>
      <c r="X244" s="611"/>
      <c r="Y244" s="611"/>
      <c r="Z244" s="611"/>
      <c r="AA244" s="611"/>
    </row>
    <row r="245" spans="1:27" ht="12.4" customHeight="1">
      <c r="A245" s="611"/>
      <c r="B245" s="640"/>
      <c r="C245" s="507" t="s">
        <v>1011</v>
      </c>
      <c r="D245" s="507" t="s">
        <v>1873</v>
      </c>
      <c r="E245" s="630" t="s">
        <v>13</v>
      </c>
      <c r="F245" s="630"/>
      <c r="G245" s="631" t="s">
        <v>3891</v>
      </c>
      <c r="H245" s="632" t="s">
        <v>538</v>
      </c>
      <c r="I245" s="633"/>
      <c r="J245" s="634" t="s">
        <v>3349</v>
      </c>
      <c r="K245" s="635"/>
      <c r="L245" s="626"/>
      <c r="M245" s="627"/>
      <c r="N245" s="636" t="s">
        <v>3350</v>
      </c>
      <c r="O245" s="636" t="s">
        <v>3896</v>
      </c>
      <c r="P245" s="507" t="s">
        <v>2435</v>
      </c>
      <c r="Q245" s="631"/>
      <c r="S245" s="611"/>
      <c r="T245" s="611"/>
      <c r="U245" s="611"/>
      <c r="V245" s="611"/>
      <c r="W245" s="611"/>
      <c r="X245" s="611"/>
      <c r="Y245" s="611"/>
      <c r="Z245" s="611"/>
      <c r="AA245" s="611"/>
    </row>
    <row r="246" spans="1:27" ht="12.4" customHeight="1">
      <c r="A246" s="611"/>
      <c r="B246" s="640"/>
      <c r="C246" s="507" t="s">
        <v>1012</v>
      </c>
      <c r="D246" s="507" t="s">
        <v>2013</v>
      </c>
      <c r="E246" s="630" t="s">
        <v>1013</v>
      </c>
      <c r="F246" s="630"/>
      <c r="G246" s="631" t="s">
        <v>308</v>
      </c>
      <c r="H246" s="632" t="s">
        <v>537</v>
      </c>
      <c r="I246" s="633"/>
      <c r="J246" s="634" t="s">
        <v>1035</v>
      </c>
      <c r="K246" s="635"/>
      <c r="L246" s="626"/>
      <c r="M246" s="627"/>
      <c r="N246" s="636" t="s">
        <v>1036</v>
      </c>
      <c r="O246" s="636" t="s">
        <v>1223</v>
      </c>
      <c r="P246" s="507" t="s">
        <v>2436</v>
      </c>
      <c r="Q246" s="631"/>
      <c r="S246" s="611"/>
      <c r="T246" s="611"/>
      <c r="U246" s="611"/>
      <c r="V246" s="611"/>
      <c r="W246" s="611"/>
      <c r="X246" s="611"/>
      <c r="Y246" s="611"/>
      <c r="Z246" s="611"/>
      <c r="AA246" s="611"/>
    </row>
    <row r="247" spans="1:27" ht="12.4" customHeight="1">
      <c r="A247" s="611"/>
      <c r="B247" s="640"/>
      <c r="C247" s="507" t="s">
        <v>1014</v>
      </c>
      <c r="D247" s="507" t="s">
        <v>1873</v>
      </c>
      <c r="E247" s="630" t="s">
        <v>1015</v>
      </c>
      <c r="F247" s="630"/>
      <c r="G247" s="631" t="s">
        <v>512</v>
      </c>
      <c r="H247" s="632" t="s">
        <v>537</v>
      </c>
      <c r="I247" s="633"/>
      <c r="J247" s="634" t="s">
        <v>1372</v>
      </c>
      <c r="K247" s="635"/>
      <c r="L247" s="626"/>
      <c r="M247" s="627"/>
      <c r="N247" s="636" t="s">
        <v>3402</v>
      </c>
      <c r="O247" s="636" t="s">
        <v>412</v>
      </c>
      <c r="P247" s="507" t="s">
        <v>2437</v>
      </c>
      <c r="Q247" s="631"/>
      <c r="S247" s="611"/>
      <c r="T247" s="611"/>
      <c r="U247" s="611"/>
      <c r="V247" s="611"/>
      <c r="W247" s="611"/>
      <c r="X247" s="611"/>
      <c r="Y247" s="611"/>
      <c r="Z247" s="611"/>
      <c r="AA247" s="611"/>
    </row>
    <row r="248" spans="1:27" ht="12.4" customHeight="1">
      <c r="A248" s="611"/>
      <c r="B248" s="640"/>
      <c r="C248" s="507" t="s">
        <v>1016</v>
      </c>
      <c r="D248" s="507" t="s">
        <v>2037</v>
      </c>
      <c r="E248" s="630" t="s">
        <v>1017</v>
      </c>
      <c r="F248" s="630"/>
      <c r="G248" s="631" t="s">
        <v>513</v>
      </c>
      <c r="H248" s="632" t="s">
        <v>537</v>
      </c>
      <c r="I248" s="633"/>
      <c r="J248" s="634" t="s">
        <v>3403</v>
      </c>
      <c r="K248" s="635"/>
      <c r="L248" s="626"/>
      <c r="M248" s="627"/>
      <c r="N248" s="636" t="s">
        <v>3478</v>
      </c>
      <c r="O248" s="636" t="s">
        <v>1470</v>
      </c>
      <c r="P248" s="507" t="s">
        <v>2438</v>
      </c>
      <c r="Q248" s="631"/>
      <c r="S248" s="611"/>
      <c r="T248" s="611"/>
      <c r="U248" s="611"/>
      <c r="V248" s="611"/>
      <c r="W248" s="611"/>
      <c r="X248" s="611"/>
      <c r="Y248" s="611"/>
      <c r="Z248" s="611"/>
      <c r="AA248" s="611"/>
    </row>
    <row r="249" spans="1:27" ht="12.4" customHeight="1">
      <c r="A249" s="611"/>
      <c r="B249" s="640"/>
      <c r="C249" s="507" t="s">
        <v>136</v>
      </c>
      <c r="D249" s="507" t="s">
        <v>2037</v>
      </c>
      <c r="E249" s="637" t="s">
        <v>1340</v>
      </c>
      <c r="F249" s="637"/>
      <c r="G249" s="631" t="s">
        <v>3886</v>
      </c>
      <c r="H249" s="632" t="s">
        <v>538</v>
      </c>
      <c r="I249" s="638"/>
      <c r="J249" s="634" t="s">
        <v>3441</v>
      </c>
      <c r="K249" s="635"/>
      <c r="L249" s="626"/>
      <c r="M249" s="627"/>
      <c r="N249" s="636" t="s">
        <v>55</v>
      </c>
      <c r="O249" s="636" t="s">
        <v>419</v>
      </c>
      <c r="P249" s="507" t="s">
        <v>2439</v>
      </c>
      <c r="Q249" s="631"/>
      <c r="S249" s="611"/>
      <c r="T249" s="611"/>
      <c r="U249" s="611"/>
      <c r="V249" s="611"/>
      <c r="W249" s="611"/>
      <c r="X249" s="611"/>
      <c r="Y249" s="611"/>
      <c r="Z249" s="611"/>
      <c r="AA249" s="611"/>
    </row>
    <row r="250" spans="1:27" ht="12.4" customHeight="1">
      <c r="A250" s="611"/>
      <c r="B250" s="640"/>
      <c r="C250" s="507" t="s">
        <v>137</v>
      </c>
      <c r="D250" s="507" t="s">
        <v>2013</v>
      </c>
      <c r="E250" s="630" t="s">
        <v>138</v>
      </c>
      <c r="F250" s="630"/>
      <c r="G250" s="631" t="s">
        <v>514</v>
      </c>
      <c r="H250" s="632" t="s">
        <v>537</v>
      </c>
      <c r="I250" s="633"/>
      <c r="J250" s="634" t="s">
        <v>54</v>
      </c>
      <c r="K250" s="635"/>
      <c r="L250" s="626"/>
      <c r="M250" s="627"/>
      <c r="N250" s="636" t="s">
        <v>971</v>
      </c>
      <c r="O250" s="636" t="s">
        <v>3904</v>
      </c>
      <c r="P250" s="507" t="s">
        <v>2440</v>
      </c>
      <c r="Q250" s="631"/>
      <c r="S250" s="611"/>
      <c r="T250" s="611"/>
      <c r="U250" s="611"/>
      <c r="V250" s="611"/>
      <c r="W250" s="611"/>
      <c r="X250" s="611"/>
      <c r="Y250" s="611"/>
      <c r="Z250" s="611"/>
      <c r="AA250" s="611"/>
    </row>
    <row r="251" spans="1:27" ht="12.4" customHeight="1">
      <c r="A251" s="611"/>
      <c r="B251" s="640"/>
      <c r="C251" s="507" t="s">
        <v>407</v>
      </c>
      <c r="D251" s="507" t="s">
        <v>2013</v>
      </c>
      <c r="E251" s="630" t="s">
        <v>1883</v>
      </c>
      <c r="F251" s="630"/>
      <c r="G251" s="631" t="s">
        <v>515</v>
      </c>
      <c r="H251" s="632" t="s">
        <v>538</v>
      </c>
      <c r="I251" s="633"/>
      <c r="J251" s="634" t="s">
        <v>970</v>
      </c>
      <c r="K251" s="635"/>
      <c r="L251" s="626"/>
      <c r="M251" s="627"/>
      <c r="N251" s="636" t="s">
        <v>399</v>
      </c>
      <c r="O251" s="636" t="s">
        <v>410</v>
      </c>
      <c r="P251" s="507" t="s">
        <v>2441</v>
      </c>
      <c r="Q251" s="631"/>
      <c r="S251" s="611"/>
      <c r="T251" s="611"/>
      <c r="U251" s="611"/>
      <c r="V251" s="611"/>
      <c r="W251" s="611"/>
      <c r="X251" s="611"/>
      <c r="Y251" s="611"/>
      <c r="Z251" s="611"/>
      <c r="AA251" s="611"/>
    </row>
    <row r="252" spans="1:27" ht="12.4" customHeight="1">
      <c r="A252" s="611"/>
      <c r="B252" s="640"/>
      <c r="C252" s="639" t="s">
        <v>408</v>
      </c>
      <c r="D252" s="507" t="s">
        <v>2037</v>
      </c>
      <c r="E252" s="630" t="s">
        <v>409</v>
      </c>
      <c r="F252" s="630"/>
      <c r="G252" s="631" t="s">
        <v>516</v>
      </c>
      <c r="H252" s="632" t="s">
        <v>537</v>
      </c>
      <c r="I252" s="633"/>
      <c r="J252" s="634" t="s">
        <v>398</v>
      </c>
      <c r="K252" s="635"/>
      <c r="L252" s="626"/>
      <c r="M252" s="627"/>
      <c r="N252" s="636" t="s">
        <v>3580</v>
      </c>
      <c r="O252" s="636" t="s">
        <v>254</v>
      </c>
      <c r="P252" s="507" t="s">
        <v>2442</v>
      </c>
      <c r="Q252" s="631"/>
      <c r="S252" s="611"/>
      <c r="T252" s="611"/>
      <c r="U252" s="611"/>
      <c r="V252" s="611"/>
      <c r="W252" s="611"/>
      <c r="X252" s="611"/>
      <c r="Y252" s="611"/>
      <c r="Z252" s="611"/>
      <c r="AA252" s="611"/>
    </row>
    <row r="253" spans="1:27" ht="12.4" customHeight="1">
      <c r="A253" s="611"/>
      <c r="B253" s="640"/>
      <c r="C253" s="507" t="s">
        <v>410</v>
      </c>
      <c r="D253" s="507" t="s">
        <v>2013</v>
      </c>
      <c r="E253" s="637" t="s">
        <v>1342</v>
      </c>
      <c r="F253" s="637"/>
      <c r="G253" s="631" t="s">
        <v>517</v>
      </c>
      <c r="H253" s="632" t="s">
        <v>538</v>
      </c>
      <c r="I253" s="638"/>
      <c r="J253" s="634" t="s">
        <v>3579</v>
      </c>
      <c r="K253" s="635"/>
      <c r="L253" s="626"/>
      <c r="M253" s="627"/>
      <c r="N253" s="636" t="s">
        <v>3628</v>
      </c>
      <c r="O253" s="636" t="s">
        <v>2662</v>
      </c>
      <c r="P253" s="507" t="s">
        <v>2443</v>
      </c>
      <c r="Q253" s="631"/>
      <c r="S253" s="611"/>
      <c r="T253" s="611"/>
      <c r="U253" s="611"/>
      <c r="V253" s="611"/>
      <c r="W253" s="611"/>
      <c r="X253" s="611"/>
      <c r="Y253" s="611"/>
      <c r="Z253" s="611"/>
      <c r="AA253" s="611"/>
    </row>
    <row r="254" spans="1:27" ht="12.4" customHeight="1">
      <c r="A254" s="611"/>
      <c r="B254" s="640"/>
      <c r="C254" s="507" t="s">
        <v>411</v>
      </c>
      <c r="D254" s="507" t="s">
        <v>2037</v>
      </c>
      <c r="E254" s="637" t="s">
        <v>217</v>
      </c>
      <c r="F254" s="637"/>
      <c r="G254" s="631" t="s">
        <v>2700</v>
      </c>
      <c r="H254" s="632" t="s">
        <v>538</v>
      </c>
      <c r="I254" s="638"/>
      <c r="J254" s="634" t="s">
        <v>3627</v>
      </c>
      <c r="K254" s="635"/>
      <c r="L254" s="626"/>
      <c r="M254" s="627"/>
      <c r="N254" s="636" t="s">
        <v>966</v>
      </c>
      <c r="O254" s="636" t="s">
        <v>2029</v>
      </c>
      <c r="P254" s="507" t="s">
        <v>2444</v>
      </c>
      <c r="Q254" s="631"/>
      <c r="S254" s="611"/>
      <c r="T254" s="611"/>
      <c r="U254" s="611"/>
      <c r="V254" s="611"/>
      <c r="W254" s="611"/>
      <c r="X254" s="611"/>
      <c r="Y254" s="611"/>
      <c r="Z254" s="611"/>
      <c r="AA254" s="611"/>
    </row>
    <row r="255" spans="1:27" ht="12.4" customHeight="1">
      <c r="A255" s="611"/>
      <c r="B255" s="640"/>
      <c r="C255" s="507" t="s">
        <v>412</v>
      </c>
      <c r="D255" s="507" t="s">
        <v>2037</v>
      </c>
      <c r="E255" s="630" t="s">
        <v>413</v>
      </c>
      <c r="F255" s="630"/>
      <c r="G255" s="631" t="s">
        <v>518</v>
      </c>
      <c r="H255" s="632" t="s">
        <v>537</v>
      </c>
      <c r="I255" s="633"/>
      <c r="J255" s="634" t="s">
        <v>3629</v>
      </c>
      <c r="K255" s="635"/>
      <c r="L255" s="626"/>
      <c r="M255" s="627"/>
      <c r="N255" s="636" t="s">
        <v>2026</v>
      </c>
      <c r="O255" s="636" t="s">
        <v>1002</v>
      </c>
      <c r="P255" s="507" t="s">
        <v>2445</v>
      </c>
      <c r="Q255" s="631"/>
      <c r="S255" s="611"/>
      <c r="T255" s="611"/>
      <c r="U255" s="611"/>
      <c r="V255" s="611"/>
      <c r="W255" s="611"/>
      <c r="X255" s="611"/>
      <c r="Y255" s="611"/>
      <c r="Z255" s="611"/>
      <c r="AA255" s="611"/>
    </row>
    <row r="256" spans="1:27" ht="12.4" customHeight="1">
      <c r="A256" s="611"/>
      <c r="B256" s="640"/>
      <c r="C256" s="507" t="s">
        <v>414</v>
      </c>
      <c r="D256" s="507" t="s">
        <v>2037</v>
      </c>
      <c r="E256" s="637" t="s">
        <v>1340</v>
      </c>
      <c r="F256" s="637"/>
      <c r="G256" s="631" t="s">
        <v>3886</v>
      </c>
      <c r="H256" s="632" t="s">
        <v>538</v>
      </c>
      <c r="I256" s="638"/>
      <c r="J256" s="634" t="s">
        <v>3630</v>
      </c>
      <c r="K256" s="635"/>
      <c r="L256" s="626"/>
      <c r="M256" s="627"/>
      <c r="N256" s="636" t="s">
        <v>3568</v>
      </c>
      <c r="O256" s="636" t="s">
        <v>3762</v>
      </c>
      <c r="P256" s="507" t="s">
        <v>2446</v>
      </c>
      <c r="Q256" s="631"/>
      <c r="S256" s="611"/>
      <c r="T256" s="611"/>
      <c r="U256" s="611"/>
      <c r="V256" s="611"/>
      <c r="W256" s="611"/>
      <c r="X256" s="611"/>
      <c r="Y256" s="611"/>
      <c r="Z256" s="611"/>
      <c r="AA256" s="611"/>
    </row>
    <row r="257" spans="1:27" ht="12.4" customHeight="1">
      <c r="A257" s="611"/>
      <c r="B257" s="640"/>
      <c r="C257" s="507" t="s">
        <v>415</v>
      </c>
      <c r="D257" s="507" t="s">
        <v>2037</v>
      </c>
      <c r="E257" s="637" t="s">
        <v>1340</v>
      </c>
      <c r="F257" s="637"/>
      <c r="G257" s="631" t="s">
        <v>3886</v>
      </c>
      <c r="H257" s="632" t="s">
        <v>538</v>
      </c>
      <c r="I257" s="638"/>
      <c r="J257" s="634" t="s">
        <v>3567</v>
      </c>
      <c r="K257" s="635"/>
      <c r="L257" s="626"/>
      <c r="M257" s="627"/>
      <c r="N257" s="636" t="s">
        <v>13</v>
      </c>
      <c r="O257" s="636" t="s">
        <v>1011</v>
      </c>
      <c r="P257" s="507" t="s">
        <v>2447</v>
      </c>
      <c r="Q257" s="631"/>
      <c r="S257" s="611"/>
      <c r="T257" s="611"/>
      <c r="U257" s="611"/>
      <c r="V257" s="611"/>
      <c r="W257" s="611"/>
      <c r="X257" s="611"/>
      <c r="Y257" s="611"/>
      <c r="Z257" s="611"/>
      <c r="AA257" s="611"/>
    </row>
    <row r="258" spans="1:27" ht="12.4" customHeight="1">
      <c r="A258" s="611"/>
      <c r="B258" s="640"/>
      <c r="C258" s="507" t="s">
        <v>416</v>
      </c>
      <c r="D258" s="507" t="s">
        <v>2037</v>
      </c>
      <c r="E258" s="637" t="s">
        <v>2727</v>
      </c>
      <c r="F258" s="637"/>
      <c r="G258" s="631" t="s">
        <v>519</v>
      </c>
      <c r="H258" s="632" t="s">
        <v>538</v>
      </c>
      <c r="I258" s="638"/>
      <c r="J258" s="634" t="s">
        <v>12</v>
      </c>
      <c r="K258" s="635"/>
      <c r="L258" s="626"/>
      <c r="M258" s="627"/>
      <c r="N258" s="636" t="s">
        <v>15</v>
      </c>
      <c r="O258" s="636" t="s">
        <v>410</v>
      </c>
      <c r="P258" s="639" t="s">
        <v>2448</v>
      </c>
      <c r="Q258" s="631"/>
      <c r="S258" s="611"/>
      <c r="T258" s="611"/>
      <c r="U258" s="611"/>
      <c r="V258" s="611"/>
      <c r="W258" s="611"/>
      <c r="X258" s="611"/>
      <c r="Y258" s="611"/>
      <c r="Z258" s="611"/>
      <c r="AA258" s="611"/>
    </row>
    <row r="259" spans="1:27" ht="12.4" customHeight="1">
      <c r="A259" s="611"/>
      <c r="B259" s="640"/>
      <c r="C259" s="507" t="s">
        <v>417</v>
      </c>
      <c r="D259" s="507" t="s">
        <v>1873</v>
      </c>
      <c r="E259" s="630" t="s">
        <v>418</v>
      </c>
      <c r="F259" s="630"/>
      <c r="G259" s="631" t="s">
        <v>992</v>
      </c>
      <c r="H259" s="632" t="s">
        <v>537</v>
      </c>
      <c r="I259" s="633"/>
      <c r="J259" s="634" t="s">
        <v>14</v>
      </c>
      <c r="K259" s="635"/>
      <c r="L259" s="626"/>
      <c r="M259" s="627"/>
      <c r="N259" s="636" t="s">
        <v>66</v>
      </c>
      <c r="O259" s="636" t="s">
        <v>3896</v>
      </c>
      <c r="P259" s="507" t="s">
        <v>2449</v>
      </c>
      <c r="Q259" s="631"/>
      <c r="S259" s="611"/>
      <c r="T259" s="611"/>
      <c r="U259" s="611"/>
      <c r="V259" s="611"/>
      <c r="W259" s="611"/>
      <c r="X259" s="611"/>
      <c r="Y259" s="611"/>
      <c r="Z259" s="611"/>
      <c r="AA259" s="611"/>
    </row>
    <row r="260" spans="1:27" ht="12.4" customHeight="1">
      <c r="A260" s="611"/>
      <c r="B260" s="640"/>
      <c r="C260" s="507" t="s">
        <v>419</v>
      </c>
      <c r="D260" s="507" t="s">
        <v>2037</v>
      </c>
      <c r="E260" s="630" t="s">
        <v>420</v>
      </c>
      <c r="F260" s="630"/>
      <c r="G260" s="631" t="s">
        <v>993</v>
      </c>
      <c r="H260" s="632" t="s">
        <v>537</v>
      </c>
      <c r="I260" s="633"/>
      <c r="J260" s="634" t="s">
        <v>65</v>
      </c>
      <c r="K260" s="635"/>
      <c r="L260" s="626"/>
      <c r="M260" s="627"/>
      <c r="N260" s="636" t="s">
        <v>68</v>
      </c>
      <c r="O260" s="636" t="s">
        <v>458</v>
      </c>
      <c r="P260" s="507" t="s">
        <v>2450</v>
      </c>
      <c r="Q260" s="631"/>
      <c r="S260" s="611"/>
      <c r="T260" s="611"/>
      <c r="U260" s="611"/>
      <c r="V260" s="611"/>
      <c r="W260" s="611"/>
      <c r="X260" s="611"/>
      <c r="Y260" s="611"/>
      <c r="Z260" s="611"/>
      <c r="AA260" s="611"/>
    </row>
    <row r="261" spans="1:27" ht="12.4" customHeight="1">
      <c r="A261" s="611"/>
      <c r="B261" s="640"/>
      <c r="C261" s="507" t="s">
        <v>421</v>
      </c>
      <c r="D261" s="507" t="s">
        <v>2037</v>
      </c>
      <c r="E261" s="637" t="s">
        <v>1340</v>
      </c>
      <c r="F261" s="637"/>
      <c r="G261" s="631" t="s">
        <v>3886</v>
      </c>
      <c r="H261" s="632" t="s">
        <v>538</v>
      </c>
      <c r="I261" s="638"/>
      <c r="J261" s="634" t="s">
        <v>67</v>
      </c>
      <c r="K261" s="635"/>
      <c r="L261" s="626"/>
      <c r="M261" s="627"/>
      <c r="N261" s="636" t="s">
        <v>70</v>
      </c>
      <c r="O261" s="636" t="s">
        <v>136</v>
      </c>
      <c r="P261" s="507" t="s">
        <v>2451</v>
      </c>
      <c r="Q261" s="631"/>
      <c r="S261" s="611"/>
      <c r="T261" s="611"/>
      <c r="U261" s="611"/>
      <c r="V261" s="611"/>
      <c r="W261" s="611"/>
      <c r="X261" s="611"/>
      <c r="Y261" s="611"/>
      <c r="Z261" s="611"/>
      <c r="AA261" s="611"/>
    </row>
    <row r="262" spans="1:27" ht="12.4" customHeight="1">
      <c r="A262" s="611"/>
      <c r="B262" s="640"/>
      <c r="C262" s="507" t="s">
        <v>422</v>
      </c>
      <c r="D262" s="507" t="s">
        <v>1873</v>
      </c>
      <c r="E262" s="630" t="s">
        <v>423</v>
      </c>
      <c r="F262" s="630"/>
      <c r="G262" s="631" t="s">
        <v>994</v>
      </c>
      <c r="H262" s="632" t="s">
        <v>537</v>
      </c>
      <c r="I262" s="633"/>
      <c r="J262" s="634" t="s">
        <v>69</v>
      </c>
      <c r="K262" s="635"/>
      <c r="L262" s="626"/>
      <c r="M262" s="627"/>
      <c r="N262" s="636" t="s">
        <v>453</v>
      </c>
      <c r="O262" s="636" t="s">
        <v>3293</v>
      </c>
      <c r="P262" s="507" t="s">
        <v>2452</v>
      </c>
      <c r="Q262" s="631"/>
      <c r="S262" s="611"/>
      <c r="T262" s="611"/>
      <c r="U262" s="611"/>
      <c r="V262" s="611"/>
      <c r="W262" s="611"/>
      <c r="X262" s="611"/>
      <c r="Y262" s="611"/>
      <c r="Z262" s="611"/>
      <c r="AA262" s="611"/>
    </row>
    <row r="263" spans="1:27" ht="12.4" customHeight="1">
      <c r="A263" s="611"/>
      <c r="B263" s="640"/>
      <c r="C263" s="507" t="s">
        <v>424</v>
      </c>
      <c r="D263" s="507" t="s">
        <v>2037</v>
      </c>
      <c r="E263" s="630" t="s">
        <v>425</v>
      </c>
      <c r="F263" s="630"/>
      <c r="G263" s="631" t="s">
        <v>349</v>
      </c>
      <c r="H263" s="632" t="s">
        <v>537</v>
      </c>
      <c r="I263" s="633"/>
      <c r="J263" s="634" t="s">
        <v>452</v>
      </c>
      <c r="K263" s="635"/>
      <c r="L263" s="626"/>
      <c r="M263" s="627"/>
      <c r="N263" s="636" t="s">
        <v>455</v>
      </c>
      <c r="O263" s="636" t="s">
        <v>1550</v>
      </c>
      <c r="P263" s="507" t="s">
        <v>2453</v>
      </c>
      <c r="Q263" s="631"/>
      <c r="S263" s="611"/>
      <c r="T263" s="611"/>
      <c r="U263" s="611"/>
      <c r="V263" s="611"/>
      <c r="W263" s="611"/>
      <c r="X263" s="611"/>
      <c r="Y263" s="611"/>
      <c r="Z263" s="611"/>
      <c r="AA263" s="611"/>
    </row>
    <row r="264" spans="1:27" ht="12.4" customHeight="1">
      <c r="A264" s="611"/>
      <c r="B264" s="640"/>
      <c r="C264" s="507" t="s">
        <v>426</v>
      </c>
      <c r="D264" s="507" t="s">
        <v>1873</v>
      </c>
      <c r="E264" s="630" t="s">
        <v>427</v>
      </c>
      <c r="F264" s="630"/>
      <c r="G264" s="631" t="s">
        <v>350</v>
      </c>
      <c r="H264" s="632" t="s">
        <v>537</v>
      </c>
      <c r="I264" s="633"/>
      <c r="J264" s="634" t="s">
        <v>454</v>
      </c>
      <c r="K264" s="635"/>
      <c r="L264" s="626"/>
      <c r="M264" s="627"/>
      <c r="N264" s="636" t="s">
        <v>457</v>
      </c>
      <c r="O264" s="636" t="s">
        <v>1723</v>
      </c>
      <c r="P264" s="507" t="s">
        <v>2454</v>
      </c>
      <c r="Q264" s="631"/>
      <c r="S264" s="611"/>
      <c r="T264" s="611"/>
      <c r="U264" s="611"/>
      <c r="V264" s="611"/>
      <c r="W264" s="611"/>
      <c r="X264" s="611"/>
      <c r="Y264" s="611"/>
      <c r="Z264" s="611"/>
      <c r="AA264" s="611"/>
    </row>
    <row r="265" spans="1:27" ht="12.4" customHeight="1">
      <c r="A265" s="611"/>
      <c r="B265" s="640"/>
      <c r="C265" s="507" t="s">
        <v>428</v>
      </c>
      <c r="D265" s="507" t="s">
        <v>1873</v>
      </c>
      <c r="E265" s="630" t="s">
        <v>429</v>
      </c>
      <c r="F265" s="630"/>
      <c r="G265" s="631" t="s">
        <v>351</v>
      </c>
      <c r="H265" s="632" t="s">
        <v>537</v>
      </c>
      <c r="I265" s="633"/>
      <c r="J265" s="634" t="s">
        <v>456</v>
      </c>
      <c r="K265" s="635"/>
      <c r="L265" s="626"/>
      <c r="M265" s="627"/>
      <c r="N265" s="636" t="s">
        <v>967</v>
      </c>
      <c r="O265" s="636" t="s">
        <v>2179</v>
      </c>
      <c r="P265" s="507" t="s">
        <v>2455</v>
      </c>
      <c r="Q265" s="631"/>
      <c r="S265" s="611"/>
      <c r="T265" s="611"/>
      <c r="U265" s="611"/>
      <c r="V265" s="611"/>
      <c r="W265" s="611"/>
      <c r="X265" s="611"/>
      <c r="Y265" s="611"/>
      <c r="Z265" s="611"/>
      <c r="AA265" s="611"/>
    </row>
    <row r="266" spans="1:27" ht="12.4" customHeight="1">
      <c r="A266" s="611"/>
      <c r="B266" s="640"/>
      <c r="C266" s="507" t="s">
        <v>634</v>
      </c>
      <c r="D266" s="507" t="s">
        <v>2037</v>
      </c>
      <c r="E266" s="637" t="s">
        <v>2022</v>
      </c>
      <c r="F266" s="637"/>
      <c r="G266" s="631" t="s">
        <v>3889</v>
      </c>
      <c r="H266" s="632" t="s">
        <v>538</v>
      </c>
      <c r="I266" s="638"/>
      <c r="J266" s="634" t="s">
        <v>3429</v>
      </c>
      <c r="K266" s="635"/>
      <c r="L266" s="626"/>
      <c r="M266" s="627"/>
      <c r="N266" s="636" t="s">
        <v>3430</v>
      </c>
      <c r="O266" s="636" t="s">
        <v>1014</v>
      </c>
      <c r="P266" s="507" t="s">
        <v>2456</v>
      </c>
      <c r="Q266" s="631"/>
      <c r="S266" s="611"/>
      <c r="T266" s="611"/>
      <c r="U266" s="611"/>
      <c r="V266" s="611"/>
      <c r="W266" s="611"/>
      <c r="X266" s="611"/>
      <c r="Y266" s="611"/>
      <c r="Z266" s="611"/>
      <c r="AA266" s="611"/>
    </row>
    <row r="267" spans="1:27" ht="12.4" customHeight="1">
      <c r="A267" s="611"/>
      <c r="B267" s="640"/>
      <c r="C267" s="507" t="s">
        <v>635</v>
      </c>
      <c r="D267" s="507" t="s">
        <v>2037</v>
      </c>
      <c r="E267" s="637" t="s">
        <v>1343</v>
      </c>
      <c r="F267" s="637"/>
      <c r="G267" s="631" t="s">
        <v>352</v>
      </c>
      <c r="H267" s="632" t="s">
        <v>538</v>
      </c>
      <c r="I267" s="638"/>
      <c r="J267" s="634" t="s">
        <v>3431</v>
      </c>
      <c r="K267" s="635"/>
      <c r="L267" s="626"/>
      <c r="M267" s="627"/>
      <c r="N267" s="636" t="s">
        <v>2034</v>
      </c>
      <c r="O267" s="636" t="s">
        <v>1012</v>
      </c>
      <c r="P267" s="507" t="s">
        <v>2457</v>
      </c>
      <c r="Q267" s="631"/>
      <c r="S267" s="611"/>
      <c r="T267" s="611"/>
      <c r="U267" s="611"/>
      <c r="V267" s="611"/>
      <c r="W267" s="611"/>
      <c r="X267" s="611"/>
      <c r="Y267" s="611"/>
      <c r="Z267" s="611"/>
      <c r="AA267" s="611"/>
    </row>
    <row r="268" spans="1:27" ht="12.4" customHeight="1">
      <c r="A268" s="611"/>
      <c r="B268" s="640"/>
      <c r="C268" s="507" t="s">
        <v>2178</v>
      </c>
      <c r="D268" s="507" t="s">
        <v>1873</v>
      </c>
      <c r="E268" s="630" t="s">
        <v>2714</v>
      </c>
      <c r="F268" s="630"/>
      <c r="G268" s="631" t="s">
        <v>3892</v>
      </c>
      <c r="H268" s="632" t="s">
        <v>538</v>
      </c>
      <c r="I268" s="633"/>
      <c r="J268" s="634" t="s">
        <v>3432</v>
      </c>
      <c r="K268" s="635"/>
      <c r="L268" s="626"/>
      <c r="M268" s="627"/>
      <c r="N268" s="636" t="s">
        <v>3434</v>
      </c>
      <c r="O268" s="636" t="s">
        <v>118</v>
      </c>
      <c r="P268" s="507" t="s">
        <v>2458</v>
      </c>
      <c r="Q268" s="631"/>
      <c r="S268" s="611"/>
      <c r="T268" s="611"/>
      <c r="U268" s="611"/>
      <c r="V268" s="611"/>
      <c r="W268" s="611"/>
      <c r="X268" s="611"/>
      <c r="Y268" s="611"/>
      <c r="Z268" s="611"/>
      <c r="AA268" s="611"/>
    </row>
    <row r="269" spans="1:27" ht="12.4" customHeight="1">
      <c r="A269" s="611"/>
      <c r="B269" s="640"/>
      <c r="C269" s="507" t="s">
        <v>2179</v>
      </c>
      <c r="D269" s="507" t="s">
        <v>1873</v>
      </c>
      <c r="E269" s="630" t="s">
        <v>2180</v>
      </c>
      <c r="F269" s="630"/>
      <c r="G269" s="631" t="s">
        <v>353</v>
      </c>
      <c r="H269" s="632" t="s">
        <v>537</v>
      </c>
      <c r="I269" s="633"/>
      <c r="J269" s="634" t="s">
        <v>3433</v>
      </c>
      <c r="K269" s="635"/>
      <c r="L269" s="626"/>
      <c r="M269" s="627"/>
      <c r="N269" s="636" t="s">
        <v>2316</v>
      </c>
      <c r="O269" s="636" t="s">
        <v>2541</v>
      </c>
      <c r="P269" s="507" t="s">
        <v>2459</v>
      </c>
      <c r="Q269" s="631"/>
      <c r="S269" s="611"/>
      <c r="T269" s="611"/>
      <c r="U269" s="611"/>
      <c r="V269" s="611"/>
      <c r="W269" s="611"/>
      <c r="X269" s="611"/>
      <c r="Y269" s="611"/>
      <c r="Z269" s="611"/>
      <c r="AA269" s="611"/>
    </row>
    <row r="270" spans="1:27" ht="12.4" customHeight="1">
      <c r="A270" s="611"/>
      <c r="B270" s="640"/>
      <c r="C270" s="507" t="s">
        <v>2181</v>
      </c>
      <c r="D270" s="507" t="s">
        <v>1873</v>
      </c>
      <c r="E270" s="637" t="s">
        <v>2812</v>
      </c>
      <c r="F270" s="637"/>
      <c r="G270" s="631" t="s">
        <v>1805</v>
      </c>
      <c r="H270" s="632" t="s">
        <v>538</v>
      </c>
      <c r="I270" s="638"/>
      <c r="J270" s="634" t="s">
        <v>2315</v>
      </c>
      <c r="K270" s="635"/>
      <c r="L270" s="626"/>
      <c r="M270" s="627"/>
      <c r="N270" s="636" t="s">
        <v>2318</v>
      </c>
      <c r="O270" s="636" t="s">
        <v>1005</v>
      </c>
      <c r="P270" s="507" t="s">
        <v>2460</v>
      </c>
      <c r="Q270" s="631"/>
      <c r="S270" s="611"/>
      <c r="T270" s="611"/>
      <c r="U270" s="611"/>
      <c r="V270" s="611"/>
      <c r="W270" s="611"/>
      <c r="X270" s="611"/>
      <c r="Y270" s="611"/>
      <c r="Z270" s="611"/>
      <c r="AA270" s="611"/>
    </row>
    <row r="271" spans="1:27" ht="12.4" customHeight="1">
      <c r="A271" s="611"/>
      <c r="B271" s="640"/>
      <c r="C271" s="507" t="s">
        <v>2182</v>
      </c>
      <c r="D271" s="507" t="s">
        <v>1873</v>
      </c>
      <c r="E271" s="630" t="s">
        <v>1344</v>
      </c>
      <c r="F271" s="630"/>
      <c r="G271" s="631" t="s">
        <v>354</v>
      </c>
      <c r="H271" s="632" t="s">
        <v>538</v>
      </c>
      <c r="I271" s="633"/>
      <c r="J271" s="634" t="s">
        <v>2317</v>
      </c>
      <c r="K271" s="635"/>
      <c r="L271" s="626"/>
      <c r="M271" s="627"/>
      <c r="N271" s="636" t="s">
        <v>2320</v>
      </c>
      <c r="O271" s="636" t="s">
        <v>220</v>
      </c>
      <c r="P271" s="507" t="s">
        <v>2461</v>
      </c>
      <c r="Q271" s="631"/>
      <c r="S271" s="611"/>
      <c r="T271" s="611"/>
      <c r="U271" s="611"/>
      <c r="V271" s="611"/>
      <c r="W271" s="611"/>
      <c r="X271" s="611"/>
      <c r="Y271" s="611"/>
      <c r="Z271" s="611"/>
      <c r="AA271" s="611"/>
    </row>
    <row r="272" spans="1:27" ht="12.4" customHeight="1">
      <c r="A272" s="611"/>
      <c r="B272" s="640"/>
      <c r="C272" s="507" t="s">
        <v>2183</v>
      </c>
      <c r="D272" s="507" t="s">
        <v>2037</v>
      </c>
      <c r="E272" s="630" t="s">
        <v>2184</v>
      </c>
      <c r="F272" s="630"/>
      <c r="G272" s="631" t="s">
        <v>3810</v>
      </c>
      <c r="H272" s="632" t="s">
        <v>537</v>
      </c>
      <c r="I272" s="633"/>
      <c r="J272" s="634" t="s">
        <v>2319</v>
      </c>
      <c r="K272" s="635"/>
      <c r="L272" s="626"/>
      <c r="M272" s="627"/>
      <c r="N272" s="636" t="s">
        <v>2322</v>
      </c>
      <c r="O272" s="636" t="s">
        <v>2015</v>
      </c>
      <c r="P272" s="507" t="s">
        <v>2462</v>
      </c>
      <c r="Q272" s="631"/>
      <c r="S272" s="611"/>
      <c r="T272" s="611"/>
      <c r="U272" s="611"/>
      <c r="V272" s="611"/>
      <c r="W272" s="611"/>
      <c r="X272" s="611"/>
      <c r="Y272" s="611"/>
      <c r="Z272" s="611"/>
      <c r="AA272" s="611"/>
    </row>
    <row r="273" spans="1:27" ht="12.4" customHeight="1">
      <c r="A273" s="611"/>
      <c r="B273" s="640"/>
      <c r="C273" s="507" t="s">
        <v>2185</v>
      </c>
      <c r="D273" s="507" t="s">
        <v>1873</v>
      </c>
      <c r="E273" s="630" t="s">
        <v>2186</v>
      </c>
      <c r="F273" s="630"/>
      <c r="G273" s="631" t="s">
        <v>1049</v>
      </c>
      <c r="H273" s="632" t="s">
        <v>538</v>
      </c>
      <c r="I273" s="633"/>
      <c r="J273" s="634" t="s">
        <v>2321</v>
      </c>
      <c r="K273" s="635"/>
      <c r="L273" s="626"/>
      <c r="M273" s="627"/>
      <c r="N273" s="636" t="s">
        <v>2324</v>
      </c>
      <c r="O273" s="636" t="s">
        <v>236</v>
      </c>
      <c r="P273" s="507" t="s">
        <v>2463</v>
      </c>
      <c r="Q273" s="631"/>
      <c r="S273" s="611"/>
      <c r="T273" s="611"/>
      <c r="U273" s="611"/>
      <c r="V273" s="611"/>
      <c r="W273" s="611"/>
      <c r="X273" s="611"/>
      <c r="Y273" s="611"/>
      <c r="Z273" s="611"/>
      <c r="AA273" s="611"/>
    </row>
    <row r="274" spans="1:27" ht="12.4" customHeight="1">
      <c r="A274" s="611"/>
      <c r="B274" s="640"/>
      <c r="C274" s="507" t="s">
        <v>232</v>
      </c>
      <c r="D274" s="507" t="s">
        <v>1873</v>
      </c>
      <c r="E274" s="630" t="s">
        <v>2714</v>
      </c>
      <c r="F274" s="630"/>
      <c r="G274" s="631" t="s">
        <v>3892</v>
      </c>
      <c r="H274" s="632" t="s">
        <v>538</v>
      </c>
      <c r="I274" s="633"/>
      <c r="J274" s="634" t="s">
        <v>2323</v>
      </c>
      <c r="K274" s="635"/>
      <c r="L274" s="626"/>
      <c r="M274" s="627"/>
      <c r="N274" s="636" t="s">
        <v>2772</v>
      </c>
      <c r="O274" s="636" t="s">
        <v>1005</v>
      </c>
      <c r="P274" s="507" t="s">
        <v>2464</v>
      </c>
      <c r="Q274" s="631"/>
      <c r="S274" s="611"/>
      <c r="T274" s="611"/>
      <c r="U274" s="611"/>
      <c r="V274" s="611"/>
      <c r="W274" s="611"/>
      <c r="X274" s="611"/>
      <c r="Y274" s="611"/>
      <c r="Z274" s="611"/>
      <c r="AA274" s="611"/>
    </row>
    <row r="275" spans="1:27" ht="12.4" customHeight="1">
      <c r="A275" s="611"/>
      <c r="B275" s="640"/>
      <c r="C275" s="507" t="s">
        <v>233</v>
      </c>
      <c r="D275" s="507" t="s">
        <v>2013</v>
      </c>
      <c r="E275" s="637" t="s">
        <v>234</v>
      </c>
      <c r="F275" s="637"/>
      <c r="G275" s="631" t="s">
        <v>1050</v>
      </c>
      <c r="H275" s="632" t="s">
        <v>537</v>
      </c>
      <c r="I275" s="638"/>
      <c r="J275" s="634" t="s">
        <v>2771</v>
      </c>
      <c r="K275" s="635"/>
      <c r="L275" s="626"/>
      <c r="M275" s="627"/>
      <c r="N275" s="636" t="s">
        <v>2774</v>
      </c>
      <c r="O275" s="636" t="s">
        <v>1223</v>
      </c>
      <c r="P275" s="507" t="s">
        <v>2465</v>
      </c>
      <c r="Q275" s="631"/>
      <c r="S275" s="611"/>
      <c r="T275" s="611"/>
      <c r="U275" s="611"/>
      <c r="V275" s="611"/>
      <c r="W275" s="611"/>
      <c r="X275" s="611"/>
      <c r="Y275" s="611"/>
      <c r="Z275" s="611"/>
      <c r="AA275" s="611"/>
    </row>
    <row r="276" spans="1:27" ht="12.4" customHeight="1">
      <c r="A276" s="611"/>
      <c r="B276" s="640"/>
      <c r="C276" s="507" t="s">
        <v>2022</v>
      </c>
      <c r="D276" s="507" t="s">
        <v>2037</v>
      </c>
      <c r="E276" s="630" t="s">
        <v>235</v>
      </c>
      <c r="F276" s="630"/>
      <c r="G276" s="631" t="s">
        <v>1051</v>
      </c>
      <c r="H276" s="632" t="s">
        <v>537</v>
      </c>
      <c r="I276" s="633"/>
      <c r="J276" s="634" t="s">
        <v>2773</v>
      </c>
      <c r="K276" s="635"/>
      <c r="L276" s="626"/>
      <c r="M276" s="627"/>
      <c r="N276" s="636" t="s">
        <v>1643</v>
      </c>
      <c r="O276" s="636" t="s">
        <v>2016</v>
      </c>
      <c r="P276" s="507" t="s">
        <v>2466</v>
      </c>
      <c r="Q276" s="631"/>
      <c r="S276" s="611"/>
      <c r="T276" s="611"/>
      <c r="U276" s="611"/>
      <c r="V276" s="611"/>
      <c r="W276" s="611"/>
      <c r="X276" s="611"/>
      <c r="Y276" s="611"/>
      <c r="Z276" s="611"/>
      <c r="AA276" s="611"/>
    </row>
    <row r="277" spans="1:27" ht="12.4" customHeight="1">
      <c r="A277" s="611"/>
      <c r="B277" s="640"/>
      <c r="C277" s="507" t="s">
        <v>236</v>
      </c>
      <c r="D277" s="507" t="s">
        <v>2037</v>
      </c>
      <c r="E277" s="630" t="s">
        <v>3135</v>
      </c>
      <c r="F277" s="630"/>
      <c r="G277" s="631" t="s">
        <v>957</v>
      </c>
      <c r="H277" s="632" t="s">
        <v>538</v>
      </c>
      <c r="I277" s="633"/>
      <c r="J277" s="634" t="s">
        <v>2775</v>
      </c>
      <c r="K277" s="635"/>
      <c r="L277" s="626"/>
      <c r="M277" s="627"/>
      <c r="N277" s="636" t="s">
        <v>1646</v>
      </c>
      <c r="O277" s="636" t="s">
        <v>1003</v>
      </c>
      <c r="P277" s="507" t="s">
        <v>2467</v>
      </c>
      <c r="Q277" s="631"/>
      <c r="S277" s="611"/>
      <c r="T277" s="611"/>
      <c r="U277" s="611"/>
      <c r="V277" s="611"/>
      <c r="W277" s="611"/>
      <c r="X277" s="611"/>
      <c r="Y277" s="611"/>
      <c r="Z277" s="611"/>
      <c r="AA277" s="611"/>
    </row>
    <row r="278" spans="1:27" ht="12.4" customHeight="1">
      <c r="A278" s="611"/>
      <c r="B278" s="640"/>
      <c r="C278" s="507" t="s">
        <v>458</v>
      </c>
      <c r="D278" s="507" t="s">
        <v>2037</v>
      </c>
      <c r="E278" s="637" t="s">
        <v>217</v>
      </c>
      <c r="F278" s="637"/>
      <c r="G278" s="631" t="s">
        <v>2700</v>
      </c>
      <c r="H278" s="632" t="s">
        <v>538</v>
      </c>
      <c r="I278" s="638"/>
      <c r="J278" s="634" t="s">
        <v>1644</v>
      </c>
      <c r="K278" s="635"/>
      <c r="L278" s="626"/>
      <c r="M278" s="627"/>
      <c r="N278" s="636" t="s">
        <v>303</v>
      </c>
      <c r="O278" s="636" t="s">
        <v>3817</v>
      </c>
      <c r="P278" s="507" t="s">
        <v>2468</v>
      </c>
      <c r="Q278" s="631"/>
      <c r="S278" s="611"/>
      <c r="T278" s="611"/>
      <c r="U278" s="611"/>
      <c r="V278" s="611"/>
      <c r="W278" s="611"/>
      <c r="X278" s="611"/>
      <c r="Y278" s="611"/>
      <c r="Z278" s="611"/>
      <c r="AA278" s="611"/>
    </row>
    <row r="279" spans="1:27" ht="12.4" customHeight="1">
      <c r="A279" s="611"/>
      <c r="B279" s="640"/>
      <c r="C279" s="507" t="s">
        <v>2938</v>
      </c>
      <c r="D279" s="507" t="s">
        <v>2037</v>
      </c>
      <c r="E279" s="637" t="s">
        <v>1341</v>
      </c>
      <c r="F279" s="637"/>
      <c r="G279" s="631" t="s">
        <v>3911</v>
      </c>
      <c r="H279" s="632" t="s">
        <v>538</v>
      </c>
      <c r="I279" s="638"/>
      <c r="J279" s="634" t="s">
        <v>1645</v>
      </c>
      <c r="K279" s="635"/>
      <c r="L279" s="626"/>
      <c r="M279" s="627"/>
      <c r="N279" s="636" t="s">
        <v>2787</v>
      </c>
      <c r="O279" s="636" t="s">
        <v>1729</v>
      </c>
      <c r="P279" s="507" t="s">
        <v>2469</v>
      </c>
      <c r="Q279" s="631"/>
      <c r="S279" s="611"/>
      <c r="T279" s="611"/>
      <c r="U279" s="611"/>
      <c r="V279" s="611"/>
      <c r="W279" s="611"/>
      <c r="X279" s="611"/>
      <c r="Y279" s="611"/>
      <c r="Z279" s="611"/>
      <c r="AA279" s="611"/>
    </row>
    <row r="280" spans="1:27" ht="12.4" customHeight="1">
      <c r="A280" s="611"/>
      <c r="B280" s="640"/>
      <c r="C280" s="507" t="s">
        <v>2939</v>
      </c>
      <c r="D280" s="507" t="s">
        <v>1873</v>
      </c>
      <c r="E280" s="630" t="s">
        <v>13</v>
      </c>
      <c r="F280" s="630"/>
      <c r="G280" s="631" t="s">
        <v>3891</v>
      </c>
      <c r="H280" s="632" t="s">
        <v>538</v>
      </c>
      <c r="I280" s="633"/>
      <c r="J280" s="634" t="s">
        <v>302</v>
      </c>
      <c r="K280" s="635"/>
      <c r="L280" s="626"/>
      <c r="M280" s="627"/>
      <c r="N280" s="636" t="s">
        <v>3156</v>
      </c>
      <c r="O280" s="636" t="s">
        <v>416</v>
      </c>
      <c r="P280" s="507" t="s">
        <v>2470</v>
      </c>
      <c r="Q280" s="631"/>
      <c r="S280" s="611"/>
      <c r="T280" s="611"/>
      <c r="U280" s="611"/>
      <c r="V280" s="611"/>
      <c r="W280" s="611"/>
      <c r="X280" s="611"/>
      <c r="Y280" s="611"/>
      <c r="Z280" s="611"/>
      <c r="AA280" s="611"/>
    </row>
    <row r="281" spans="1:27" ht="12.4" customHeight="1">
      <c r="A281" s="611"/>
      <c r="B281" s="640"/>
      <c r="C281" s="507" t="s">
        <v>2940</v>
      </c>
      <c r="D281" s="507" t="s">
        <v>2037</v>
      </c>
      <c r="E281" s="637" t="s">
        <v>1345</v>
      </c>
      <c r="F281" s="637"/>
      <c r="G281" s="631" t="s">
        <v>1052</v>
      </c>
      <c r="H281" s="632" t="s">
        <v>538</v>
      </c>
      <c r="I281" s="638"/>
      <c r="J281" s="634" t="s">
        <v>304</v>
      </c>
      <c r="K281" s="635"/>
      <c r="L281" s="626"/>
      <c r="M281" s="627"/>
      <c r="N281" s="636" t="s">
        <v>3158</v>
      </c>
      <c r="O281" s="636" t="s">
        <v>414</v>
      </c>
      <c r="P281" s="507" t="s">
        <v>2471</v>
      </c>
      <c r="Q281" s="631"/>
      <c r="S281" s="611"/>
      <c r="T281" s="611"/>
      <c r="U281" s="611"/>
      <c r="V281" s="611"/>
      <c r="W281" s="611"/>
      <c r="X281" s="611"/>
      <c r="Y281" s="611"/>
      <c r="Z281" s="611"/>
      <c r="AA281" s="611"/>
    </row>
    <row r="282" spans="1:27" ht="12.4" customHeight="1">
      <c r="A282" s="611"/>
      <c r="B282" s="640"/>
      <c r="C282" s="507" t="s">
        <v>2539</v>
      </c>
      <c r="D282" s="507" t="s">
        <v>1873</v>
      </c>
      <c r="E282" s="630" t="s">
        <v>2540</v>
      </c>
      <c r="F282" s="630"/>
      <c r="G282" s="631" t="s">
        <v>1053</v>
      </c>
      <c r="H282" s="632" t="s">
        <v>537</v>
      </c>
      <c r="I282" s="633"/>
      <c r="J282" s="634" t="s">
        <v>1948</v>
      </c>
      <c r="K282" s="635"/>
      <c r="L282" s="626"/>
      <c r="M282" s="627"/>
      <c r="N282" s="636" t="s">
        <v>3160</v>
      </c>
      <c r="O282" s="636" t="s">
        <v>965</v>
      </c>
      <c r="P282" s="507" t="s">
        <v>2472</v>
      </c>
      <c r="Q282" s="631"/>
      <c r="S282" s="611"/>
      <c r="T282" s="611"/>
      <c r="U282" s="611"/>
      <c r="V282" s="611"/>
      <c r="W282" s="611"/>
      <c r="X282" s="611"/>
      <c r="Y282" s="611"/>
      <c r="Z282" s="611"/>
      <c r="AA282" s="611"/>
    </row>
    <row r="283" spans="1:27" ht="12.4" customHeight="1">
      <c r="A283" s="611"/>
      <c r="B283" s="640"/>
      <c r="C283" s="507" t="s">
        <v>2541</v>
      </c>
      <c r="D283" s="507" t="s">
        <v>1873</v>
      </c>
      <c r="E283" s="630" t="s">
        <v>2542</v>
      </c>
      <c r="F283" s="630"/>
      <c r="G283" s="631" t="s">
        <v>1054</v>
      </c>
      <c r="H283" s="632" t="s">
        <v>537</v>
      </c>
      <c r="I283" s="633"/>
      <c r="J283" s="634" t="s">
        <v>3155</v>
      </c>
      <c r="K283" s="635"/>
      <c r="L283" s="626"/>
      <c r="M283" s="627"/>
      <c r="N283" s="636" t="s">
        <v>3162</v>
      </c>
      <c r="O283" s="636" t="s">
        <v>3898</v>
      </c>
      <c r="P283" s="507" t="s">
        <v>2473</v>
      </c>
      <c r="Q283" s="631"/>
      <c r="S283" s="611"/>
      <c r="T283" s="611"/>
      <c r="U283" s="611"/>
      <c r="V283" s="611"/>
      <c r="W283" s="611"/>
      <c r="X283" s="611"/>
      <c r="Y283" s="611"/>
      <c r="Z283" s="611"/>
      <c r="AA283" s="611"/>
    </row>
    <row r="284" spans="1:27" ht="12.4" customHeight="1">
      <c r="A284" s="611"/>
      <c r="B284" s="640"/>
      <c r="C284" s="507" t="s">
        <v>2543</v>
      </c>
      <c r="D284" s="507" t="s">
        <v>2037</v>
      </c>
      <c r="E284" s="637" t="s">
        <v>3134</v>
      </c>
      <c r="F284" s="637"/>
      <c r="G284" s="631" t="s">
        <v>1055</v>
      </c>
      <c r="H284" s="632" t="s">
        <v>538</v>
      </c>
      <c r="I284" s="638"/>
      <c r="J284" s="634" t="s">
        <v>3157</v>
      </c>
      <c r="K284" s="635"/>
      <c r="L284" s="626"/>
      <c r="M284" s="627"/>
      <c r="N284" s="636" t="s">
        <v>1044</v>
      </c>
      <c r="O284" s="636" t="s">
        <v>1868</v>
      </c>
      <c r="P284" s="507" t="s">
        <v>2474</v>
      </c>
      <c r="Q284" s="631"/>
      <c r="S284" s="611"/>
      <c r="T284" s="611"/>
      <c r="U284" s="611"/>
      <c r="V284" s="611"/>
      <c r="W284" s="611"/>
      <c r="X284" s="611"/>
      <c r="Y284" s="611"/>
      <c r="Z284" s="611"/>
      <c r="AA284" s="611"/>
    </row>
    <row r="285" spans="1:27" ht="12.4" customHeight="1">
      <c r="A285" s="611"/>
      <c r="B285" s="640"/>
      <c r="C285" s="507" t="s">
        <v>241</v>
      </c>
      <c r="D285" s="507" t="s">
        <v>1873</v>
      </c>
      <c r="E285" s="630" t="s">
        <v>242</v>
      </c>
      <c r="F285" s="630"/>
      <c r="G285" s="631" t="s">
        <v>1056</v>
      </c>
      <c r="H285" s="632" t="s">
        <v>537</v>
      </c>
      <c r="I285" s="633"/>
      <c r="J285" s="634" t="s">
        <v>3159</v>
      </c>
      <c r="K285" s="635"/>
      <c r="L285" s="626"/>
      <c r="M285" s="627"/>
      <c r="N285" s="507" t="s">
        <v>3869</v>
      </c>
      <c r="O285" s="507" t="s">
        <v>3087</v>
      </c>
      <c r="P285" s="1580" t="s">
        <v>3242</v>
      </c>
      <c r="Q285" s="631"/>
      <c r="S285" s="611"/>
      <c r="T285" s="611"/>
      <c r="U285" s="611"/>
      <c r="V285" s="611"/>
      <c r="W285" s="611"/>
      <c r="X285" s="611"/>
      <c r="Y285" s="611"/>
      <c r="Z285" s="611"/>
      <c r="AA285" s="611"/>
    </row>
    <row r="286" spans="1:27" ht="12.4" customHeight="1">
      <c r="A286" s="611"/>
      <c r="B286" s="640"/>
      <c r="C286" s="507" t="s">
        <v>3896</v>
      </c>
      <c r="D286" s="507" t="s">
        <v>2037</v>
      </c>
      <c r="E286" s="637" t="s">
        <v>3897</v>
      </c>
      <c r="F286" s="637"/>
      <c r="G286" s="631" t="s">
        <v>1057</v>
      </c>
      <c r="H286" s="632" t="s">
        <v>537</v>
      </c>
      <c r="I286" s="638"/>
      <c r="J286" s="634" t="s">
        <v>3161</v>
      </c>
      <c r="K286" s="635"/>
      <c r="L286" s="626"/>
      <c r="M286" s="627"/>
      <c r="N286" s="636" t="s">
        <v>3164</v>
      </c>
      <c r="O286" s="636" t="s">
        <v>257</v>
      </c>
      <c r="P286" s="507" t="s">
        <v>2475</v>
      </c>
      <c r="Q286" s="631"/>
      <c r="S286" s="611"/>
      <c r="T286" s="611"/>
      <c r="U286" s="611"/>
      <c r="V286" s="611"/>
      <c r="W286" s="611"/>
      <c r="X286" s="611"/>
      <c r="Y286" s="611"/>
      <c r="Z286" s="611"/>
      <c r="AA286" s="611"/>
    </row>
    <row r="287" spans="1:27" ht="12.4" customHeight="1">
      <c r="A287" s="611"/>
      <c r="B287" s="640"/>
      <c r="C287" s="507" t="s">
        <v>3898</v>
      </c>
      <c r="D287" s="507" t="s">
        <v>2013</v>
      </c>
      <c r="E287" s="630" t="s">
        <v>3899</v>
      </c>
      <c r="F287" s="630"/>
      <c r="G287" s="631" t="s">
        <v>3028</v>
      </c>
      <c r="H287" s="632" t="s">
        <v>538</v>
      </c>
      <c r="I287" s="633"/>
      <c r="J287" s="634" t="s">
        <v>3163</v>
      </c>
      <c r="K287" s="635"/>
      <c r="L287" s="626"/>
      <c r="M287" s="627"/>
      <c r="N287" s="636" t="s">
        <v>3166</v>
      </c>
      <c r="O287" s="636" t="s">
        <v>257</v>
      </c>
      <c r="P287" s="507" t="s">
        <v>2476</v>
      </c>
      <c r="Q287" s="631"/>
      <c r="S287" s="611"/>
      <c r="T287" s="611"/>
      <c r="U287" s="611"/>
      <c r="V287" s="611"/>
      <c r="W287" s="611"/>
      <c r="X287" s="611"/>
      <c r="Y287" s="611"/>
      <c r="Z287" s="611"/>
      <c r="AA287" s="611"/>
    </row>
    <row r="288" spans="1:27" ht="12.4" customHeight="1">
      <c r="A288" s="611"/>
      <c r="B288" s="640"/>
      <c r="C288" s="507" t="s">
        <v>3900</v>
      </c>
      <c r="D288" s="507" t="s">
        <v>2037</v>
      </c>
      <c r="E288" s="637" t="s">
        <v>217</v>
      </c>
      <c r="F288" s="637"/>
      <c r="G288" s="631" t="s">
        <v>2700</v>
      </c>
      <c r="H288" s="632" t="s">
        <v>538</v>
      </c>
      <c r="I288" s="638"/>
      <c r="J288" s="634" t="s">
        <v>3165</v>
      </c>
      <c r="K288" s="635"/>
      <c r="L288" s="626"/>
      <c r="M288" s="627"/>
      <c r="N288" s="636" t="s">
        <v>1022</v>
      </c>
      <c r="O288" s="636" t="s">
        <v>3087</v>
      </c>
      <c r="P288" s="507" t="s">
        <v>2477</v>
      </c>
      <c r="Q288" s="631"/>
      <c r="S288" s="611"/>
      <c r="T288" s="611"/>
      <c r="U288" s="611"/>
      <c r="V288" s="611"/>
      <c r="W288" s="611"/>
      <c r="X288" s="611"/>
      <c r="Y288" s="611"/>
      <c r="Z288" s="611"/>
      <c r="AA288" s="611"/>
    </row>
    <row r="289" spans="1:27" ht="12.4" customHeight="1">
      <c r="A289" s="611"/>
      <c r="B289" s="640"/>
      <c r="C289" s="507" t="s">
        <v>3901</v>
      </c>
      <c r="D289" s="507" t="s">
        <v>2037</v>
      </c>
      <c r="E289" s="637" t="s">
        <v>1340</v>
      </c>
      <c r="F289" s="637"/>
      <c r="G289" s="631" t="s">
        <v>3886</v>
      </c>
      <c r="H289" s="632" t="s">
        <v>538</v>
      </c>
      <c r="I289" s="638"/>
      <c r="J289" s="634" t="s">
        <v>1021</v>
      </c>
      <c r="K289" s="635"/>
      <c r="L289" s="626"/>
      <c r="M289" s="627"/>
      <c r="N289" s="636" t="s">
        <v>3477</v>
      </c>
      <c r="O289" s="636" t="s">
        <v>137</v>
      </c>
      <c r="P289" s="507" t="s">
        <v>2478</v>
      </c>
      <c r="Q289" s="631"/>
      <c r="S289" s="611"/>
      <c r="T289" s="611"/>
      <c r="U289" s="611"/>
      <c r="V289" s="611"/>
      <c r="W289" s="611"/>
      <c r="X289" s="611"/>
      <c r="Y289" s="611"/>
      <c r="Z289" s="611"/>
      <c r="AA289" s="611"/>
    </row>
    <row r="290" spans="1:27" ht="12.4" customHeight="1">
      <c r="A290" s="611"/>
      <c r="B290" s="640"/>
      <c r="C290" s="507" t="s">
        <v>3902</v>
      </c>
      <c r="D290" s="507" t="s">
        <v>2037</v>
      </c>
      <c r="E290" s="630" t="s">
        <v>3135</v>
      </c>
      <c r="F290" s="630"/>
      <c r="G290" s="631" t="s">
        <v>957</v>
      </c>
      <c r="H290" s="632" t="s">
        <v>538</v>
      </c>
      <c r="I290" s="633"/>
      <c r="J290" s="634" t="s">
        <v>3475</v>
      </c>
      <c r="K290" s="635"/>
      <c r="L290" s="626"/>
      <c r="M290" s="627"/>
      <c r="N290" s="636" t="s">
        <v>1926</v>
      </c>
      <c r="O290" s="636" t="s">
        <v>965</v>
      </c>
      <c r="P290" s="507" t="s">
        <v>2479</v>
      </c>
      <c r="Q290" s="631"/>
      <c r="S290" s="611"/>
      <c r="T290" s="611"/>
      <c r="U290" s="611"/>
      <c r="V290" s="611"/>
      <c r="W290" s="611"/>
      <c r="X290" s="611"/>
      <c r="Y290" s="611"/>
      <c r="Z290" s="611"/>
      <c r="AA290" s="611"/>
    </row>
    <row r="291" spans="1:27" ht="12.4" customHeight="1">
      <c r="A291" s="611"/>
      <c r="B291" s="640"/>
      <c r="C291" s="507" t="s">
        <v>3903</v>
      </c>
      <c r="D291" s="507" t="s">
        <v>2037</v>
      </c>
      <c r="E291" s="630" t="s">
        <v>3135</v>
      </c>
      <c r="F291" s="630"/>
      <c r="G291" s="631" t="s">
        <v>957</v>
      </c>
      <c r="H291" s="632" t="s">
        <v>538</v>
      </c>
      <c r="I291" s="633"/>
      <c r="J291" s="634" t="s">
        <v>3476</v>
      </c>
      <c r="K291" s="635"/>
      <c r="L291" s="626"/>
      <c r="M291" s="627"/>
      <c r="N291" s="636" t="s">
        <v>1928</v>
      </c>
      <c r="O291" s="636" t="s">
        <v>3373</v>
      </c>
      <c r="P291" s="507" t="s">
        <v>2480</v>
      </c>
      <c r="Q291" s="631"/>
      <c r="S291" s="611"/>
      <c r="T291" s="611"/>
      <c r="U291" s="611"/>
      <c r="V291" s="611"/>
      <c r="W291" s="611"/>
      <c r="X291" s="611"/>
      <c r="Y291" s="611"/>
      <c r="Z291" s="611"/>
      <c r="AA291" s="611"/>
    </row>
    <row r="292" spans="1:27" ht="12.4" customHeight="1">
      <c r="A292" s="611"/>
      <c r="B292" s="640"/>
      <c r="C292" s="507" t="s">
        <v>3904</v>
      </c>
      <c r="D292" s="507" t="s">
        <v>2013</v>
      </c>
      <c r="E292" s="637" t="s">
        <v>1340</v>
      </c>
      <c r="F292" s="637"/>
      <c r="G292" s="631" t="s">
        <v>3886</v>
      </c>
      <c r="H292" s="632" t="s">
        <v>538</v>
      </c>
      <c r="I292" s="638"/>
      <c r="J292" s="634" t="s">
        <v>1925</v>
      </c>
      <c r="K292" s="635"/>
      <c r="L292" s="626"/>
      <c r="M292" s="627"/>
      <c r="N292" s="636" t="s">
        <v>3758</v>
      </c>
      <c r="O292" s="636" t="s">
        <v>1737</v>
      </c>
      <c r="P292" s="507" t="s">
        <v>2481</v>
      </c>
      <c r="Q292" s="631"/>
      <c r="S292" s="611"/>
      <c r="T292" s="611"/>
      <c r="U292" s="611"/>
      <c r="V292" s="611"/>
      <c r="W292" s="611"/>
      <c r="X292" s="611"/>
      <c r="Y292" s="611"/>
      <c r="Z292" s="611"/>
      <c r="AA292" s="611"/>
    </row>
    <row r="293" spans="1:27" ht="12.4" customHeight="1">
      <c r="A293" s="611"/>
      <c r="B293" s="640"/>
      <c r="C293" s="507" t="s">
        <v>1723</v>
      </c>
      <c r="D293" s="507" t="s">
        <v>2037</v>
      </c>
      <c r="E293" s="637" t="s">
        <v>1724</v>
      </c>
      <c r="F293" s="637"/>
      <c r="G293" s="631" t="s">
        <v>3029</v>
      </c>
      <c r="H293" s="632" t="s">
        <v>537</v>
      </c>
      <c r="I293" s="638"/>
      <c r="J293" s="634" t="s">
        <v>1927</v>
      </c>
      <c r="K293" s="635"/>
      <c r="L293" s="626"/>
      <c r="M293" s="627"/>
      <c r="N293" s="636" t="s">
        <v>1931</v>
      </c>
      <c r="O293" s="636" t="s">
        <v>407</v>
      </c>
      <c r="P293" s="507" t="s">
        <v>2482</v>
      </c>
      <c r="Q293" s="631"/>
      <c r="S293" s="611"/>
      <c r="T293" s="611"/>
      <c r="U293" s="611"/>
      <c r="V293" s="611"/>
      <c r="W293" s="611"/>
      <c r="X293" s="611"/>
      <c r="Y293" s="611"/>
      <c r="Z293" s="611"/>
      <c r="AA293" s="611"/>
    </row>
    <row r="294" spans="1:27" ht="12.4" customHeight="1">
      <c r="A294" s="611"/>
      <c r="B294" s="640"/>
      <c r="C294" s="507" t="s">
        <v>1725</v>
      </c>
      <c r="D294" s="507" t="s">
        <v>2013</v>
      </c>
      <c r="E294" s="637" t="s">
        <v>1340</v>
      </c>
      <c r="F294" s="637"/>
      <c r="G294" s="631" t="s">
        <v>3886</v>
      </c>
      <c r="H294" s="632" t="s">
        <v>538</v>
      </c>
      <c r="I294" s="638"/>
      <c r="J294" s="634" t="s">
        <v>1929</v>
      </c>
      <c r="K294" s="635"/>
      <c r="L294" s="626"/>
      <c r="M294" s="627"/>
      <c r="N294" s="636" t="s">
        <v>3772</v>
      </c>
      <c r="O294" s="636" t="s">
        <v>128</v>
      </c>
      <c r="P294" s="507" t="s">
        <v>2483</v>
      </c>
      <c r="Q294" s="631"/>
      <c r="S294" s="611"/>
      <c r="T294" s="611"/>
      <c r="U294" s="611"/>
      <c r="V294" s="611"/>
      <c r="W294" s="611"/>
      <c r="X294" s="611"/>
      <c r="Y294" s="611"/>
      <c r="Z294" s="611"/>
      <c r="AA294" s="611"/>
    </row>
    <row r="295" spans="1:27" ht="12.4" customHeight="1">
      <c r="A295" s="611"/>
      <c r="B295" s="640"/>
      <c r="C295" s="507" t="s">
        <v>1726</v>
      </c>
      <c r="D295" s="507" t="s">
        <v>1873</v>
      </c>
      <c r="E295" s="630" t="s">
        <v>1727</v>
      </c>
      <c r="F295" s="630"/>
      <c r="G295" s="631" t="s">
        <v>3030</v>
      </c>
      <c r="H295" s="632" t="s">
        <v>537</v>
      </c>
      <c r="I295" s="633"/>
      <c r="J295" s="634" t="s">
        <v>1930</v>
      </c>
      <c r="K295" s="635"/>
      <c r="L295" s="626"/>
      <c r="M295" s="627"/>
      <c r="N295" s="636" t="s">
        <v>91</v>
      </c>
      <c r="O295" s="636" t="s">
        <v>254</v>
      </c>
      <c r="P295" s="507" t="s">
        <v>2484</v>
      </c>
      <c r="Q295" s="631"/>
      <c r="S295" s="611"/>
      <c r="T295" s="611"/>
      <c r="U295" s="611"/>
      <c r="V295" s="611"/>
      <c r="W295" s="611"/>
      <c r="X295" s="611"/>
      <c r="Y295" s="611"/>
      <c r="Z295" s="611"/>
      <c r="AA295" s="611"/>
    </row>
    <row r="296" spans="1:27" ht="12.4" customHeight="1">
      <c r="A296" s="611"/>
      <c r="B296" s="640"/>
      <c r="C296" s="507" t="s">
        <v>1728</v>
      </c>
      <c r="D296" s="507" t="s">
        <v>2037</v>
      </c>
      <c r="E296" s="637" t="s">
        <v>1340</v>
      </c>
      <c r="F296" s="637"/>
      <c r="G296" s="631" t="s">
        <v>3886</v>
      </c>
      <c r="H296" s="632" t="s">
        <v>538</v>
      </c>
      <c r="I296" s="638"/>
      <c r="J296" s="634" t="s">
        <v>1932</v>
      </c>
      <c r="K296" s="635"/>
      <c r="L296" s="626"/>
      <c r="M296" s="627"/>
      <c r="N296" s="636" t="s">
        <v>95</v>
      </c>
      <c r="O296" s="636" t="s">
        <v>3291</v>
      </c>
      <c r="P296" s="507" t="s">
        <v>2485</v>
      </c>
      <c r="Q296" s="611"/>
      <c r="S296" s="611"/>
      <c r="T296" s="611"/>
      <c r="U296" s="611"/>
      <c r="V296" s="611"/>
      <c r="W296" s="611"/>
      <c r="X296" s="611"/>
      <c r="Y296" s="611"/>
      <c r="Z296" s="611"/>
      <c r="AA296" s="611"/>
    </row>
    <row r="297" spans="1:27" ht="12.4" customHeight="1">
      <c r="A297" s="611"/>
      <c r="B297" s="640"/>
      <c r="C297" s="507" t="s">
        <v>1729</v>
      </c>
      <c r="D297" s="507" t="s">
        <v>2013</v>
      </c>
      <c r="E297" s="630" t="s">
        <v>1730</v>
      </c>
      <c r="F297" s="630"/>
      <c r="G297" s="631" t="s">
        <v>3031</v>
      </c>
      <c r="H297" s="632" t="s">
        <v>537</v>
      </c>
      <c r="I297" s="633"/>
      <c r="J297" s="634" t="s">
        <v>3773</v>
      </c>
      <c r="K297" s="635"/>
      <c r="L297" s="626"/>
      <c r="M297" s="627"/>
      <c r="N297" s="636" t="s">
        <v>97</v>
      </c>
      <c r="O297" s="636" t="s">
        <v>2023</v>
      </c>
      <c r="P297" s="507" t="s">
        <v>2486</v>
      </c>
      <c r="Q297" s="631"/>
      <c r="S297" s="611"/>
      <c r="T297" s="611"/>
      <c r="U297" s="611"/>
      <c r="V297" s="611"/>
      <c r="W297" s="611"/>
      <c r="X297" s="611"/>
      <c r="Y297" s="611"/>
      <c r="Z297" s="611"/>
      <c r="AA297" s="611"/>
    </row>
    <row r="298" spans="1:27" ht="12.4" customHeight="1">
      <c r="A298" s="611"/>
      <c r="B298" s="640"/>
      <c r="C298" s="507" t="s">
        <v>1731</v>
      </c>
      <c r="D298" s="507" t="s">
        <v>1873</v>
      </c>
      <c r="E298" s="637" t="s">
        <v>1732</v>
      </c>
      <c r="F298" s="637"/>
      <c r="G298" s="631" t="s">
        <v>3032</v>
      </c>
      <c r="H298" s="632" t="s">
        <v>537</v>
      </c>
      <c r="I298" s="638"/>
      <c r="J298" s="634" t="s">
        <v>92</v>
      </c>
      <c r="K298" s="635"/>
      <c r="L298" s="626"/>
      <c r="M298" s="627"/>
      <c r="N298" s="636" t="s">
        <v>1890</v>
      </c>
      <c r="O298" s="636" t="s">
        <v>3026</v>
      </c>
      <c r="P298" s="507" t="s">
        <v>2487</v>
      </c>
      <c r="Q298" s="631"/>
      <c r="S298" s="611"/>
      <c r="T298" s="611"/>
      <c r="U298" s="611"/>
      <c r="V298" s="611"/>
      <c r="W298" s="611"/>
      <c r="X298" s="611"/>
      <c r="Y298" s="611"/>
      <c r="Z298" s="611"/>
      <c r="AA298" s="611"/>
    </row>
    <row r="299" spans="1:27" ht="12.4" customHeight="1">
      <c r="A299" s="611"/>
      <c r="B299" s="640"/>
      <c r="C299" s="507" t="s">
        <v>1733</v>
      </c>
      <c r="D299" s="507" t="s">
        <v>2037</v>
      </c>
      <c r="E299" s="637" t="s">
        <v>1734</v>
      </c>
      <c r="F299" s="637"/>
      <c r="G299" s="631" t="s">
        <v>3033</v>
      </c>
      <c r="H299" s="632" t="s">
        <v>537</v>
      </c>
      <c r="I299" s="638"/>
      <c r="J299" s="634" t="s">
        <v>93</v>
      </c>
      <c r="K299" s="635"/>
      <c r="L299" s="626"/>
      <c r="M299" s="627"/>
      <c r="N299" s="636" t="s">
        <v>1892</v>
      </c>
      <c r="O299" s="636" t="s">
        <v>236</v>
      </c>
      <c r="P299" s="507" t="s">
        <v>2488</v>
      </c>
      <c r="Q299" s="631"/>
      <c r="S299" s="611"/>
      <c r="T299" s="611"/>
      <c r="U299" s="611"/>
      <c r="V299" s="611"/>
      <c r="W299" s="611"/>
      <c r="X299" s="611"/>
      <c r="Y299" s="611"/>
      <c r="Z299" s="611"/>
      <c r="AA299" s="611"/>
    </row>
    <row r="300" spans="1:27" ht="12.4" customHeight="1">
      <c r="A300" s="611"/>
      <c r="B300" s="640"/>
      <c r="C300" s="507" t="s">
        <v>1735</v>
      </c>
      <c r="D300" s="507" t="s">
        <v>1873</v>
      </c>
      <c r="E300" s="630" t="s">
        <v>1736</v>
      </c>
      <c r="F300" s="630"/>
      <c r="G300" s="631" t="s">
        <v>2815</v>
      </c>
      <c r="H300" s="632" t="s">
        <v>537</v>
      </c>
      <c r="I300" s="633"/>
      <c r="J300" s="634" t="s">
        <v>94</v>
      </c>
      <c r="K300" s="635"/>
      <c r="L300" s="626"/>
      <c r="M300" s="627"/>
      <c r="N300" s="636" t="s">
        <v>1894</v>
      </c>
      <c r="O300" s="636" t="s">
        <v>1739</v>
      </c>
      <c r="P300" s="1579" t="s">
        <v>1413</v>
      </c>
      <c r="Q300" s="611"/>
      <c r="S300" s="611"/>
      <c r="T300" s="611"/>
      <c r="U300" s="611"/>
      <c r="V300" s="611"/>
      <c r="W300" s="611"/>
      <c r="X300" s="611"/>
      <c r="Y300" s="611"/>
      <c r="Z300" s="611"/>
      <c r="AA300" s="611"/>
    </row>
    <row r="301" spans="1:27" ht="12.4" customHeight="1">
      <c r="A301" s="611"/>
      <c r="B301" s="640"/>
      <c r="C301" s="507" t="s">
        <v>1737</v>
      </c>
      <c r="D301" s="507" t="s">
        <v>2013</v>
      </c>
      <c r="E301" s="630" t="s">
        <v>1738</v>
      </c>
      <c r="F301" s="630"/>
      <c r="G301" s="631" t="s">
        <v>2816</v>
      </c>
      <c r="H301" s="632" t="s">
        <v>537</v>
      </c>
      <c r="I301" s="633"/>
      <c r="J301" s="634" t="s">
        <v>96</v>
      </c>
      <c r="K301" s="635"/>
      <c r="L301" s="626"/>
      <c r="M301" s="627"/>
      <c r="N301" s="636" t="s">
        <v>1896</v>
      </c>
      <c r="O301" s="636" t="s">
        <v>1868</v>
      </c>
      <c r="P301" s="507" t="s">
        <v>2489</v>
      </c>
      <c r="Q301" s="631"/>
      <c r="S301" s="611"/>
      <c r="T301" s="611"/>
      <c r="U301" s="611"/>
      <c r="V301" s="611"/>
      <c r="W301" s="611"/>
      <c r="X301" s="611"/>
      <c r="Y301" s="611"/>
      <c r="Z301" s="611"/>
      <c r="AA301" s="611"/>
    </row>
    <row r="302" spans="1:27" ht="12.4" customHeight="1">
      <c r="A302" s="611"/>
      <c r="B302" s="640"/>
      <c r="C302" s="507" t="s">
        <v>1739</v>
      </c>
      <c r="D302" s="507" t="s">
        <v>1873</v>
      </c>
      <c r="E302" s="630" t="s">
        <v>1740</v>
      </c>
      <c r="F302" s="630"/>
      <c r="G302" s="631" t="s">
        <v>2817</v>
      </c>
      <c r="H302" s="632" t="s">
        <v>537</v>
      </c>
      <c r="I302" s="633"/>
      <c r="J302" s="634" t="s">
        <v>1889</v>
      </c>
      <c r="K302" s="635"/>
      <c r="L302" s="626"/>
      <c r="M302" s="627"/>
      <c r="N302" s="636" t="s">
        <v>1898</v>
      </c>
      <c r="O302" s="636" t="s">
        <v>3291</v>
      </c>
      <c r="P302" s="507" t="s">
        <v>2490</v>
      </c>
      <c r="Q302" s="631"/>
      <c r="S302" s="611"/>
      <c r="T302" s="611"/>
      <c r="U302" s="611"/>
      <c r="V302" s="611"/>
      <c r="W302" s="611"/>
      <c r="X302" s="611"/>
      <c r="Y302" s="611"/>
      <c r="Z302" s="611"/>
      <c r="AA302" s="611"/>
    </row>
    <row r="303" spans="1:27" ht="12.4" customHeight="1">
      <c r="A303" s="611"/>
      <c r="B303" s="640"/>
      <c r="C303" s="507" t="s">
        <v>1741</v>
      </c>
      <c r="D303" s="507" t="s">
        <v>2037</v>
      </c>
      <c r="E303" s="637" t="s">
        <v>1341</v>
      </c>
      <c r="F303" s="637"/>
      <c r="G303" s="631" t="s">
        <v>3911</v>
      </c>
      <c r="H303" s="632" t="s">
        <v>538</v>
      </c>
      <c r="I303" s="638"/>
      <c r="J303" s="634" t="s">
        <v>1891</v>
      </c>
      <c r="K303" s="635"/>
      <c r="L303" s="626"/>
      <c r="M303" s="627"/>
      <c r="N303" s="636" t="s">
        <v>3764</v>
      </c>
      <c r="O303" s="636" t="s">
        <v>2539</v>
      </c>
      <c r="P303" s="507" t="s">
        <v>2491</v>
      </c>
      <c r="Q303" s="631"/>
      <c r="S303" s="611"/>
      <c r="T303" s="611"/>
      <c r="U303" s="611"/>
      <c r="V303" s="611"/>
      <c r="W303" s="611"/>
      <c r="X303" s="611"/>
      <c r="Y303" s="611"/>
      <c r="Z303" s="611"/>
      <c r="AA303" s="611"/>
    </row>
    <row r="304" spans="1:27" ht="12.4" customHeight="1">
      <c r="A304" s="611"/>
      <c r="B304" s="640"/>
      <c r="C304" s="507" t="s">
        <v>1742</v>
      </c>
      <c r="D304" s="507" t="s">
        <v>2037</v>
      </c>
      <c r="E304" s="637" t="s">
        <v>1340</v>
      </c>
      <c r="F304" s="637"/>
      <c r="G304" s="631" t="s">
        <v>3886</v>
      </c>
      <c r="H304" s="632" t="s">
        <v>538</v>
      </c>
      <c r="I304" s="638"/>
      <c r="J304" s="634" t="s">
        <v>1893</v>
      </c>
      <c r="K304" s="635"/>
      <c r="L304" s="626"/>
      <c r="M304" s="627"/>
      <c r="N304" s="636" t="s">
        <v>217</v>
      </c>
      <c r="O304" s="636" t="s">
        <v>3900</v>
      </c>
      <c r="P304" s="1579" t="s">
        <v>1413</v>
      </c>
      <c r="Q304" s="611"/>
      <c r="S304" s="611"/>
      <c r="T304" s="611"/>
      <c r="U304" s="611"/>
      <c r="V304" s="611"/>
      <c r="W304" s="611"/>
      <c r="X304" s="611"/>
      <c r="Y304" s="611"/>
      <c r="Z304" s="611"/>
      <c r="AA304" s="611"/>
    </row>
    <row r="305" spans="1:27" ht="12.4" customHeight="1">
      <c r="A305" s="611"/>
      <c r="B305" s="640"/>
      <c r="C305" s="507" t="s">
        <v>1743</v>
      </c>
      <c r="D305" s="507" t="s">
        <v>2037</v>
      </c>
      <c r="E305" s="630" t="s">
        <v>3275</v>
      </c>
      <c r="F305" s="630"/>
      <c r="G305" s="631" t="s">
        <v>2818</v>
      </c>
      <c r="H305" s="632" t="s">
        <v>537</v>
      </c>
      <c r="I305" s="633"/>
      <c r="J305" s="634" t="s">
        <v>1895</v>
      </c>
      <c r="K305" s="635"/>
      <c r="L305" s="626"/>
      <c r="M305" s="627"/>
      <c r="N305" s="636" t="s">
        <v>1487</v>
      </c>
      <c r="O305" s="636" t="s">
        <v>236</v>
      </c>
      <c r="P305" s="507" t="s">
        <v>2492</v>
      </c>
      <c r="Q305" s="631"/>
      <c r="S305" s="611"/>
      <c r="T305" s="611"/>
      <c r="U305" s="611"/>
      <c r="V305" s="611"/>
      <c r="W305" s="611"/>
      <c r="X305" s="611"/>
      <c r="Y305" s="611"/>
      <c r="Z305" s="611"/>
      <c r="AA305" s="611"/>
    </row>
    <row r="306" spans="1:27" ht="12.4" customHeight="1">
      <c r="A306" s="611"/>
      <c r="B306" s="640"/>
      <c r="C306" s="507" t="s">
        <v>3276</v>
      </c>
      <c r="D306" s="507" t="s">
        <v>1873</v>
      </c>
      <c r="E306" s="630" t="s">
        <v>3277</v>
      </c>
      <c r="F306" s="630"/>
      <c r="G306" s="631" t="s">
        <v>2819</v>
      </c>
      <c r="H306" s="632" t="s">
        <v>537</v>
      </c>
      <c r="I306" s="633"/>
      <c r="J306" s="634" t="s">
        <v>1897</v>
      </c>
      <c r="K306" s="635"/>
      <c r="L306" s="626"/>
      <c r="M306" s="627"/>
      <c r="N306" s="636" t="s">
        <v>1489</v>
      </c>
      <c r="O306" s="636" t="s">
        <v>419</v>
      </c>
      <c r="P306" s="507" t="s">
        <v>2493</v>
      </c>
      <c r="Q306" s="631"/>
      <c r="S306" s="611"/>
      <c r="T306" s="611"/>
      <c r="U306" s="611"/>
      <c r="V306" s="611"/>
      <c r="W306" s="611"/>
      <c r="X306" s="611"/>
      <c r="Y306" s="611"/>
      <c r="Z306" s="611"/>
      <c r="AA306" s="611"/>
    </row>
    <row r="307" spans="1:27" ht="12.4" customHeight="1">
      <c r="A307" s="611"/>
      <c r="B307" s="640"/>
      <c r="C307" s="507" t="s">
        <v>2371</v>
      </c>
      <c r="D307" s="507" t="s">
        <v>2371</v>
      </c>
      <c r="E307" s="507" t="s">
        <v>2371</v>
      </c>
      <c r="F307" s="630"/>
      <c r="G307" s="631"/>
      <c r="H307" s="632"/>
      <c r="I307" s="638"/>
      <c r="J307" s="634" t="s">
        <v>1899</v>
      </c>
      <c r="K307" s="635"/>
      <c r="L307" s="626"/>
      <c r="M307" s="627"/>
      <c r="N307" s="636" t="s">
        <v>1491</v>
      </c>
      <c r="O307" s="636" t="s">
        <v>1728</v>
      </c>
      <c r="P307" s="507" t="s">
        <v>2494</v>
      </c>
      <c r="Q307" s="611"/>
      <c r="S307" s="611"/>
      <c r="T307" s="611"/>
      <c r="U307" s="611"/>
      <c r="V307" s="611"/>
      <c r="W307" s="611"/>
      <c r="X307" s="611"/>
      <c r="Y307" s="611"/>
      <c r="Z307" s="611"/>
      <c r="AA307" s="611"/>
    </row>
    <row r="308" spans="1:27" ht="12.4" customHeight="1">
      <c r="A308" s="611"/>
      <c r="B308" s="640"/>
      <c r="C308" s="507" t="s">
        <v>3278</v>
      </c>
      <c r="D308" s="507" t="s">
        <v>1873</v>
      </c>
      <c r="E308" s="637" t="s">
        <v>3279</v>
      </c>
      <c r="F308" s="637"/>
      <c r="G308" s="631" t="s">
        <v>671</v>
      </c>
      <c r="H308" s="632" t="s">
        <v>537</v>
      </c>
      <c r="I308" s="638"/>
      <c r="J308" s="634" t="s">
        <v>1485</v>
      </c>
      <c r="K308" s="635"/>
      <c r="L308" s="626"/>
      <c r="M308" s="627"/>
      <c r="N308" s="507" t="s">
        <v>3870</v>
      </c>
      <c r="O308" s="507" t="s">
        <v>3758</v>
      </c>
      <c r="P308" s="1580" t="s">
        <v>3242</v>
      </c>
      <c r="Q308" s="611"/>
      <c r="S308" s="611"/>
      <c r="T308" s="611"/>
      <c r="U308" s="611"/>
      <c r="V308" s="611"/>
      <c r="W308" s="611"/>
      <c r="X308" s="611"/>
      <c r="Y308" s="611"/>
      <c r="Z308" s="611"/>
      <c r="AA308" s="611"/>
    </row>
    <row r="309" spans="1:27" ht="12.4" customHeight="1">
      <c r="A309" s="611"/>
      <c r="B309" s="640"/>
      <c r="C309" s="507" t="s">
        <v>3280</v>
      </c>
      <c r="D309" s="507" t="s">
        <v>2037</v>
      </c>
      <c r="E309" s="637" t="s">
        <v>1340</v>
      </c>
      <c r="F309" s="637"/>
      <c r="G309" s="631" t="s">
        <v>3886</v>
      </c>
      <c r="H309" s="632" t="s">
        <v>538</v>
      </c>
      <c r="I309" s="638"/>
      <c r="J309" s="634" t="s">
        <v>1486</v>
      </c>
      <c r="K309" s="635"/>
      <c r="L309" s="626"/>
      <c r="M309" s="627"/>
      <c r="N309" s="636" t="s">
        <v>3241</v>
      </c>
      <c r="O309" s="636" t="s">
        <v>1742</v>
      </c>
      <c r="P309" s="507" t="s">
        <v>2495</v>
      </c>
      <c r="Q309" s="631"/>
      <c r="S309" s="611"/>
      <c r="T309" s="611"/>
      <c r="U309" s="611"/>
      <c r="V309" s="611"/>
      <c r="W309" s="611"/>
      <c r="X309" s="611"/>
      <c r="Y309" s="611"/>
      <c r="Z309" s="611"/>
      <c r="AA309" s="611"/>
    </row>
    <row r="310" spans="1:27" ht="12.4" customHeight="1">
      <c r="A310" s="611"/>
      <c r="B310" s="640"/>
      <c r="C310" s="507" t="s">
        <v>3281</v>
      </c>
      <c r="D310" s="507" t="s">
        <v>2013</v>
      </c>
      <c r="E310" s="637" t="s">
        <v>3282</v>
      </c>
      <c r="F310" s="637"/>
      <c r="G310" s="631" t="s">
        <v>284</v>
      </c>
      <c r="H310" s="632" t="s">
        <v>537</v>
      </c>
      <c r="I310" s="633"/>
      <c r="J310" s="634" t="s">
        <v>1488</v>
      </c>
      <c r="K310" s="635"/>
      <c r="L310" s="626"/>
      <c r="M310" s="627"/>
      <c r="N310" s="636" t="s">
        <v>3152</v>
      </c>
      <c r="O310" s="636" t="s">
        <v>2663</v>
      </c>
      <c r="P310" s="507" t="s">
        <v>2496</v>
      </c>
      <c r="Q310" s="631"/>
      <c r="S310" s="611"/>
      <c r="T310" s="611"/>
      <c r="U310" s="611"/>
      <c r="V310" s="611"/>
      <c r="W310" s="611"/>
      <c r="X310" s="611"/>
      <c r="Y310" s="611"/>
      <c r="Z310" s="611"/>
      <c r="AA310" s="611"/>
    </row>
    <row r="311" spans="1:27" ht="12.4" customHeight="1">
      <c r="A311" s="611"/>
      <c r="B311" s="640"/>
      <c r="C311" s="507" t="s">
        <v>3283</v>
      </c>
      <c r="D311" s="507" t="s">
        <v>1873</v>
      </c>
      <c r="E311" s="630" t="s">
        <v>3284</v>
      </c>
      <c r="F311" s="630"/>
      <c r="G311" s="631" t="s">
        <v>2135</v>
      </c>
      <c r="H311" s="632" t="s">
        <v>537</v>
      </c>
      <c r="I311" s="633"/>
      <c r="J311" s="634" t="s">
        <v>1490</v>
      </c>
      <c r="K311" s="635"/>
      <c r="L311" s="626"/>
      <c r="M311" s="627"/>
      <c r="N311" s="636" t="s">
        <v>3154</v>
      </c>
      <c r="O311" s="636" t="s">
        <v>3821</v>
      </c>
      <c r="P311" s="507" t="s">
        <v>2497</v>
      </c>
      <c r="Q311" s="631"/>
      <c r="S311" s="611"/>
      <c r="T311" s="611"/>
      <c r="U311" s="611"/>
      <c r="V311" s="611"/>
      <c r="W311" s="611"/>
      <c r="X311" s="611"/>
      <c r="Y311" s="611"/>
      <c r="Z311" s="611"/>
      <c r="AA311" s="611"/>
    </row>
    <row r="312" spans="1:27" ht="12.4" customHeight="1">
      <c r="A312" s="611"/>
      <c r="B312" s="640"/>
      <c r="C312" s="507" t="s">
        <v>3285</v>
      </c>
      <c r="D312" s="507" t="s">
        <v>1873</v>
      </c>
      <c r="E312" s="630" t="s">
        <v>3286</v>
      </c>
      <c r="F312" s="630"/>
      <c r="G312" s="631" t="s">
        <v>2136</v>
      </c>
      <c r="H312" s="632" t="s">
        <v>537</v>
      </c>
      <c r="I312" s="633"/>
      <c r="J312" s="634" t="s">
        <v>3239</v>
      </c>
      <c r="K312" s="635"/>
      <c r="L312" s="626"/>
      <c r="M312" s="627"/>
      <c r="N312" s="636" t="s">
        <v>1415</v>
      </c>
      <c r="O312" s="636" t="s">
        <v>414</v>
      </c>
      <c r="P312" s="1579" t="s">
        <v>1413</v>
      </c>
      <c r="Q312" s="611"/>
      <c r="S312" s="611"/>
      <c r="T312" s="611"/>
      <c r="U312" s="611"/>
      <c r="V312" s="611"/>
      <c r="W312" s="611"/>
      <c r="X312" s="611"/>
      <c r="Y312" s="611"/>
      <c r="Z312" s="611"/>
      <c r="AA312" s="611"/>
    </row>
    <row r="313" spans="1:27" ht="12.4" customHeight="1">
      <c r="A313" s="611"/>
      <c r="B313" s="640"/>
      <c r="C313" s="507" t="s">
        <v>3287</v>
      </c>
      <c r="D313" s="507" t="s">
        <v>2037</v>
      </c>
      <c r="E313" s="630" t="s">
        <v>3288</v>
      </c>
      <c r="F313" s="630"/>
      <c r="G313" s="631" t="s">
        <v>2137</v>
      </c>
      <c r="H313" s="632" t="s">
        <v>537</v>
      </c>
      <c r="I313" s="633"/>
      <c r="J313" s="634" t="s">
        <v>3240</v>
      </c>
      <c r="K313" s="635"/>
      <c r="L313" s="626"/>
      <c r="M313" s="627"/>
      <c r="N313" s="636" t="s">
        <v>933</v>
      </c>
      <c r="O313" s="636" t="s">
        <v>137</v>
      </c>
      <c r="P313" s="507" t="s">
        <v>2498</v>
      </c>
      <c r="Q313" s="631"/>
      <c r="S313" s="611"/>
      <c r="T313" s="611"/>
      <c r="U313" s="611"/>
      <c r="V313" s="611"/>
      <c r="W313" s="611"/>
      <c r="X313" s="611"/>
      <c r="Y313" s="611"/>
      <c r="Z313" s="611"/>
      <c r="AA313" s="611"/>
    </row>
    <row r="314" spans="1:27" ht="12.4" customHeight="1">
      <c r="A314" s="611"/>
      <c r="B314" s="640"/>
      <c r="C314" s="507" t="s">
        <v>3289</v>
      </c>
      <c r="D314" s="507" t="s">
        <v>2037</v>
      </c>
      <c r="E314" s="630" t="s">
        <v>3290</v>
      </c>
      <c r="F314" s="630"/>
      <c r="G314" s="631" t="s">
        <v>3093</v>
      </c>
      <c r="H314" s="632" t="s">
        <v>537</v>
      </c>
      <c r="I314" s="633"/>
      <c r="J314" s="634" t="s">
        <v>3151</v>
      </c>
      <c r="K314" s="635"/>
      <c r="L314" s="626"/>
      <c r="M314" s="627"/>
      <c r="N314" s="507" t="s">
        <v>3871</v>
      </c>
      <c r="O314" s="507" t="s">
        <v>2029</v>
      </c>
      <c r="P314" s="1580" t="s">
        <v>3242</v>
      </c>
      <c r="Q314" s="631"/>
      <c r="S314" s="611"/>
      <c r="T314" s="611"/>
      <c r="U314" s="611"/>
      <c r="V314" s="611"/>
      <c r="W314" s="611"/>
      <c r="X314" s="611"/>
      <c r="Y314" s="611"/>
      <c r="Z314" s="611"/>
      <c r="AA314" s="611"/>
    </row>
    <row r="315" spans="1:27" ht="12.4" customHeight="1">
      <c r="A315" s="611"/>
      <c r="B315" s="640"/>
      <c r="C315" s="507" t="s">
        <v>3291</v>
      </c>
      <c r="D315" s="507" t="s">
        <v>1873</v>
      </c>
      <c r="E315" s="630" t="s">
        <v>3292</v>
      </c>
      <c r="F315" s="630"/>
      <c r="G315" s="631" t="s">
        <v>3094</v>
      </c>
      <c r="H315" s="632" t="s">
        <v>537</v>
      </c>
      <c r="I315" s="633"/>
      <c r="J315" s="634" t="s">
        <v>3153</v>
      </c>
      <c r="K315" s="635"/>
      <c r="L315" s="626"/>
      <c r="M315" s="627"/>
      <c r="N315" s="636" t="s">
        <v>935</v>
      </c>
      <c r="O315" s="636" t="s">
        <v>3901</v>
      </c>
      <c r="P315" s="507" t="s">
        <v>2499</v>
      </c>
      <c r="Q315" s="611"/>
      <c r="S315" s="611"/>
      <c r="T315" s="611"/>
      <c r="U315" s="611"/>
      <c r="V315" s="611"/>
      <c r="W315" s="611"/>
      <c r="X315" s="611"/>
      <c r="Y315" s="611"/>
      <c r="Z315" s="611"/>
      <c r="AA315" s="611"/>
    </row>
    <row r="316" spans="1:27" ht="12.4" customHeight="1">
      <c r="A316" s="611"/>
      <c r="B316" s="640"/>
      <c r="C316" s="507" t="s">
        <v>3293</v>
      </c>
      <c r="D316" s="507" t="s">
        <v>2037</v>
      </c>
      <c r="E316" s="630" t="s">
        <v>1462</v>
      </c>
      <c r="F316" s="630"/>
      <c r="G316" s="631" t="s">
        <v>3095</v>
      </c>
      <c r="H316" s="632" t="s">
        <v>537</v>
      </c>
      <c r="I316" s="633"/>
      <c r="J316" s="634" t="s">
        <v>931</v>
      </c>
      <c r="K316" s="635"/>
      <c r="L316" s="626"/>
      <c r="M316" s="627"/>
      <c r="N316" s="636" t="s">
        <v>3820</v>
      </c>
      <c r="O316" s="636" t="s">
        <v>3903</v>
      </c>
      <c r="P316" s="507" t="s">
        <v>2500</v>
      </c>
      <c r="Q316" s="631"/>
      <c r="S316" s="611"/>
      <c r="T316" s="611"/>
      <c r="U316" s="611"/>
      <c r="V316" s="611"/>
      <c r="W316" s="611"/>
      <c r="X316" s="611"/>
      <c r="Y316" s="611"/>
      <c r="Z316" s="611"/>
      <c r="AA316" s="611"/>
    </row>
    <row r="317" spans="1:27" ht="12.4" customHeight="1">
      <c r="A317" s="611"/>
      <c r="B317" s="640"/>
      <c r="C317" s="507" t="s">
        <v>1463</v>
      </c>
      <c r="D317" s="507" t="s">
        <v>1873</v>
      </c>
      <c r="E317" s="630" t="s">
        <v>1464</v>
      </c>
      <c r="F317" s="630"/>
      <c r="G317" s="631" t="s">
        <v>3096</v>
      </c>
      <c r="H317" s="632" t="s">
        <v>537</v>
      </c>
      <c r="I317" s="638"/>
      <c r="J317" s="634" t="s">
        <v>932</v>
      </c>
      <c r="K317" s="635"/>
      <c r="L317" s="626"/>
      <c r="M317" s="627"/>
      <c r="N317" s="636" t="s">
        <v>939</v>
      </c>
      <c r="O317" s="636" t="s">
        <v>3289</v>
      </c>
      <c r="P317" s="507" t="s">
        <v>2501</v>
      </c>
      <c r="Q317" s="631"/>
      <c r="S317" s="611"/>
      <c r="T317" s="611"/>
      <c r="U317" s="611"/>
      <c r="V317" s="611"/>
      <c r="W317" s="611"/>
      <c r="X317" s="611"/>
      <c r="Y317" s="611"/>
      <c r="Z317" s="611"/>
      <c r="AA317" s="611"/>
    </row>
    <row r="318" spans="1:27" ht="12.4" customHeight="1">
      <c r="A318" s="611"/>
      <c r="B318" s="640"/>
      <c r="C318" s="507" t="s">
        <v>2662</v>
      </c>
      <c r="D318" s="507" t="s">
        <v>1873</v>
      </c>
      <c r="E318" s="637" t="s">
        <v>2812</v>
      </c>
      <c r="F318" s="637"/>
      <c r="G318" s="631" t="s">
        <v>1805</v>
      </c>
      <c r="H318" s="632" t="s">
        <v>538</v>
      </c>
      <c r="I318" s="638"/>
      <c r="J318" s="634" t="s">
        <v>934</v>
      </c>
      <c r="K318" s="635"/>
      <c r="L318" s="626"/>
      <c r="M318" s="627"/>
      <c r="N318" s="636" t="s">
        <v>941</v>
      </c>
      <c r="O318" s="636" t="s">
        <v>2543</v>
      </c>
      <c r="P318" s="507" t="s">
        <v>2502</v>
      </c>
      <c r="Q318" s="631"/>
      <c r="S318" s="611"/>
      <c r="T318" s="611"/>
      <c r="U318" s="611"/>
      <c r="V318" s="611"/>
      <c r="W318" s="611"/>
      <c r="X318" s="611"/>
      <c r="Y318" s="611"/>
      <c r="Z318" s="611"/>
      <c r="AA318" s="611"/>
    </row>
    <row r="319" spans="1:27" ht="12.4" customHeight="1">
      <c r="A319" s="611"/>
      <c r="B319" s="640"/>
      <c r="C319" s="507" t="s">
        <v>2663</v>
      </c>
      <c r="D319" s="507" t="s">
        <v>1873</v>
      </c>
      <c r="E319" s="637" t="s">
        <v>2664</v>
      </c>
      <c r="F319" s="637"/>
      <c r="G319" s="631" t="s">
        <v>3097</v>
      </c>
      <c r="H319" s="632" t="s">
        <v>537</v>
      </c>
      <c r="I319" s="638"/>
      <c r="J319" s="634" t="s">
        <v>936</v>
      </c>
      <c r="K319" s="635"/>
      <c r="L319" s="626"/>
      <c r="M319" s="627"/>
      <c r="N319" s="636" t="s">
        <v>842</v>
      </c>
      <c r="O319" s="636" t="s">
        <v>1004</v>
      </c>
      <c r="P319" s="507" t="s">
        <v>2503</v>
      </c>
      <c r="Q319" s="611"/>
      <c r="S319" s="611"/>
      <c r="T319" s="611"/>
      <c r="U319" s="611"/>
      <c r="V319" s="611"/>
      <c r="W319" s="611"/>
      <c r="X319" s="611"/>
      <c r="Y319" s="611"/>
      <c r="Z319" s="611"/>
      <c r="AA319" s="611"/>
    </row>
    <row r="320" spans="1:27" ht="12.4" customHeight="1">
      <c r="A320" s="611"/>
      <c r="B320" s="640"/>
      <c r="C320" s="507" t="s">
        <v>2665</v>
      </c>
      <c r="D320" s="507" t="s">
        <v>1873</v>
      </c>
      <c r="E320" s="637" t="s">
        <v>2979</v>
      </c>
      <c r="F320" s="637"/>
      <c r="G320" s="631" t="s">
        <v>1811</v>
      </c>
      <c r="H320" s="632" t="s">
        <v>537</v>
      </c>
      <c r="I320" s="638"/>
      <c r="J320" s="634" t="s">
        <v>937</v>
      </c>
      <c r="K320" s="635"/>
      <c r="L320" s="626"/>
      <c r="M320" s="627"/>
      <c r="N320" s="636" t="s">
        <v>844</v>
      </c>
      <c r="O320" s="636" t="s">
        <v>216</v>
      </c>
      <c r="P320" s="1579" t="s">
        <v>1413</v>
      </c>
      <c r="Q320" s="631"/>
      <c r="S320" s="611"/>
      <c r="T320" s="611"/>
      <c r="U320" s="611"/>
      <c r="V320" s="611"/>
      <c r="W320" s="611"/>
      <c r="X320" s="611"/>
      <c r="Y320" s="611"/>
      <c r="Z320" s="611"/>
      <c r="AA320" s="611"/>
    </row>
    <row r="321" spans="1:27" ht="12.4" customHeight="1">
      <c r="A321" s="611"/>
      <c r="B321" s="640"/>
      <c r="C321" s="507" t="s">
        <v>2980</v>
      </c>
      <c r="D321" s="507" t="s">
        <v>1873</v>
      </c>
      <c r="E321" s="637" t="s">
        <v>2981</v>
      </c>
      <c r="F321" s="637"/>
      <c r="G321" s="631" t="s">
        <v>1812</v>
      </c>
      <c r="H321" s="632" t="s">
        <v>537</v>
      </c>
      <c r="I321" s="638"/>
      <c r="J321" s="634" t="s">
        <v>938</v>
      </c>
      <c r="K321" s="635"/>
      <c r="L321" s="626"/>
      <c r="M321" s="627"/>
      <c r="N321" s="636" t="s">
        <v>1236</v>
      </c>
      <c r="O321" s="636" t="s">
        <v>1739</v>
      </c>
      <c r="P321" s="507" t="s">
        <v>2504</v>
      </c>
      <c r="Q321" s="631"/>
      <c r="S321" s="611"/>
      <c r="T321" s="611"/>
      <c r="U321" s="611"/>
      <c r="V321" s="611"/>
      <c r="W321" s="611"/>
      <c r="X321" s="611"/>
      <c r="Y321" s="611"/>
      <c r="Z321" s="611"/>
      <c r="AA321" s="611"/>
    </row>
    <row r="322" spans="1:27" ht="12.4" customHeight="1">
      <c r="A322" s="611"/>
      <c r="B322" s="640"/>
      <c r="C322" s="507" t="s">
        <v>2982</v>
      </c>
      <c r="D322" s="507" t="s">
        <v>2013</v>
      </c>
      <c r="E322" s="637" t="s">
        <v>2983</v>
      </c>
      <c r="F322" s="637"/>
      <c r="G322" s="631" t="s">
        <v>1813</v>
      </c>
      <c r="H322" s="632" t="s">
        <v>537</v>
      </c>
      <c r="I322" s="638"/>
      <c r="J322" s="634" t="s">
        <v>940</v>
      </c>
      <c r="K322" s="635"/>
      <c r="L322" s="626"/>
      <c r="M322" s="627"/>
      <c r="N322" s="636" t="s">
        <v>1238</v>
      </c>
      <c r="O322" s="636" t="s">
        <v>136</v>
      </c>
      <c r="P322" s="507" t="s">
        <v>2505</v>
      </c>
      <c r="Q322" s="631"/>
      <c r="S322" s="611"/>
      <c r="T322" s="611"/>
      <c r="U322" s="611"/>
      <c r="V322" s="611"/>
      <c r="W322" s="611"/>
      <c r="X322" s="611"/>
      <c r="Y322" s="611"/>
      <c r="Z322" s="611"/>
      <c r="AA322" s="611"/>
    </row>
    <row r="323" spans="1:27" ht="12.4" customHeight="1">
      <c r="A323" s="611"/>
      <c r="B323" s="640"/>
      <c r="C323" s="507" t="s">
        <v>2984</v>
      </c>
      <c r="D323" s="507" t="s">
        <v>1873</v>
      </c>
      <c r="E323" s="637" t="s">
        <v>2985</v>
      </c>
      <c r="F323" s="637"/>
      <c r="G323" s="631" t="s">
        <v>1814</v>
      </c>
      <c r="H323" s="632" t="s">
        <v>537</v>
      </c>
      <c r="I323" s="633"/>
      <c r="J323" s="634" t="s">
        <v>942</v>
      </c>
      <c r="K323" s="635"/>
      <c r="L323" s="626"/>
      <c r="M323" s="627"/>
      <c r="N323" s="636" t="s">
        <v>43</v>
      </c>
      <c r="O323" s="636" t="s">
        <v>233</v>
      </c>
      <c r="P323" s="507" t="s">
        <v>2506</v>
      </c>
      <c r="Q323" s="631"/>
      <c r="S323" s="611"/>
      <c r="T323" s="611"/>
      <c r="U323" s="611"/>
      <c r="V323" s="611"/>
      <c r="W323" s="611"/>
      <c r="X323" s="611"/>
      <c r="Y323" s="611"/>
      <c r="Z323" s="611"/>
      <c r="AA323" s="611"/>
    </row>
    <row r="324" spans="1:27" ht="12.4" customHeight="1">
      <c r="A324" s="611"/>
      <c r="B324" s="640"/>
      <c r="C324" s="507" t="s">
        <v>2986</v>
      </c>
      <c r="D324" s="507" t="s">
        <v>2037</v>
      </c>
      <c r="E324" s="630" t="s">
        <v>2987</v>
      </c>
      <c r="F324" s="630"/>
      <c r="G324" s="631" t="s">
        <v>1815</v>
      </c>
      <c r="H324" s="632" t="s">
        <v>537</v>
      </c>
      <c r="I324" s="638"/>
      <c r="J324" s="634" t="s">
        <v>843</v>
      </c>
      <c r="K324" s="635"/>
      <c r="L324" s="626"/>
      <c r="M324" s="627"/>
      <c r="N324" s="636" t="s">
        <v>3042</v>
      </c>
      <c r="O324" s="636" t="s">
        <v>3373</v>
      </c>
      <c r="P324" s="507" t="s">
        <v>2507</v>
      </c>
      <c r="Q324" s="631"/>
      <c r="S324" s="611"/>
      <c r="T324" s="611"/>
      <c r="U324" s="611"/>
      <c r="V324" s="611"/>
      <c r="W324" s="611"/>
      <c r="X324" s="611"/>
      <c r="Y324" s="611"/>
      <c r="Z324" s="611"/>
      <c r="AA324" s="611"/>
    </row>
    <row r="325" spans="1:27" ht="12.4" customHeight="1">
      <c r="A325" s="611"/>
      <c r="B325" s="640"/>
      <c r="C325" s="507" t="s">
        <v>2988</v>
      </c>
      <c r="D325" s="507" t="s">
        <v>1873</v>
      </c>
      <c r="E325" s="637" t="s">
        <v>2989</v>
      </c>
      <c r="F325" s="637"/>
      <c r="G325" s="631" t="s">
        <v>1816</v>
      </c>
      <c r="H325" s="632" t="s">
        <v>537</v>
      </c>
      <c r="I325" s="638"/>
      <c r="J325" s="634" t="s">
        <v>1800</v>
      </c>
      <c r="K325" s="635"/>
      <c r="L325" s="626"/>
      <c r="M325" s="627"/>
      <c r="N325" s="636" t="s">
        <v>3044</v>
      </c>
      <c r="O325" s="636" t="s">
        <v>3904</v>
      </c>
      <c r="P325" s="507" t="s">
        <v>2508</v>
      </c>
      <c r="Q325" s="631"/>
      <c r="S325" s="611"/>
      <c r="T325" s="611"/>
      <c r="U325" s="611"/>
      <c r="V325" s="611"/>
      <c r="W325" s="611"/>
      <c r="X325" s="611"/>
      <c r="Y325" s="611"/>
      <c r="Z325" s="611"/>
      <c r="AA325" s="611"/>
    </row>
    <row r="326" spans="1:27" ht="12.4" customHeight="1">
      <c r="A326" s="611"/>
      <c r="B326" s="640"/>
      <c r="C326" s="507" t="s">
        <v>2990</v>
      </c>
      <c r="D326" s="507" t="s">
        <v>2037</v>
      </c>
      <c r="E326" s="637" t="s">
        <v>2022</v>
      </c>
      <c r="F326" s="637"/>
      <c r="G326" s="631" t="s">
        <v>3889</v>
      </c>
      <c r="H326" s="632" t="s">
        <v>538</v>
      </c>
      <c r="I326" s="638"/>
      <c r="J326" s="634" t="s">
        <v>1237</v>
      </c>
      <c r="K326" s="635"/>
      <c r="L326" s="626"/>
      <c r="M326" s="627"/>
      <c r="N326" s="636" t="s">
        <v>432</v>
      </c>
      <c r="O326" s="636" t="s">
        <v>3026</v>
      </c>
      <c r="P326" s="507" t="s">
        <v>2509</v>
      </c>
      <c r="Q326" s="631"/>
      <c r="S326" s="611"/>
      <c r="T326" s="611"/>
      <c r="U326" s="611"/>
      <c r="V326" s="611"/>
      <c r="W326" s="611"/>
      <c r="X326" s="611"/>
      <c r="Y326" s="611"/>
      <c r="Z326" s="611"/>
      <c r="AA326" s="611"/>
    </row>
    <row r="327" spans="1:27" ht="12.4" customHeight="1">
      <c r="A327" s="611"/>
      <c r="B327" s="640"/>
      <c r="C327" s="507" t="s">
        <v>2991</v>
      </c>
      <c r="D327" s="507" t="s">
        <v>2013</v>
      </c>
      <c r="E327" s="637" t="s">
        <v>2992</v>
      </c>
      <c r="F327" s="637"/>
      <c r="G327" s="631" t="s">
        <v>1817</v>
      </c>
      <c r="H327" s="632" t="s">
        <v>537</v>
      </c>
      <c r="I327" s="633"/>
      <c r="J327" s="634" t="s">
        <v>42</v>
      </c>
      <c r="K327" s="635"/>
      <c r="L327" s="626"/>
      <c r="M327" s="627"/>
      <c r="N327" s="636" t="s">
        <v>434</v>
      </c>
      <c r="O327" s="636" t="s">
        <v>1466</v>
      </c>
      <c r="P327" s="507" t="s">
        <v>2510</v>
      </c>
      <c r="Q327" s="631"/>
      <c r="S327" s="611"/>
      <c r="T327" s="611"/>
      <c r="U327" s="611"/>
      <c r="V327" s="611"/>
      <c r="W327" s="611"/>
      <c r="X327" s="611"/>
      <c r="Y327" s="611"/>
      <c r="Z327" s="611"/>
      <c r="AA327" s="611"/>
    </row>
    <row r="328" spans="1:27" ht="12.4" customHeight="1">
      <c r="A328" s="611"/>
      <c r="B328" s="640"/>
      <c r="C328" s="507" t="s">
        <v>3085</v>
      </c>
      <c r="D328" s="507" t="s">
        <v>2037</v>
      </c>
      <c r="E328" s="630" t="s">
        <v>3086</v>
      </c>
      <c r="F328" s="630"/>
      <c r="G328" s="631" t="s">
        <v>1818</v>
      </c>
      <c r="H328" s="632" t="s">
        <v>537</v>
      </c>
      <c r="I328" s="638"/>
      <c r="J328" s="634" t="s">
        <v>3041</v>
      </c>
      <c r="K328" s="635"/>
      <c r="L328" s="626"/>
      <c r="M328" s="627"/>
      <c r="N328" s="636" t="s">
        <v>436</v>
      </c>
      <c r="O328" s="636" t="s">
        <v>236</v>
      </c>
      <c r="P328" s="507" t="s">
        <v>2511</v>
      </c>
      <c r="Q328" s="631"/>
      <c r="S328" s="611"/>
      <c r="T328" s="611"/>
      <c r="U328" s="611"/>
      <c r="V328" s="611"/>
      <c r="W328" s="611"/>
      <c r="X328" s="611"/>
      <c r="Y328" s="611"/>
      <c r="Z328" s="611"/>
      <c r="AA328" s="611"/>
    </row>
    <row r="329" spans="1:27" ht="12.4" customHeight="1">
      <c r="A329" s="611"/>
      <c r="B329" s="640"/>
      <c r="C329" s="507" t="s">
        <v>3087</v>
      </c>
      <c r="D329" s="507" t="s">
        <v>2013</v>
      </c>
      <c r="E329" s="637" t="s">
        <v>2272</v>
      </c>
      <c r="F329" s="637"/>
      <c r="G329" s="631" t="s">
        <v>2698</v>
      </c>
      <c r="H329" s="632" t="s">
        <v>538</v>
      </c>
      <c r="I329" s="638"/>
      <c r="J329" s="634" t="s">
        <v>3043</v>
      </c>
      <c r="K329" s="635"/>
      <c r="L329" s="626"/>
      <c r="M329" s="627"/>
      <c r="N329" s="636" t="s">
        <v>438</v>
      </c>
      <c r="O329" s="636" t="s">
        <v>3634</v>
      </c>
      <c r="P329" s="507" t="s">
        <v>2512</v>
      </c>
      <c r="Q329" s="631"/>
      <c r="S329" s="611"/>
      <c r="T329" s="611"/>
      <c r="U329" s="611"/>
      <c r="V329" s="611"/>
      <c r="W329" s="611"/>
      <c r="X329" s="611"/>
      <c r="Y329" s="611"/>
      <c r="Z329" s="611"/>
      <c r="AA329" s="611"/>
    </row>
    <row r="330" spans="1:27" ht="12.4" customHeight="1">
      <c r="A330" s="611"/>
      <c r="B330" s="640"/>
      <c r="C330" s="507" t="s">
        <v>3088</v>
      </c>
      <c r="D330" s="507" t="s">
        <v>2037</v>
      </c>
      <c r="E330" s="637" t="s">
        <v>1340</v>
      </c>
      <c r="F330" s="637"/>
      <c r="G330" s="631" t="s">
        <v>3886</v>
      </c>
      <c r="H330" s="632" t="s">
        <v>538</v>
      </c>
      <c r="I330" s="638"/>
      <c r="J330" s="634" t="s">
        <v>431</v>
      </c>
      <c r="K330" s="635"/>
      <c r="L330" s="626"/>
      <c r="M330" s="627"/>
      <c r="N330" s="636" t="s">
        <v>440</v>
      </c>
      <c r="O330" s="636" t="s">
        <v>2939</v>
      </c>
      <c r="P330" s="507" t="s">
        <v>2513</v>
      </c>
      <c r="Q330" s="631"/>
      <c r="S330" s="611"/>
      <c r="T330" s="611"/>
      <c r="U330" s="611"/>
      <c r="V330" s="611"/>
      <c r="W330" s="611"/>
      <c r="X330" s="611"/>
      <c r="Y330" s="611"/>
      <c r="Z330" s="611"/>
      <c r="AA330" s="611"/>
    </row>
    <row r="331" spans="1:27" ht="12.4" customHeight="1">
      <c r="A331" s="611"/>
      <c r="B331" s="640"/>
      <c r="C331" s="507" t="s">
        <v>3089</v>
      </c>
      <c r="D331" s="507" t="s">
        <v>1873</v>
      </c>
      <c r="E331" s="637" t="s">
        <v>117</v>
      </c>
      <c r="F331" s="637"/>
      <c r="G331" s="631" t="s">
        <v>1819</v>
      </c>
      <c r="H331" s="632" t="s">
        <v>537</v>
      </c>
      <c r="I331" s="638"/>
      <c r="J331" s="634" t="s">
        <v>433</v>
      </c>
      <c r="K331" s="635"/>
      <c r="L331" s="626"/>
      <c r="M331" s="627"/>
      <c r="N331" s="636" t="s">
        <v>442</v>
      </c>
      <c r="O331" s="636" t="s">
        <v>232</v>
      </c>
      <c r="P331" s="507" t="s">
        <v>1256</v>
      </c>
      <c r="Q331" s="631"/>
      <c r="S331" s="611"/>
      <c r="T331" s="611"/>
      <c r="U331" s="611"/>
      <c r="V331" s="611"/>
      <c r="W331" s="611"/>
      <c r="X331" s="611"/>
      <c r="Y331" s="611"/>
      <c r="Z331" s="611"/>
      <c r="AA331" s="611"/>
    </row>
    <row r="332" spans="1:27" ht="12.4" customHeight="1">
      <c r="A332" s="611"/>
      <c r="B332" s="640"/>
      <c r="C332" s="507" t="s">
        <v>118</v>
      </c>
      <c r="D332" s="507" t="s">
        <v>2037</v>
      </c>
      <c r="E332" s="637" t="s">
        <v>119</v>
      </c>
      <c r="F332" s="637"/>
      <c r="G332" s="631" t="s">
        <v>1820</v>
      </c>
      <c r="H332" s="632" t="s">
        <v>537</v>
      </c>
      <c r="I332" s="638"/>
      <c r="J332" s="634" t="s">
        <v>435</v>
      </c>
      <c r="K332" s="635"/>
      <c r="L332" s="626"/>
      <c r="M332" s="627"/>
      <c r="N332" s="636" t="s">
        <v>3013</v>
      </c>
      <c r="O332" s="636" t="s">
        <v>120</v>
      </c>
      <c r="P332" s="507" t="s">
        <v>1257</v>
      </c>
      <c r="Q332" s="631"/>
      <c r="S332" s="611"/>
      <c r="T332" s="611"/>
      <c r="U332" s="611"/>
      <c r="V332" s="611"/>
      <c r="W332" s="611"/>
      <c r="X332" s="611"/>
      <c r="Y332" s="611"/>
      <c r="Z332" s="611"/>
      <c r="AA332" s="611"/>
    </row>
    <row r="333" spans="1:27" ht="12.4" customHeight="1">
      <c r="A333" s="611"/>
      <c r="B333" s="640"/>
      <c r="C333" s="507" t="s">
        <v>120</v>
      </c>
      <c r="D333" s="507" t="s">
        <v>1873</v>
      </c>
      <c r="E333" s="637" t="s">
        <v>121</v>
      </c>
      <c r="F333" s="637"/>
      <c r="G333" s="631" t="s">
        <v>1821</v>
      </c>
      <c r="H333" s="632" t="s">
        <v>537</v>
      </c>
      <c r="I333" s="638"/>
      <c r="J333" s="634" t="s">
        <v>437</v>
      </c>
      <c r="K333" s="635"/>
      <c r="L333" s="626"/>
      <c r="M333" s="627"/>
      <c r="N333" s="636" t="s">
        <v>253</v>
      </c>
      <c r="O333" s="636" t="s">
        <v>2662</v>
      </c>
      <c r="P333" s="507" t="s">
        <v>1258</v>
      </c>
      <c r="Q333" s="631"/>
      <c r="S333" s="611"/>
      <c r="T333" s="611"/>
      <c r="U333" s="611"/>
      <c r="V333" s="611"/>
      <c r="W333" s="611"/>
      <c r="X333" s="611"/>
      <c r="Y333" s="611"/>
      <c r="Z333" s="611"/>
      <c r="AA333" s="611"/>
    </row>
    <row r="334" spans="1:27" ht="12.4" customHeight="1">
      <c r="A334" s="611"/>
      <c r="B334" s="640"/>
      <c r="C334" s="507" t="s">
        <v>122</v>
      </c>
      <c r="D334" s="507" t="s">
        <v>1873</v>
      </c>
      <c r="E334" s="637" t="s">
        <v>123</v>
      </c>
      <c r="F334" s="637"/>
      <c r="G334" s="631" t="s">
        <v>1822</v>
      </c>
      <c r="H334" s="632" t="s">
        <v>537</v>
      </c>
      <c r="I334" s="638"/>
      <c r="J334" s="634" t="s">
        <v>439</v>
      </c>
      <c r="K334" s="635"/>
      <c r="L334" s="626"/>
      <c r="M334" s="627"/>
      <c r="N334" s="636" t="s">
        <v>3259</v>
      </c>
      <c r="O334" s="636" t="s">
        <v>253</v>
      </c>
      <c r="P334" s="507" t="s">
        <v>1259</v>
      </c>
      <c r="Q334" s="631"/>
      <c r="S334" s="611"/>
      <c r="T334" s="611"/>
      <c r="U334" s="611"/>
      <c r="V334" s="611"/>
      <c r="W334" s="611"/>
      <c r="X334" s="611"/>
      <c r="Y334" s="611"/>
      <c r="Z334" s="611"/>
      <c r="AA334" s="611"/>
    </row>
    <row r="335" spans="1:27" ht="12.4" customHeight="1">
      <c r="A335" s="611"/>
      <c r="B335" s="640"/>
      <c r="C335" s="507" t="s">
        <v>124</v>
      </c>
      <c r="D335" s="507" t="s">
        <v>1873</v>
      </c>
      <c r="E335" s="637" t="s">
        <v>125</v>
      </c>
      <c r="F335" s="637"/>
      <c r="G335" s="631" t="s">
        <v>1823</v>
      </c>
      <c r="H335" s="632" t="s">
        <v>537</v>
      </c>
      <c r="I335" s="638"/>
      <c r="J335" s="634" t="s">
        <v>441</v>
      </c>
      <c r="K335" s="635"/>
      <c r="L335" s="626"/>
      <c r="M335" s="627"/>
      <c r="N335" s="636" t="s">
        <v>1045</v>
      </c>
      <c r="O335" s="636" t="s">
        <v>3285</v>
      </c>
      <c r="P335" s="507" t="s">
        <v>1260</v>
      </c>
      <c r="Q335" s="631"/>
      <c r="S335" s="611"/>
      <c r="T335" s="611"/>
      <c r="U335" s="611"/>
      <c r="V335" s="611"/>
      <c r="W335" s="611"/>
      <c r="X335" s="611"/>
      <c r="Y335" s="611"/>
      <c r="Z335" s="611"/>
      <c r="AA335" s="611"/>
    </row>
    <row r="336" spans="1:27" ht="12.4" customHeight="1">
      <c r="A336" s="611"/>
      <c r="B336" s="640"/>
      <c r="C336" s="507" t="s">
        <v>126</v>
      </c>
      <c r="D336" s="507" t="s">
        <v>1873</v>
      </c>
      <c r="E336" s="637" t="s">
        <v>127</v>
      </c>
      <c r="F336" s="637"/>
      <c r="G336" s="631" t="s">
        <v>3563</v>
      </c>
      <c r="H336" s="632" t="s">
        <v>537</v>
      </c>
      <c r="I336" s="638"/>
      <c r="J336" s="634" t="s">
        <v>3012</v>
      </c>
      <c r="K336" s="635"/>
      <c r="L336" s="626"/>
      <c r="M336" s="627"/>
      <c r="N336" s="636" t="s">
        <v>211</v>
      </c>
      <c r="O336" s="636" t="s">
        <v>2938</v>
      </c>
      <c r="P336" s="507" t="s">
        <v>1261</v>
      </c>
      <c r="Q336" s="631"/>
      <c r="S336" s="611"/>
      <c r="T336" s="611"/>
      <c r="U336" s="611"/>
      <c r="V336" s="611"/>
      <c r="W336" s="611"/>
      <c r="X336" s="611"/>
      <c r="Y336" s="611"/>
      <c r="Z336" s="611"/>
      <c r="AA336" s="611"/>
    </row>
    <row r="337" spans="1:27" ht="12.4" customHeight="1">
      <c r="A337" s="611"/>
      <c r="B337" s="640"/>
      <c r="C337" s="507" t="s">
        <v>128</v>
      </c>
      <c r="D337" s="507" t="s">
        <v>2013</v>
      </c>
      <c r="E337" s="637" t="s">
        <v>129</v>
      </c>
      <c r="F337" s="637"/>
      <c r="G337" s="631" t="s">
        <v>3564</v>
      </c>
      <c r="H337" s="632" t="s">
        <v>537</v>
      </c>
      <c r="I337" s="633"/>
      <c r="J337" s="634" t="s">
        <v>3014</v>
      </c>
      <c r="K337" s="635"/>
      <c r="L337" s="626"/>
      <c r="M337" s="627"/>
      <c r="N337" s="636" t="s">
        <v>254</v>
      </c>
      <c r="O337" s="636" t="s">
        <v>965</v>
      </c>
      <c r="P337" s="507" t="s">
        <v>1262</v>
      </c>
      <c r="Q337" s="631"/>
      <c r="S337" s="611"/>
      <c r="T337" s="611"/>
      <c r="U337" s="611"/>
      <c r="V337" s="611"/>
      <c r="W337" s="611"/>
      <c r="X337" s="611"/>
      <c r="Y337" s="611"/>
      <c r="Z337" s="611"/>
      <c r="AA337" s="611"/>
    </row>
    <row r="338" spans="1:27" ht="12.4" customHeight="1">
      <c r="A338" s="611"/>
      <c r="B338" s="640"/>
      <c r="C338" s="507" t="s">
        <v>3026</v>
      </c>
      <c r="D338" s="507" t="s">
        <v>2013</v>
      </c>
      <c r="E338" s="630" t="s">
        <v>432</v>
      </c>
      <c r="F338" s="630"/>
      <c r="G338" s="631" t="s">
        <v>3565</v>
      </c>
      <c r="H338" s="632" t="s">
        <v>538</v>
      </c>
      <c r="I338" s="638"/>
      <c r="J338" s="634" t="s">
        <v>3258</v>
      </c>
      <c r="K338" s="635"/>
      <c r="L338" s="626"/>
      <c r="M338" s="627"/>
      <c r="N338" s="507" t="s">
        <v>3872</v>
      </c>
      <c r="O338" s="507" t="s">
        <v>3089</v>
      </c>
      <c r="P338" s="1580" t="s">
        <v>3242</v>
      </c>
      <c r="Q338" s="631"/>
      <c r="S338" s="611"/>
      <c r="T338" s="611"/>
      <c r="U338" s="611"/>
      <c r="V338" s="611"/>
      <c r="W338" s="611"/>
      <c r="X338" s="611"/>
      <c r="Y338" s="611"/>
      <c r="Z338" s="611"/>
      <c r="AA338" s="611"/>
    </row>
    <row r="339" spans="1:27" ht="12.4" customHeight="1">
      <c r="A339" s="611"/>
      <c r="B339" s="640"/>
      <c r="C339" s="507" t="s">
        <v>3027</v>
      </c>
      <c r="D339" s="507" t="s">
        <v>1873</v>
      </c>
      <c r="E339" s="637" t="s">
        <v>3631</v>
      </c>
      <c r="F339" s="637"/>
      <c r="G339" s="631" t="s">
        <v>3566</v>
      </c>
      <c r="H339" s="632" t="s">
        <v>537</v>
      </c>
      <c r="I339" s="638"/>
      <c r="J339" s="634" t="s">
        <v>209</v>
      </c>
      <c r="K339" s="635"/>
      <c r="L339" s="626"/>
      <c r="M339" s="627"/>
      <c r="N339" s="636" t="s">
        <v>1374</v>
      </c>
      <c r="O339" s="636" t="s">
        <v>120</v>
      </c>
      <c r="P339" s="507" t="s">
        <v>1263</v>
      </c>
      <c r="Q339" s="631"/>
      <c r="S339" s="611"/>
      <c r="T339" s="611"/>
      <c r="U339" s="611"/>
      <c r="V339" s="611"/>
      <c r="W339" s="611"/>
      <c r="X339" s="611"/>
      <c r="Y339" s="611"/>
      <c r="Z339" s="611"/>
      <c r="AA339" s="611"/>
    </row>
    <row r="340" spans="1:27" ht="12.4" customHeight="1">
      <c r="A340" s="611"/>
      <c r="B340" s="640"/>
      <c r="C340" s="507" t="s">
        <v>3632</v>
      </c>
      <c r="D340" s="507" t="s">
        <v>2037</v>
      </c>
      <c r="E340" s="637" t="s">
        <v>3633</v>
      </c>
      <c r="F340" s="637"/>
      <c r="G340" s="631" t="s">
        <v>535</v>
      </c>
      <c r="H340" s="632" t="s">
        <v>537</v>
      </c>
      <c r="I340" s="638"/>
      <c r="J340" s="634" t="s">
        <v>210</v>
      </c>
      <c r="K340" s="635"/>
      <c r="L340" s="626"/>
      <c r="M340" s="627"/>
      <c r="N340" s="636" t="s">
        <v>1376</v>
      </c>
      <c r="O340" s="636" t="s">
        <v>137</v>
      </c>
      <c r="P340" s="507" t="s">
        <v>1264</v>
      </c>
      <c r="Q340" s="631"/>
      <c r="R340" s="434"/>
      <c r="S340" s="507"/>
      <c r="T340" s="611"/>
      <c r="U340" s="611"/>
      <c r="V340" s="611"/>
      <c r="W340" s="611"/>
      <c r="X340" s="611"/>
      <c r="Y340" s="611"/>
      <c r="Z340" s="611"/>
      <c r="AA340" s="611"/>
    </row>
    <row r="341" spans="1:27" ht="12.4" customHeight="1">
      <c r="A341" s="611"/>
      <c r="B341" s="640"/>
      <c r="C341" s="507" t="s">
        <v>3634</v>
      </c>
      <c r="D341" s="507" t="s">
        <v>2037</v>
      </c>
      <c r="E341" s="637" t="s">
        <v>3635</v>
      </c>
      <c r="F341" s="637"/>
      <c r="G341" s="631" t="s">
        <v>536</v>
      </c>
      <c r="H341" s="632" t="s">
        <v>537</v>
      </c>
      <c r="I341" s="638"/>
      <c r="J341" s="634" t="s">
        <v>2336</v>
      </c>
      <c r="K341" s="635"/>
      <c r="L341" s="626"/>
      <c r="M341" s="627"/>
      <c r="N341" s="636" t="s">
        <v>1378</v>
      </c>
      <c r="O341" s="636" t="s">
        <v>422</v>
      </c>
      <c r="P341" s="507" t="s">
        <v>1265</v>
      </c>
      <c r="Q341" s="631"/>
      <c r="R341" s="434"/>
      <c r="S341" s="507"/>
      <c r="T341" s="611"/>
      <c r="U341" s="611"/>
      <c r="V341" s="611"/>
      <c r="W341" s="611"/>
      <c r="X341" s="611"/>
      <c r="Y341" s="611"/>
      <c r="Z341" s="611"/>
      <c r="AA341" s="611"/>
    </row>
    <row r="342" spans="1:27" ht="12.4" customHeight="1">
      <c r="A342" s="611"/>
      <c r="B342" s="612"/>
      <c r="C342" s="507" t="s">
        <v>3636</v>
      </c>
      <c r="D342" s="507" t="s">
        <v>1873</v>
      </c>
      <c r="E342" s="637" t="s">
        <v>2812</v>
      </c>
      <c r="F342" s="637"/>
      <c r="G342" s="631" t="s">
        <v>1805</v>
      </c>
      <c r="H342" s="632" t="s">
        <v>538</v>
      </c>
      <c r="I342" s="611"/>
      <c r="J342" s="634" t="s">
        <v>1373</v>
      </c>
      <c r="K342" s="635"/>
      <c r="L342" s="626"/>
      <c r="M342" s="627"/>
      <c r="N342" s="636" t="s">
        <v>3670</v>
      </c>
      <c r="O342" s="636" t="s">
        <v>2179</v>
      </c>
      <c r="P342" s="507" t="s">
        <v>1266</v>
      </c>
      <c r="Q342" s="631"/>
      <c r="R342" s="434"/>
      <c r="S342" s="507"/>
      <c r="T342" s="611"/>
      <c r="U342" s="611"/>
      <c r="V342" s="611"/>
      <c r="W342" s="611"/>
      <c r="X342" s="611"/>
      <c r="Y342" s="611"/>
      <c r="Z342" s="611"/>
      <c r="AA342" s="611"/>
    </row>
    <row r="343" spans="1:27" ht="12.4" customHeight="1">
      <c r="A343" s="611"/>
      <c r="B343" s="612"/>
      <c r="C343" s="611"/>
      <c r="D343" s="611"/>
      <c r="E343" s="611"/>
      <c r="F343" s="611"/>
      <c r="G343" s="611"/>
      <c r="H343" s="611"/>
      <c r="I343" s="611"/>
      <c r="J343" s="634" t="s">
        <v>1375</v>
      </c>
      <c r="K343" s="635"/>
      <c r="L343" s="626"/>
      <c r="M343" s="627"/>
      <c r="N343" s="636" t="s">
        <v>3672</v>
      </c>
      <c r="O343" s="636" t="s">
        <v>1737</v>
      </c>
      <c r="P343" s="507" t="s">
        <v>1267</v>
      </c>
      <c r="Q343" s="611"/>
      <c r="R343" s="434"/>
      <c r="S343" s="507"/>
      <c r="T343" s="611"/>
      <c r="U343" s="611"/>
      <c r="V343" s="611"/>
      <c r="W343" s="611"/>
      <c r="X343" s="611"/>
      <c r="Y343" s="611"/>
      <c r="Z343" s="611"/>
      <c r="AA343" s="611"/>
    </row>
    <row r="344" spans="1:27" ht="12.4" customHeight="1">
      <c r="A344" s="611"/>
      <c r="B344" s="612"/>
      <c r="C344" s="611"/>
      <c r="D344" s="611"/>
      <c r="E344" s="611"/>
      <c r="F344" s="611"/>
      <c r="G344" s="611"/>
      <c r="H344" s="611"/>
      <c r="I344" s="611"/>
      <c r="J344" s="634" t="s">
        <v>1377</v>
      </c>
      <c r="K344" s="635"/>
      <c r="L344" s="626"/>
      <c r="M344" s="627"/>
      <c r="N344" s="507" t="s">
        <v>3873</v>
      </c>
      <c r="O344" s="507" t="s">
        <v>1011</v>
      </c>
      <c r="P344" s="1580" t="s">
        <v>3242</v>
      </c>
      <c r="Q344" s="611"/>
      <c r="R344" s="434"/>
      <c r="S344" s="507"/>
      <c r="T344" s="611"/>
      <c r="U344" s="611"/>
      <c r="V344" s="611"/>
      <c r="W344" s="611"/>
      <c r="X344" s="611"/>
      <c r="Y344" s="611"/>
      <c r="Z344" s="611"/>
      <c r="AA344" s="611"/>
    </row>
    <row r="345" spans="1:27" ht="12.4" customHeight="1">
      <c r="A345" s="611"/>
      <c r="B345" s="612"/>
      <c r="C345" s="611"/>
      <c r="D345" s="611"/>
      <c r="E345" s="611"/>
      <c r="F345" s="611"/>
      <c r="G345" s="611"/>
      <c r="H345" s="611"/>
      <c r="I345" s="611"/>
      <c r="J345" s="634" t="s">
        <v>3668</v>
      </c>
      <c r="K345" s="635"/>
      <c r="L345" s="626"/>
      <c r="M345" s="627"/>
      <c r="N345" s="636" t="s">
        <v>485</v>
      </c>
      <c r="O345" s="636" t="s">
        <v>3764</v>
      </c>
      <c r="P345" s="507" t="s">
        <v>1268</v>
      </c>
      <c r="Q345" s="611"/>
      <c r="R345" s="434"/>
      <c r="S345" s="507"/>
      <c r="T345" s="611"/>
      <c r="U345" s="611"/>
      <c r="V345" s="611"/>
      <c r="W345" s="611"/>
      <c r="X345" s="611"/>
      <c r="Y345" s="611"/>
      <c r="Z345" s="611"/>
      <c r="AA345" s="611"/>
    </row>
    <row r="346" spans="1:27" ht="12.4" customHeight="1">
      <c r="A346" s="611"/>
      <c r="B346" s="612"/>
      <c r="C346" s="611"/>
      <c r="D346" s="611"/>
      <c r="E346" s="611"/>
      <c r="F346" s="611"/>
      <c r="G346" s="611"/>
      <c r="H346" s="611"/>
      <c r="I346" s="611"/>
      <c r="J346" s="634" t="s">
        <v>3669</v>
      </c>
      <c r="K346" s="635"/>
      <c r="L346" s="626"/>
      <c r="M346" s="627"/>
      <c r="N346" s="636" t="s">
        <v>487</v>
      </c>
      <c r="O346" s="636" t="s">
        <v>3278</v>
      </c>
      <c r="P346" s="507" t="s">
        <v>1269</v>
      </c>
      <c r="Q346" s="611"/>
      <c r="R346" s="434"/>
      <c r="S346" s="507"/>
      <c r="T346" s="611"/>
      <c r="U346" s="611"/>
      <c r="V346" s="611"/>
      <c r="W346" s="611"/>
      <c r="X346" s="611"/>
      <c r="Y346" s="611"/>
      <c r="Z346" s="611"/>
      <c r="AA346" s="611"/>
    </row>
    <row r="347" spans="1:27" ht="12.4" customHeight="1">
      <c r="A347" s="611"/>
      <c r="B347" s="612"/>
      <c r="C347" s="611"/>
      <c r="D347" s="611"/>
      <c r="E347" s="611"/>
      <c r="F347" s="611"/>
      <c r="G347" s="611"/>
      <c r="H347" s="611"/>
      <c r="I347" s="611"/>
      <c r="J347" s="634" t="s">
        <v>3671</v>
      </c>
      <c r="K347" s="635"/>
      <c r="L347" s="626"/>
      <c r="M347" s="627"/>
      <c r="N347" s="636" t="s">
        <v>57</v>
      </c>
      <c r="O347" s="636" t="s">
        <v>1550</v>
      </c>
      <c r="P347" s="507" t="s">
        <v>1270</v>
      </c>
      <c r="Q347" s="611"/>
      <c r="S347" s="611"/>
      <c r="T347" s="611"/>
      <c r="U347" s="611"/>
      <c r="V347" s="611"/>
      <c r="W347" s="611"/>
      <c r="X347" s="611"/>
      <c r="Y347" s="611"/>
      <c r="Z347" s="611"/>
      <c r="AA347" s="611"/>
    </row>
    <row r="348" spans="1:27" ht="12.4" customHeight="1">
      <c r="A348" s="611"/>
      <c r="B348" s="612"/>
      <c r="C348" s="611"/>
      <c r="D348" s="611"/>
      <c r="E348" s="611"/>
      <c r="F348" s="611"/>
      <c r="G348" s="611"/>
      <c r="H348" s="611"/>
      <c r="I348" s="611"/>
      <c r="J348" s="634" t="s">
        <v>3673</v>
      </c>
      <c r="K348" s="635"/>
      <c r="L348" s="626"/>
      <c r="M348" s="627"/>
      <c r="N348" s="636" t="s">
        <v>59</v>
      </c>
      <c r="O348" s="636" t="s">
        <v>965</v>
      </c>
      <c r="P348" s="507" t="s">
        <v>1271</v>
      </c>
      <c r="Q348" s="611"/>
      <c r="S348" s="611"/>
      <c r="T348" s="611"/>
      <c r="U348" s="611"/>
      <c r="V348" s="611"/>
      <c r="W348" s="611"/>
      <c r="X348" s="611"/>
      <c r="Y348" s="611"/>
      <c r="Z348" s="611"/>
      <c r="AA348" s="611"/>
    </row>
    <row r="349" spans="1:27" ht="12.4" customHeight="1">
      <c r="A349" s="611"/>
      <c r="B349" s="612"/>
      <c r="C349" s="611"/>
      <c r="D349" s="611"/>
      <c r="E349" s="611"/>
      <c r="F349" s="611"/>
      <c r="G349" s="611"/>
      <c r="H349" s="611"/>
      <c r="I349" s="611"/>
      <c r="J349" s="634" t="s">
        <v>3674</v>
      </c>
      <c r="K349" s="635"/>
      <c r="L349" s="626"/>
      <c r="M349" s="627"/>
      <c r="N349" s="636" t="s">
        <v>1465</v>
      </c>
      <c r="O349" s="636" t="s">
        <v>3762</v>
      </c>
      <c r="P349" s="507" t="s">
        <v>1272</v>
      </c>
      <c r="Q349" s="611"/>
      <c r="S349" s="611"/>
      <c r="T349" s="611"/>
      <c r="U349" s="611"/>
      <c r="V349" s="611"/>
      <c r="W349" s="611"/>
      <c r="X349" s="611"/>
      <c r="Y349" s="611"/>
      <c r="Z349" s="611"/>
      <c r="AA349" s="611"/>
    </row>
    <row r="350" spans="1:27" ht="12.4" customHeight="1">
      <c r="A350" s="611"/>
      <c r="B350" s="612"/>
      <c r="C350" s="611"/>
      <c r="D350" s="611"/>
      <c r="E350" s="611"/>
      <c r="F350" s="611"/>
      <c r="G350" s="611"/>
      <c r="H350" s="611"/>
      <c r="I350" s="611"/>
      <c r="J350" s="634" t="s">
        <v>486</v>
      </c>
      <c r="K350" s="635"/>
      <c r="L350" s="626"/>
      <c r="M350" s="627"/>
      <c r="N350" s="636" t="s">
        <v>2995</v>
      </c>
      <c r="O350" s="636" t="s">
        <v>1465</v>
      </c>
      <c r="P350" s="507" t="s">
        <v>1273</v>
      </c>
      <c r="Q350" s="611"/>
      <c r="S350" s="611"/>
      <c r="T350" s="611"/>
      <c r="U350" s="611"/>
      <c r="V350" s="611"/>
      <c r="W350" s="611"/>
      <c r="X350" s="611"/>
      <c r="Y350" s="611"/>
      <c r="Z350" s="611"/>
      <c r="AA350" s="611"/>
    </row>
    <row r="351" spans="1:27" ht="12.4" customHeight="1">
      <c r="A351" s="611"/>
      <c r="B351" s="612"/>
      <c r="C351" s="611"/>
      <c r="D351" s="611"/>
      <c r="E351" s="611"/>
      <c r="F351" s="611"/>
      <c r="G351" s="611"/>
      <c r="H351" s="611"/>
      <c r="I351" s="611"/>
      <c r="J351" s="634" t="s">
        <v>56</v>
      </c>
      <c r="K351" s="635"/>
      <c r="L351" s="626"/>
      <c r="M351" s="627"/>
      <c r="N351" s="507" t="s">
        <v>3874</v>
      </c>
      <c r="O351" s="507" t="s">
        <v>965</v>
      </c>
      <c r="P351" s="1580" t="s">
        <v>3242</v>
      </c>
      <c r="Q351" s="611"/>
      <c r="S351" s="611"/>
      <c r="T351" s="611"/>
      <c r="U351" s="611"/>
      <c r="V351" s="611"/>
      <c r="W351" s="611"/>
      <c r="X351" s="611"/>
      <c r="Y351" s="611"/>
      <c r="Z351" s="611"/>
      <c r="AA351" s="611"/>
    </row>
    <row r="352" spans="1:27" ht="12.4" customHeight="1">
      <c r="A352" s="611"/>
      <c r="B352" s="612"/>
      <c r="C352" s="611"/>
      <c r="D352" s="611"/>
      <c r="E352" s="611"/>
      <c r="F352" s="611"/>
      <c r="G352" s="611"/>
      <c r="H352" s="611"/>
      <c r="I352" s="611"/>
      <c r="J352" s="634" t="s">
        <v>58</v>
      </c>
      <c r="K352" s="635"/>
      <c r="L352" s="626"/>
      <c r="M352" s="627"/>
      <c r="N352" s="636" t="s">
        <v>3000</v>
      </c>
      <c r="O352" s="636" t="s">
        <v>2179</v>
      </c>
      <c r="P352" s="507" t="s">
        <v>1274</v>
      </c>
      <c r="Q352" s="611"/>
      <c r="S352" s="611"/>
      <c r="T352" s="611"/>
      <c r="U352" s="611"/>
      <c r="V352" s="611"/>
      <c r="W352" s="611"/>
      <c r="X352" s="611"/>
      <c r="Y352" s="611"/>
      <c r="Z352" s="611"/>
      <c r="AA352" s="611"/>
    </row>
    <row r="353" spans="1:27" ht="12.4" customHeight="1">
      <c r="A353" s="611"/>
      <c r="B353" s="612"/>
      <c r="C353" s="611"/>
      <c r="D353" s="611"/>
      <c r="E353" s="611"/>
      <c r="F353" s="611"/>
      <c r="G353" s="611"/>
      <c r="H353" s="611"/>
      <c r="I353" s="611"/>
      <c r="J353" s="634" t="s">
        <v>2993</v>
      </c>
      <c r="K353" s="635"/>
      <c r="L353" s="626"/>
      <c r="M353" s="627"/>
      <c r="N353" s="636" t="s">
        <v>3002</v>
      </c>
      <c r="O353" s="636" t="s">
        <v>2179</v>
      </c>
      <c r="P353" s="507" t="s">
        <v>1275</v>
      </c>
      <c r="Q353" s="611"/>
      <c r="S353" s="611"/>
      <c r="T353" s="611"/>
      <c r="U353" s="611"/>
      <c r="V353" s="611"/>
      <c r="W353" s="611"/>
      <c r="X353" s="611"/>
      <c r="Y353" s="611"/>
      <c r="Z353" s="611"/>
      <c r="AA353" s="611"/>
    </row>
    <row r="354" spans="1:27" ht="12.4" customHeight="1">
      <c r="A354" s="611"/>
      <c r="B354" s="612"/>
      <c r="C354" s="611"/>
      <c r="D354" s="611"/>
      <c r="E354" s="611"/>
      <c r="F354" s="611"/>
      <c r="G354" s="611"/>
      <c r="H354" s="611"/>
      <c r="I354" s="611"/>
      <c r="J354" s="634" t="s">
        <v>2994</v>
      </c>
      <c r="K354" s="635"/>
      <c r="L354" s="626"/>
      <c r="M354" s="627"/>
      <c r="N354" s="636" t="s">
        <v>1075</v>
      </c>
      <c r="O354" s="636" t="s">
        <v>136</v>
      </c>
      <c r="P354" s="507" t="s">
        <v>1276</v>
      </c>
      <c r="Q354" s="611"/>
      <c r="S354" s="611"/>
      <c r="T354" s="611"/>
      <c r="U354" s="611"/>
      <c r="V354" s="611"/>
      <c r="W354" s="611"/>
      <c r="X354" s="611"/>
      <c r="Y354" s="611"/>
      <c r="Z354" s="611"/>
      <c r="AA354" s="611"/>
    </row>
    <row r="355" spans="1:27" ht="12.4" customHeight="1">
      <c r="A355" s="611"/>
      <c r="B355" s="612"/>
      <c r="C355" s="611"/>
      <c r="D355" s="611"/>
      <c r="E355" s="611"/>
      <c r="F355" s="611"/>
      <c r="G355" s="611"/>
      <c r="H355" s="611"/>
      <c r="I355" s="611"/>
      <c r="J355" s="634" t="s">
        <v>2996</v>
      </c>
      <c r="K355" s="635"/>
      <c r="L355" s="626"/>
      <c r="M355" s="627"/>
      <c r="N355" s="641" t="s">
        <v>1046</v>
      </c>
      <c r="O355" s="636" t="s">
        <v>965</v>
      </c>
      <c r="P355" s="507" t="s">
        <v>1277</v>
      </c>
      <c r="Q355" s="611"/>
      <c r="S355" s="611"/>
      <c r="T355" s="611"/>
      <c r="U355" s="611"/>
      <c r="V355" s="611"/>
      <c r="W355" s="611"/>
      <c r="X355" s="611"/>
      <c r="Y355" s="611"/>
      <c r="Z355" s="611"/>
      <c r="AA355" s="611"/>
    </row>
    <row r="356" spans="1:27" ht="12.4" customHeight="1">
      <c r="A356" s="611"/>
      <c r="B356" s="612"/>
      <c r="C356" s="611"/>
      <c r="D356" s="611"/>
      <c r="E356" s="611"/>
      <c r="F356" s="611"/>
      <c r="G356" s="611"/>
      <c r="H356" s="611"/>
      <c r="I356" s="611"/>
      <c r="J356" s="634" t="s">
        <v>2997</v>
      </c>
      <c r="K356" s="635"/>
      <c r="L356" s="626"/>
      <c r="M356" s="627"/>
      <c r="N356" s="636" t="s">
        <v>2998</v>
      </c>
      <c r="O356" s="636" t="s">
        <v>3759</v>
      </c>
      <c r="P356" s="507" t="s">
        <v>1278</v>
      </c>
      <c r="Q356" s="611"/>
      <c r="S356" s="611"/>
      <c r="T356" s="611"/>
      <c r="U356" s="611"/>
      <c r="V356" s="611"/>
      <c r="W356" s="611"/>
      <c r="X356" s="611"/>
      <c r="Y356" s="611"/>
      <c r="Z356" s="611"/>
      <c r="AA356" s="611"/>
    </row>
    <row r="357" spans="1:27" ht="12.4" customHeight="1">
      <c r="A357" s="611"/>
      <c r="B357" s="612"/>
      <c r="C357" s="611"/>
      <c r="D357" s="611"/>
      <c r="E357" s="611"/>
      <c r="F357" s="611"/>
      <c r="G357" s="611"/>
      <c r="H357" s="611"/>
      <c r="I357" s="611"/>
      <c r="J357" s="634" t="s">
        <v>2999</v>
      </c>
      <c r="K357" s="635"/>
      <c r="L357" s="626"/>
      <c r="M357" s="627"/>
      <c r="N357" s="636" t="s">
        <v>1782</v>
      </c>
      <c r="O357" s="636" t="s">
        <v>2179</v>
      </c>
      <c r="P357" s="507" t="s">
        <v>1279</v>
      </c>
      <c r="Q357" s="611"/>
      <c r="S357" s="611"/>
      <c r="T357" s="611"/>
      <c r="U357" s="611"/>
      <c r="V357" s="611"/>
      <c r="W357" s="611"/>
      <c r="X357" s="611"/>
      <c r="Y357" s="611"/>
      <c r="Z357" s="611"/>
      <c r="AA357" s="611"/>
    </row>
    <row r="358" spans="1:27" ht="12.4" customHeight="1">
      <c r="A358" s="611"/>
      <c r="B358" s="612"/>
      <c r="C358" s="611"/>
      <c r="D358" s="611"/>
      <c r="E358" s="611"/>
      <c r="F358" s="611"/>
      <c r="G358" s="611"/>
      <c r="H358" s="611"/>
      <c r="I358" s="611"/>
      <c r="J358" s="634" t="s">
        <v>3001</v>
      </c>
      <c r="K358" s="635"/>
      <c r="L358" s="626"/>
      <c r="M358" s="627"/>
      <c r="N358" s="636" t="s">
        <v>1784</v>
      </c>
      <c r="O358" s="636" t="s">
        <v>1007</v>
      </c>
      <c r="P358" s="627" t="s">
        <v>1280</v>
      </c>
      <c r="Q358" s="611"/>
      <c r="S358" s="611"/>
      <c r="T358" s="611"/>
      <c r="U358" s="611"/>
      <c r="V358" s="611"/>
      <c r="W358" s="611"/>
      <c r="X358" s="611"/>
      <c r="Y358" s="611"/>
      <c r="Z358" s="611"/>
      <c r="AA358" s="611"/>
    </row>
    <row r="359" spans="1:27" ht="12.4" customHeight="1">
      <c r="A359" s="611"/>
      <c r="B359" s="612"/>
      <c r="C359" s="611"/>
      <c r="D359" s="611"/>
      <c r="E359" s="611"/>
      <c r="F359" s="611"/>
      <c r="G359" s="611"/>
      <c r="H359" s="611"/>
      <c r="I359" s="611"/>
      <c r="J359" s="634" t="s">
        <v>1074</v>
      </c>
      <c r="K359" s="635"/>
      <c r="L359" s="626"/>
      <c r="M359" s="627"/>
      <c r="N359" s="507" t="s">
        <v>3875</v>
      </c>
      <c r="O359" s="507" t="s">
        <v>3280</v>
      </c>
      <c r="P359" s="1580" t="s">
        <v>3242</v>
      </c>
      <c r="Q359" s="611"/>
      <c r="S359" s="611"/>
      <c r="T359" s="611"/>
      <c r="U359" s="611"/>
      <c r="V359" s="611"/>
      <c r="W359" s="611"/>
      <c r="X359" s="611"/>
      <c r="Y359" s="611"/>
      <c r="Z359" s="611"/>
      <c r="AA359" s="611"/>
    </row>
    <row r="360" spans="1:27" ht="12.4" customHeight="1">
      <c r="A360" s="611"/>
      <c r="B360" s="612"/>
      <c r="C360" s="611"/>
      <c r="D360" s="611"/>
      <c r="E360" s="611"/>
      <c r="F360" s="611"/>
      <c r="G360" s="611"/>
      <c r="H360" s="611"/>
      <c r="I360" s="611"/>
      <c r="J360" s="634" t="s">
        <v>1781</v>
      </c>
      <c r="K360" s="635"/>
      <c r="L360" s="626"/>
      <c r="M360" s="627"/>
      <c r="N360" s="507" t="s">
        <v>3876</v>
      </c>
      <c r="O360" s="507" t="s">
        <v>3819</v>
      </c>
      <c r="P360" s="1580" t="s">
        <v>3242</v>
      </c>
      <c r="Q360" s="611"/>
      <c r="S360" s="611"/>
      <c r="T360" s="611"/>
      <c r="U360" s="611"/>
      <c r="V360" s="611"/>
      <c r="W360" s="611"/>
      <c r="X360" s="611"/>
      <c r="Y360" s="611"/>
      <c r="Z360" s="611"/>
      <c r="AA360" s="611"/>
    </row>
    <row r="361" spans="1:27" ht="12.4" customHeight="1">
      <c r="A361" s="611"/>
      <c r="B361" s="612"/>
      <c r="C361" s="611"/>
      <c r="D361" s="611"/>
      <c r="E361" s="611"/>
      <c r="F361" s="611"/>
      <c r="G361" s="611"/>
      <c r="H361" s="611"/>
      <c r="I361" s="611"/>
      <c r="J361" s="634" t="s">
        <v>1783</v>
      </c>
      <c r="K361" s="635"/>
      <c r="L361" s="626"/>
      <c r="M361" s="627"/>
      <c r="N361" s="636" t="s">
        <v>1786</v>
      </c>
      <c r="O361" s="636" t="s">
        <v>1868</v>
      </c>
      <c r="P361" s="627" t="s">
        <v>1281</v>
      </c>
      <c r="Q361" s="611"/>
      <c r="S361" s="611"/>
      <c r="T361" s="611"/>
      <c r="U361" s="611"/>
      <c r="V361" s="611"/>
      <c r="W361" s="611"/>
      <c r="X361" s="611"/>
      <c r="Y361" s="611"/>
      <c r="Z361" s="611"/>
      <c r="AA361" s="611"/>
    </row>
    <row r="362" spans="1:27" ht="12.4" customHeight="1">
      <c r="A362" s="611"/>
      <c r="B362" s="612"/>
      <c r="C362" s="611"/>
      <c r="D362" s="611"/>
      <c r="E362" s="611"/>
      <c r="F362" s="611"/>
      <c r="G362" s="611"/>
      <c r="H362" s="611"/>
      <c r="I362" s="611"/>
      <c r="J362" s="634" t="s">
        <v>1785</v>
      </c>
      <c r="K362" s="635"/>
      <c r="L362" s="626"/>
      <c r="M362" s="627"/>
      <c r="N362" s="636" t="s">
        <v>3800</v>
      </c>
      <c r="O362" s="636" t="s">
        <v>257</v>
      </c>
      <c r="P362" s="627" t="s">
        <v>1282</v>
      </c>
      <c r="Q362" s="611"/>
      <c r="S362" s="611"/>
      <c r="T362" s="611"/>
      <c r="U362" s="611"/>
      <c r="V362" s="611"/>
      <c r="W362" s="611"/>
      <c r="X362" s="611"/>
      <c r="Y362" s="611"/>
      <c r="Z362" s="611"/>
      <c r="AA362" s="611"/>
    </row>
    <row r="363" spans="1:27" ht="12.4" customHeight="1">
      <c r="A363" s="611"/>
      <c r="B363" s="612"/>
      <c r="C363" s="611"/>
      <c r="D363" s="611"/>
      <c r="E363" s="611"/>
      <c r="F363" s="611"/>
      <c r="G363" s="611"/>
      <c r="H363" s="611"/>
      <c r="I363" s="611"/>
      <c r="J363" s="634" t="s">
        <v>3799</v>
      </c>
      <c r="K363" s="635"/>
      <c r="L363" s="626"/>
      <c r="M363" s="627"/>
      <c r="N363" s="636" t="s">
        <v>670</v>
      </c>
      <c r="O363" s="636" t="s">
        <v>1733</v>
      </c>
      <c r="P363" s="627" t="s">
        <v>1283</v>
      </c>
      <c r="Q363" s="611"/>
      <c r="S363" s="611"/>
      <c r="T363" s="611"/>
      <c r="U363" s="611"/>
      <c r="V363" s="611"/>
      <c r="W363" s="611"/>
      <c r="X363" s="611"/>
      <c r="Y363" s="611"/>
      <c r="Z363" s="611"/>
      <c r="AA363" s="611"/>
    </row>
    <row r="364" spans="1:27" ht="12.4" customHeight="1">
      <c r="A364" s="611"/>
      <c r="B364" s="612"/>
      <c r="C364" s="611"/>
      <c r="D364" s="611"/>
      <c r="E364" s="611"/>
      <c r="F364" s="611"/>
      <c r="G364" s="611"/>
      <c r="H364" s="611"/>
      <c r="I364" s="611"/>
      <c r="J364" s="634" t="s">
        <v>3801</v>
      </c>
      <c r="K364" s="635"/>
      <c r="L364" s="626"/>
      <c r="M364" s="627"/>
      <c r="N364" s="636" t="s">
        <v>246</v>
      </c>
      <c r="O364" s="636" t="s">
        <v>1009</v>
      </c>
      <c r="P364" s="627" t="s">
        <v>1284</v>
      </c>
      <c r="Q364" s="611"/>
      <c r="S364" s="611"/>
      <c r="T364" s="611"/>
      <c r="U364" s="611"/>
      <c r="V364" s="611"/>
      <c r="W364" s="611"/>
      <c r="X364" s="611"/>
      <c r="Y364" s="611"/>
      <c r="Z364" s="611"/>
      <c r="AA364" s="611"/>
    </row>
    <row r="365" spans="1:27" ht="12.4" customHeight="1">
      <c r="A365" s="611"/>
      <c r="B365" s="612"/>
      <c r="C365" s="611"/>
      <c r="D365" s="611"/>
      <c r="E365" s="611"/>
      <c r="F365" s="611"/>
      <c r="G365" s="611"/>
      <c r="H365" s="611"/>
      <c r="I365" s="611"/>
      <c r="J365" s="634" t="s">
        <v>245</v>
      </c>
      <c r="K365" s="635"/>
      <c r="L365" s="626"/>
      <c r="M365" s="627"/>
      <c r="N365" s="636" t="s">
        <v>395</v>
      </c>
      <c r="O365" s="636" t="s">
        <v>2034</v>
      </c>
      <c r="P365" s="627" t="s">
        <v>1285</v>
      </c>
      <c r="Q365" s="611"/>
      <c r="S365" s="611"/>
      <c r="T365" s="611"/>
      <c r="U365" s="611"/>
      <c r="V365" s="611"/>
      <c r="W365" s="611"/>
      <c r="X365" s="611"/>
      <c r="Y365" s="611"/>
      <c r="Z365" s="611"/>
      <c r="AA365" s="611"/>
    </row>
    <row r="366" spans="1:27" ht="12.4" customHeight="1">
      <c r="A366" s="611"/>
      <c r="B366" s="612"/>
      <c r="C366" s="611"/>
      <c r="D366" s="611"/>
      <c r="E366" s="611"/>
      <c r="F366" s="611"/>
      <c r="G366" s="611"/>
      <c r="H366" s="611"/>
      <c r="I366" s="611"/>
      <c r="J366" s="634" t="s">
        <v>247</v>
      </c>
      <c r="K366" s="635"/>
      <c r="L366" s="626"/>
      <c r="M366" s="627"/>
      <c r="N366" s="636" t="s">
        <v>2870</v>
      </c>
      <c r="O366" s="636" t="s">
        <v>1470</v>
      </c>
      <c r="P366" s="627" t="s">
        <v>1286</v>
      </c>
      <c r="Q366" s="611"/>
      <c r="S366" s="611"/>
      <c r="T366" s="611"/>
      <c r="U366" s="611"/>
      <c r="V366" s="611"/>
      <c r="W366" s="611"/>
      <c r="X366" s="611"/>
      <c r="Y366" s="611"/>
      <c r="Z366" s="611"/>
      <c r="AA366" s="611"/>
    </row>
    <row r="367" spans="1:27" ht="12.4" customHeight="1">
      <c r="A367" s="611"/>
      <c r="B367" s="612"/>
      <c r="C367" s="611"/>
      <c r="D367" s="611"/>
      <c r="E367" s="611"/>
      <c r="F367" s="611"/>
      <c r="G367" s="611"/>
      <c r="H367" s="611"/>
      <c r="I367" s="611"/>
      <c r="J367" s="634" t="s">
        <v>2869</v>
      </c>
      <c r="K367" s="635"/>
      <c r="L367" s="626"/>
      <c r="M367" s="627"/>
      <c r="N367" s="636" t="s">
        <v>2872</v>
      </c>
      <c r="O367" s="636" t="s">
        <v>1743</v>
      </c>
      <c r="P367" s="627" t="s">
        <v>1287</v>
      </c>
      <c r="Q367" s="611"/>
      <c r="S367" s="611"/>
      <c r="T367" s="611"/>
      <c r="U367" s="611"/>
      <c r="V367" s="611"/>
      <c r="W367" s="611"/>
      <c r="X367" s="611"/>
      <c r="Y367" s="611"/>
      <c r="Z367" s="611"/>
      <c r="AA367" s="611"/>
    </row>
    <row r="368" spans="1:27" ht="12.4" customHeight="1">
      <c r="A368" s="611"/>
      <c r="B368" s="612"/>
      <c r="C368" s="611"/>
      <c r="D368" s="611"/>
      <c r="E368" s="611"/>
      <c r="F368" s="611"/>
      <c r="G368" s="611"/>
      <c r="H368" s="611"/>
      <c r="I368" s="611"/>
      <c r="J368" s="634" t="s">
        <v>2871</v>
      </c>
      <c r="K368" s="635"/>
      <c r="L368" s="626"/>
      <c r="M368" s="627"/>
      <c r="N368" s="636" t="s">
        <v>2955</v>
      </c>
      <c r="O368" s="636" t="s">
        <v>3764</v>
      </c>
      <c r="P368" s="627" t="s">
        <v>1288</v>
      </c>
      <c r="Q368" s="611"/>
      <c r="S368" s="611"/>
      <c r="T368" s="611"/>
      <c r="U368" s="611"/>
      <c r="V368" s="611"/>
      <c r="W368" s="611"/>
      <c r="X368" s="611"/>
      <c r="Y368" s="611"/>
      <c r="Z368" s="611"/>
      <c r="AA368" s="611"/>
    </row>
    <row r="369" spans="1:27" ht="12.4" customHeight="1">
      <c r="A369" s="611"/>
      <c r="B369" s="612"/>
      <c r="C369" s="611"/>
      <c r="D369" s="611"/>
      <c r="E369" s="611"/>
      <c r="F369" s="611"/>
      <c r="G369" s="611"/>
      <c r="H369" s="611"/>
      <c r="I369" s="611"/>
      <c r="J369" s="634" t="s">
        <v>2954</v>
      </c>
      <c r="K369" s="635"/>
      <c r="L369" s="626"/>
      <c r="M369" s="627"/>
      <c r="N369" s="636" t="s">
        <v>2958</v>
      </c>
      <c r="O369" s="636" t="s">
        <v>1007</v>
      </c>
      <c r="P369" s="627" t="s">
        <v>1289</v>
      </c>
      <c r="Q369" s="611"/>
      <c r="S369" s="611"/>
      <c r="T369" s="611"/>
      <c r="U369" s="611"/>
      <c r="V369" s="611"/>
      <c r="W369" s="611"/>
      <c r="X369" s="611"/>
      <c r="Y369" s="611"/>
      <c r="Z369" s="611"/>
      <c r="AA369" s="611"/>
    </row>
    <row r="370" spans="1:27" ht="12.4" customHeight="1">
      <c r="A370" s="611"/>
      <c r="B370" s="612"/>
      <c r="C370" s="611"/>
      <c r="D370" s="611"/>
      <c r="E370" s="611"/>
      <c r="F370" s="611"/>
      <c r="G370" s="611"/>
      <c r="H370" s="611"/>
      <c r="I370" s="611"/>
      <c r="J370" s="634" t="s">
        <v>2956</v>
      </c>
      <c r="K370" s="635"/>
      <c r="L370" s="626"/>
      <c r="M370" s="627"/>
      <c r="N370" s="636" t="s">
        <v>2960</v>
      </c>
      <c r="O370" s="636" t="s">
        <v>2016</v>
      </c>
      <c r="P370" s="627" t="s">
        <v>1290</v>
      </c>
      <c r="Q370" s="611"/>
      <c r="S370" s="611"/>
      <c r="T370" s="611"/>
      <c r="U370" s="611"/>
      <c r="V370" s="611"/>
      <c r="W370" s="611"/>
      <c r="X370" s="611"/>
      <c r="Y370" s="611"/>
      <c r="Z370" s="611"/>
      <c r="AA370" s="611"/>
    </row>
    <row r="371" spans="1:27" ht="12.4" customHeight="1">
      <c r="A371" s="611"/>
      <c r="B371" s="612"/>
      <c r="C371" s="611"/>
      <c r="D371" s="611"/>
      <c r="E371" s="611"/>
      <c r="F371" s="611"/>
      <c r="G371" s="611"/>
      <c r="H371" s="611"/>
      <c r="I371" s="611"/>
      <c r="J371" s="634" t="s">
        <v>2957</v>
      </c>
      <c r="K371" s="635"/>
      <c r="L371" s="626"/>
      <c r="M371" s="627"/>
      <c r="N371" s="636" t="s">
        <v>2962</v>
      </c>
      <c r="O371" s="636" t="s">
        <v>2019</v>
      </c>
      <c r="P371" s="627" t="s">
        <v>1291</v>
      </c>
      <c r="Q371" s="611"/>
      <c r="S371" s="611"/>
      <c r="T371" s="611"/>
      <c r="U371" s="611"/>
      <c r="V371" s="611"/>
      <c r="W371" s="611"/>
      <c r="X371" s="611"/>
      <c r="Y371" s="611"/>
      <c r="Z371" s="611"/>
      <c r="AA371" s="611"/>
    </row>
    <row r="372" spans="1:27" ht="12.4" customHeight="1">
      <c r="A372" s="611"/>
      <c r="B372" s="612"/>
      <c r="C372" s="611"/>
      <c r="D372" s="611"/>
      <c r="E372" s="611"/>
      <c r="F372" s="611"/>
      <c r="G372" s="611"/>
      <c r="H372" s="611"/>
      <c r="I372" s="611"/>
      <c r="J372" s="634" t="s">
        <v>2959</v>
      </c>
      <c r="K372" s="635"/>
      <c r="L372" s="626"/>
      <c r="M372" s="627"/>
      <c r="N372" s="636" t="s">
        <v>3005</v>
      </c>
      <c r="O372" s="636" t="s">
        <v>414</v>
      </c>
      <c r="P372" s="627" t="s">
        <v>1292</v>
      </c>
      <c r="Q372" s="611"/>
      <c r="S372" s="611"/>
      <c r="T372" s="611"/>
      <c r="U372" s="611"/>
      <c r="V372" s="611"/>
      <c r="W372" s="611"/>
      <c r="X372" s="611"/>
      <c r="Y372" s="611"/>
      <c r="Z372" s="611"/>
      <c r="AA372" s="611"/>
    </row>
    <row r="373" spans="1:27" ht="12.4" customHeight="1">
      <c r="A373" s="611"/>
      <c r="B373" s="612"/>
      <c r="C373" s="611"/>
      <c r="D373" s="611"/>
      <c r="E373" s="611"/>
      <c r="F373" s="611"/>
      <c r="G373" s="611"/>
      <c r="H373" s="611"/>
      <c r="I373" s="611"/>
      <c r="J373" s="634" t="s">
        <v>2961</v>
      </c>
      <c r="K373" s="635"/>
      <c r="L373" s="626"/>
      <c r="M373" s="627"/>
      <c r="N373" s="636" t="s">
        <v>3008</v>
      </c>
      <c r="O373" s="636" t="s">
        <v>3898</v>
      </c>
      <c r="P373" s="627" t="s">
        <v>1293</v>
      </c>
      <c r="Q373" s="611"/>
      <c r="S373" s="611"/>
      <c r="T373" s="611"/>
      <c r="U373" s="611"/>
      <c r="V373" s="611"/>
      <c r="W373" s="611"/>
      <c r="X373" s="611"/>
      <c r="Y373" s="611"/>
      <c r="Z373" s="611"/>
      <c r="AA373" s="611"/>
    </row>
    <row r="374" spans="1:27" ht="12.4" customHeight="1">
      <c r="A374" s="611"/>
      <c r="B374" s="612"/>
      <c r="C374" s="611"/>
      <c r="D374" s="611"/>
      <c r="E374" s="611"/>
      <c r="F374" s="611"/>
      <c r="G374" s="611"/>
      <c r="H374" s="611"/>
      <c r="I374" s="611"/>
      <c r="J374" s="634" t="s">
        <v>3004</v>
      </c>
      <c r="K374" s="635"/>
      <c r="L374" s="626"/>
      <c r="M374" s="627"/>
      <c r="N374" s="636" t="s">
        <v>3010</v>
      </c>
      <c r="O374" s="636" t="s">
        <v>2016</v>
      </c>
      <c r="P374" s="627" t="s">
        <v>1294</v>
      </c>
      <c r="Q374" s="611"/>
      <c r="S374" s="611"/>
      <c r="T374" s="611"/>
      <c r="U374" s="611"/>
      <c r="V374" s="611"/>
      <c r="W374" s="611"/>
      <c r="X374" s="611"/>
      <c r="Y374" s="611"/>
      <c r="Z374" s="611"/>
      <c r="AA374" s="611"/>
    </row>
    <row r="375" spans="1:27" ht="12.4" customHeight="1">
      <c r="A375" s="611"/>
      <c r="B375" s="612"/>
      <c r="C375" s="611"/>
      <c r="D375" s="611"/>
      <c r="E375" s="611"/>
      <c r="F375" s="611"/>
      <c r="G375" s="611"/>
      <c r="H375" s="611"/>
      <c r="I375" s="611"/>
      <c r="J375" s="634" t="s">
        <v>3006</v>
      </c>
      <c r="K375" s="635"/>
      <c r="L375" s="626"/>
      <c r="M375" s="627"/>
      <c r="N375" s="507" t="s">
        <v>3373</v>
      </c>
      <c r="O375" s="507" t="s">
        <v>3816</v>
      </c>
      <c r="P375" s="1580" t="s">
        <v>3242</v>
      </c>
      <c r="Q375" s="611"/>
      <c r="S375" s="611"/>
      <c r="T375" s="611"/>
      <c r="U375" s="611"/>
      <c r="V375" s="611"/>
      <c r="W375" s="611"/>
      <c r="X375" s="611"/>
      <c r="Y375" s="611"/>
      <c r="Z375" s="611"/>
      <c r="AA375" s="611"/>
    </row>
    <row r="376" spans="1:27" ht="12.4" customHeight="1">
      <c r="A376" s="611"/>
      <c r="B376" s="612"/>
      <c r="C376" s="611"/>
      <c r="D376" s="611"/>
      <c r="E376" s="611"/>
      <c r="F376" s="611"/>
      <c r="G376" s="611"/>
      <c r="H376" s="611"/>
      <c r="I376" s="611"/>
      <c r="J376" s="634" t="s">
        <v>3007</v>
      </c>
      <c r="K376" s="635"/>
      <c r="L376" s="626"/>
      <c r="M376" s="627"/>
      <c r="N376" s="507" t="s">
        <v>3877</v>
      </c>
      <c r="O376" s="507" t="s">
        <v>3280</v>
      </c>
      <c r="P376" s="1580" t="s">
        <v>3242</v>
      </c>
      <c r="Q376" s="611"/>
      <c r="S376" s="611"/>
      <c r="T376" s="611"/>
      <c r="U376" s="611"/>
      <c r="V376" s="611"/>
      <c r="W376" s="611"/>
      <c r="X376" s="611"/>
      <c r="Y376" s="611"/>
      <c r="Z376" s="611"/>
      <c r="AA376" s="611"/>
    </row>
    <row r="377" spans="1:27" ht="12.4" customHeight="1">
      <c r="A377" s="611"/>
      <c r="B377" s="612"/>
      <c r="C377" s="611"/>
      <c r="D377" s="611"/>
      <c r="E377" s="611"/>
      <c r="F377" s="611"/>
      <c r="G377" s="611"/>
      <c r="H377" s="611"/>
      <c r="I377" s="611"/>
      <c r="J377" s="634" t="s">
        <v>3009</v>
      </c>
      <c r="K377" s="635"/>
      <c r="L377" s="626"/>
      <c r="M377" s="627"/>
      <c r="N377" s="507" t="s">
        <v>3878</v>
      </c>
      <c r="O377" s="507" t="s">
        <v>3761</v>
      </c>
      <c r="P377" s="1580" t="s">
        <v>3242</v>
      </c>
      <c r="Q377" s="611"/>
      <c r="S377" s="611"/>
      <c r="T377" s="611"/>
      <c r="U377" s="611"/>
      <c r="V377" s="611"/>
      <c r="W377" s="611"/>
      <c r="X377" s="611"/>
      <c r="Y377" s="611"/>
      <c r="Z377" s="611"/>
      <c r="AA377" s="611"/>
    </row>
    <row r="378" spans="1:27" ht="12.4" customHeight="1">
      <c r="A378" s="611"/>
      <c r="B378" s="612"/>
      <c r="C378" s="611"/>
      <c r="D378" s="611"/>
      <c r="E378" s="611"/>
      <c r="F378" s="611"/>
      <c r="G378" s="611"/>
      <c r="H378" s="611"/>
      <c r="I378" s="611"/>
      <c r="J378" s="634" t="s">
        <v>3011</v>
      </c>
      <c r="K378" s="635"/>
      <c r="L378" s="626"/>
      <c r="M378" s="627"/>
      <c r="N378" s="636" t="s">
        <v>534</v>
      </c>
      <c r="O378" s="636" t="s">
        <v>1868</v>
      </c>
      <c r="P378" s="627" t="s">
        <v>1295</v>
      </c>
      <c r="Q378" s="611"/>
      <c r="S378" s="611"/>
      <c r="T378" s="611"/>
      <c r="U378" s="611"/>
      <c r="V378" s="611"/>
      <c r="W378" s="611"/>
      <c r="X378" s="611"/>
      <c r="Y378" s="611"/>
      <c r="Z378" s="611"/>
      <c r="AA378" s="611"/>
    </row>
    <row r="379" spans="1:27" ht="12.4" customHeight="1">
      <c r="A379" s="611"/>
      <c r="B379" s="612"/>
      <c r="C379" s="611"/>
      <c r="D379" s="611"/>
      <c r="E379" s="611"/>
      <c r="F379" s="611"/>
      <c r="G379" s="611"/>
      <c r="H379" s="611"/>
      <c r="I379" s="611"/>
      <c r="J379" s="634" t="s">
        <v>533</v>
      </c>
      <c r="K379" s="635"/>
      <c r="L379" s="626"/>
      <c r="M379" s="627"/>
      <c r="N379" s="636" t="s">
        <v>290</v>
      </c>
      <c r="O379" s="636" t="s">
        <v>1012</v>
      </c>
      <c r="P379" s="627" t="s">
        <v>1296</v>
      </c>
      <c r="Q379" s="611"/>
      <c r="S379" s="611"/>
      <c r="T379" s="611"/>
      <c r="U379" s="611"/>
      <c r="V379" s="611"/>
      <c r="W379" s="611"/>
      <c r="X379" s="611"/>
      <c r="Y379" s="611"/>
      <c r="Z379" s="611"/>
      <c r="AA379" s="611"/>
    </row>
    <row r="380" spans="1:27" ht="12.4" customHeight="1">
      <c r="A380" s="611"/>
      <c r="B380" s="612"/>
      <c r="C380" s="611"/>
      <c r="D380" s="611"/>
      <c r="E380" s="611"/>
      <c r="F380" s="611"/>
      <c r="G380" s="611"/>
      <c r="H380" s="611"/>
      <c r="I380" s="611"/>
      <c r="J380" s="634" t="s">
        <v>156</v>
      </c>
      <c r="K380" s="635"/>
      <c r="L380" s="626"/>
      <c r="M380" s="627"/>
      <c r="N380" s="507" t="s">
        <v>3879</v>
      </c>
      <c r="O380" s="507" t="s">
        <v>3087</v>
      </c>
      <c r="P380" s="1580" t="s">
        <v>3242</v>
      </c>
      <c r="Q380" s="611"/>
      <c r="S380" s="611"/>
      <c r="T380" s="611"/>
      <c r="U380" s="611"/>
      <c r="V380" s="611"/>
      <c r="W380" s="611"/>
      <c r="X380" s="611"/>
      <c r="Y380" s="611"/>
      <c r="Z380" s="611"/>
      <c r="AA380" s="611"/>
    </row>
    <row r="381" spans="1:27" ht="12.4" customHeight="1">
      <c r="A381" s="611"/>
      <c r="B381" s="612"/>
      <c r="C381" s="611"/>
      <c r="D381" s="611"/>
      <c r="E381" s="611"/>
      <c r="F381" s="611"/>
      <c r="G381" s="611"/>
      <c r="H381" s="611"/>
      <c r="I381" s="611"/>
      <c r="J381" s="634" t="s">
        <v>2692</v>
      </c>
      <c r="K381" s="635"/>
      <c r="L381" s="626"/>
      <c r="M381" s="627"/>
      <c r="N381" s="636" t="s">
        <v>2693</v>
      </c>
      <c r="O381" s="636" t="s">
        <v>3759</v>
      </c>
      <c r="P381" s="627" t="s">
        <v>1297</v>
      </c>
      <c r="Q381" s="611"/>
      <c r="S381" s="611"/>
      <c r="T381" s="611"/>
      <c r="U381" s="611"/>
      <c r="V381" s="611"/>
      <c r="W381" s="611"/>
      <c r="X381" s="611"/>
      <c r="Y381" s="611"/>
      <c r="Z381" s="611"/>
      <c r="AA381" s="611"/>
    </row>
    <row r="382" spans="1:27" ht="12.4" customHeight="1">
      <c r="A382" s="611"/>
      <c r="B382" s="612"/>
      <c r="C382" s="611"/>
      <c r="D382" s="611"/>
      <c r="E382" s="611"/>
      <c r="F382" s="611"/>
      <c r="G382" s="611"/>
      <c r="H382" s="611"/>
      <c r="I382" s="611"/>
      <c r="J382" s="634" t="s">
        <v>2777</v>
      </c>
      <c r="K382" s="635"/>
      <c r="L382" s="626"/>
      <c r="M382" s="627"/>
      <c r="N382" s="636" t="s">
        <v>3412</v>
      </c>
      <c r="O382" s="636" t="s">
        <v>1002</v>
      </c>
      <c r="P382" s="627" t="s">
        <v>1298</v>
      </c>
      <c r="Q382" s="611"/>
      <c r="S382" s="611"/>
      <c r="T382" s="611"/>
      <c r="U382" s="611"/>
      <c r="V382" s="611"/>
      <c r="W382" s="611"/>
      <c r="X382" s="611"/>
      <c r="Y382" s="611"/>
      <c r="Z382" s="611"/>
      <c r="AA382" s="611"/>
    </row>
    <row r="383" spans="1:27" ht="12.4" customHeight="1">
      <c r="A383" s="611"/>
      <c r="B383" s="612"/>
      <c r="C383" s="611"/>
      <c r="D383" s="611"/>
      <c r="E383" s="611"/>
      <c r="F383" s="611"/>
      <c r="G383" s="611"/>
      <c r="H383" s="611"/>
      <c r="I383" s="611"/>
      <c r="J383" s="634" t="s">
        <v>3411</v>
      </c>
      <c r="K383" s="635"/>
      <c r="L383" s="626"/>
      <c r="M383" s="627"/>
      <c r="N383" s="636" t="s">
        <v>3414</v>
      </c>
      <c r="O383" s="636" t="s">
        <v>2017</v>
      </c>
      <c r="P383" s="627" t="s">
        <v>1299</v>
      </c>
      <c r="Q383" s="611"/>
      <c r="S383" s="611"/>
      <c r="T383" s="611"/>
      <c r="U383" s="611"/>
      <c r="V383" s="611"/>
      <c r="W383" s="611"/>
      <c r="X383" s="611"/>
      <c r="Y383" s="611"/>
      <c r="Z383" s="611"/>
      <c r="AA383" s="611"/>
    </row>
    <row r="384" spans="1:27" ht="12.4" customHeight="1">
      <c r="A384" s="611"/>
      <c r="B384" s="612"/>
      <c r="C384" s="611"/>
      <c r="D384" s="611"/>
      <c r="E384" s="611"/>
      <c r="F384" s="611"/>
      <c r="G384" s="611"/>
      <c r="H384" s="611"/>
      <c r="I384" s="611"/>
      <c r="J384" s="634" t="s">
        <v>3413</v>
      </c>
      <c r="K384" s="635"/>
      <c r="L384" s="626"/>
      <c r="M384" s="627"/>
      <c r="N384" s="636" t="s">
        <v>1607</v>
      </c>
      <c r="O384" s="636" t="s">
        <v>2182</v>
      </c>
      <c r="P384" s="627" t="s">
        <v>1300</v>
      </c>
      <c r="Q384" s="611"/>
      <c r="S384" s="611"/>
      <c r="T384" s="611"/>
      <c r="U384" s="611"/>
      <c r="V384" s="611"/>
      <c r="W384" s="611"/>
      <c r="X384" s="611"/>
      <c r="Y384" s="611"/>
      <c r="Z384" s="611"/>
      <c r="AA384" s="611"/>
    </row>
    <row r="385" spans="1:27" ht="12.4" customHeight="1">
      <c r="A385" s="611"/>
      <c r="B385" s="612"/>
      <c r="C385" s="611"/>
      <c r="D385" s="611"/>
      <c r="E385" s="611"/>
      <c r="F385" s="611"/>
      <c r="G385" s="611"/>
      <c r="H385" s="611"/>
      <c r="I385" s="611"/>
      <c r="J385" s="634" t="s">
        <v>1606</v>
      </c>
      <c r="K385" s="635"/>
      <c r="L385" s="626"/>
      <c r="M385" s="627"/>
      <c r="N385" s="636" t="s">
        <v>877</v>
      </c>
      <c r="O385" s="636" t="s">
        <v>2033</v>
      </c>
      <c r="P385" s="627" t="s">
        <v>1301</v>
      </c>
      <c r="Q385" s="611"/>
      <c r="S385" s="611"/>
      <c r="T385" s="611"/>
      <c r="U385" s="611"/>
      <c r="V385" s="611"/>
      <c r="W385" s="611"/>
      <c r="X385" s="611"/>
      <c r="Y385" s="611"/>
      <c r="Z385" s="611"/>
      <c r="AA385" s="611"/>
    </row>
    <row r="386" spans="1:27" ht="12.4" customHeight="1">
      <c r="A386" s="611"/>
      <c r="B386" s="612"/>
      <c r="C386" s="611"/>
      <c r="D386" s="611"/>
      <c r="E386" s="611"/>
      <c r="F386" s="611"/>
      <c r="G386" s="611"/>
      <c r="H386" s="611"/>
      <c r="I386" s="611"/>
      <c r="J386" s="634" t="s">
        <v>1028</v>
      </c>
      <c r="K386" s="635"/>
      <c r="L386" s="626"/>
      <c r="M386" s="627"/>
      <c r="N386" s="636" t="s">
        <v>1020</v>
      </c>
      <c r="O386" s="636" t="s">
        <v>407</v>
      </c>
      <c r="P386" s="627" t="s">
        <v>1302</v>
      </c>
      <c r="Q386" s="611"/>
      <c r="S386" s="611"/>
      <c r="T386" s="611"/>
      <c r="U386" s="611"/>
      <c r="V386" s="611"/>
      <c r="W386" s="611"/>
      <c r="X386" s="611"/>
      <c r="Y386" s="611"/>
      <c r="Z386" s="611"/>
      <c r="AA386" s="611"/>
    </row>
    <row r="387" spans="1:27" ht="12.4" customHeight="1">
      <c r="A387" s="611"/>
      <c r="B387" s="612"/>
      <c r="C387" s="611"/>
      <c r="D387" s="611"/>
      <c r="E387" s="611"/>
      <c r="F387" s="611"/>
      <c r="G387" s="611"/>
      <c r="H387" s="611"/>
      <c r="I387" s="611"/>
      <c r="J387" s="634" t="s">
        <v>876</v>
      </c>
      <c r="K387" s="635"/>
      <c r="L387" s="626"/>
      <c r="M387" s="627"/>
      <c r="N387" s="636" t="s">
        <v>3620</v>
      </c>
      <c r="O387" s="636" t="s">
        <v>213</v>
      </c>
      <c r="P387" s="627" t="s">
        <v>1303</v>
      </c>
      <c r="Q387" s="611"/>
      <c r="S387" s="611"/>
      <c r="T387" s="611"/>
      <c r="U387" s="611"/>
      <c r="V387" s="611"/>
      <c r="W387" s="611"/>
      <c r="X387" s="611"/>
      <c r="Y387" s="611"/>
      <c r="Z387" s="611"/>
      <c r="AA387" s="611"/>
    </row>
    <row r="388" spans="1:27" ht="12.4" customHeight="1">
      <c r="A388" s="611"/>
      <c r="B388" s="612"/>
      <c r="C388" s="611"/>
      <c r="D388" s="611"/>
      <c r="E388" s="611"/>
      <c r="F388" s="611"/>
      <c r="G388" s="611"/>
      <c r="H388" s="611"/>
      <c r="I388" s="611"/>
      <c r="J388" s="634" t="s">
        <v>1019</v>
      </c>
      <c r="K388" s="635"/>
      <c r="L388" s="626"/>
      <c r="M388" s="627"/>
      <c r="N388" s="636" t="s">
        <v>283</v>
      </c>
      <c r="O388" s="636" t="s">
        <v>3758</v>
      </c>
      <c r="P388" s="627" t="s">
        <v>1304</v>
      </c>
      <c r="Q388" s="611"/>
      <c r="S388" s="611"/>
      <c r="T388" s="611"/>
      <c r="U388" s="611"/>
      <c r="V388" s="611"/>
      <c r="W388" s="611"/>
      <c r="X388" s="611"/>
      <c r="Y388" s="611"/>
      <c r="Z388" s="611"/>
      <c r="AA388" s="611"/>
    </row>
    <row r="389" spans="1:27" ht="12.4" customHeight="1">
      <c r="A389" s="611"/>
      <c r="B389" s="612"/>
      <c r="C389" s="611"/>
      <c r="D389" s="611"/>
      <c r="E389" s="611"/>
      <c r="F389" s="611"/>
      <c r="G389" s="611"/>
      <c r="H389" s="611"/>
      <c r="I389" s="611"/>
      <c r="J389" s="634" t="s">
        <v>3619</v>
      </c>
      <c r="K389" s="635"/>
      <c r="L389" s="626"/>
      <c r="M389" s="627"/>
      <c r="N389" s="636" t="s">
        <v>1004</v>
      </c>
      <c r="O389" s="636" t="s">
        <v>2543</v>
      </c>
      <c r="P389" s="627" t="s">
        <v>1305</v>
      </c>
      <c r="Q389" s="611"/>
      <c r="S389" s="611"/>
      <c r="T389" s="611"/>
      <c r="U389" s="611"/>
      <c r="V389" s="611"/>
      <c r="W389" s="611"/>
      <c r="X389" s="611"/>
      <c r="Y389" s="611"/>
      <c r="Z389" s="611"/>
      <c r="AA389" s="611"/>
    </row>
    <row r="390" spans="1:27" ht="12.4" customHeight="1">
      <c r="A390" s="611"/>
      <c r="B390" s="612"/>
      <c r="C390" s="611"/>
      <c r="D390" s="611"/>
      <c r="E390" s="611"/>
      <c r="F390" s="611"/>
      <c r="G390" s="611"/>
      <c r="H390" s="611"/>
      <c r="I390" s="611"/>
      <c r="J390" s="634" t="s">
        <v>282</v>
      </c>
      <c r="K390" s="635"/>
      <c r="L390" s="626"/>
      <c r="M390" s="627"/>
      <c r="N390" s="636" t="s">
        <v>3569</v>
      </c>
      <c r="O390" s="636" t="s">
        <v>3756</v>
      </c>
      <c r="P390" s="627" t="s">
        <v>1306</v>
      </c>
      <c r="Q390" s="611"/>
      <c r="S390" s="611"/>
      <c r="T390" s="611"/>
      <c r="U390" s="611"/>
      <c r="V390" s="611"/>
      <c r="W390" s="611"/>
      <c r="X390" s="611"/>
      <c r="Y390" s="611"/>
      <c r="Z390" s="611"/>
      <c r="AA390" s="611"/>
    </row>
    <row r="391" spans="1:27" ht="12.4" customHeight="1">
      <c r="A391" s="611"/>
      <c r="B391" s="612"/>
      <c r="C391" s="611"/>
      <c r="D391" s="611"/>
      <c r="E391" s="611"/>
      <c r="F391" s="611"/>
      <c r="G391" s="611"/>
      <c r="H391" s="611"/>
      <c r="I391" s="611"/>
      <c r="J391" s="634" t="s">
        <v>1361</v>
      </c>
      <c r="K391" s="635"/>
      <c r="L391" s="626"/>
      <c r="M391" s="627"/>
      <c r="N391" s="636" t="s">
        <v>296</v>
      </c>
      <c r="O391" s="636" t="s">
        <v>2271</v>
      </c>
      <c r="P391" s="627" t="s">
        <v>1307</v>
      </c>
      <c r="Q391" s="611"/>
      <c r="S391" s="611"/>
      <c r="T391" s="611"/>
      <c r="U391" s="611"/>
      <c r="V391" s="611"/>
      <c r="W391" s="611"/>
      <c r="X391" s="611"/>
      <c r="Y391" s="611"/>
      <c r="Z391" s="611"/>
      <c r="AA391" s="611"/>
    </row>
    <row r="392" spans="1:27" ht="12.4" customHeight="1">
      <c r="A392" s="611"/>
      <c r="B392" s="612"/>
      <c r="C392" s="611"/>
      <c r="D392" s="611"/>
      <c r="E392" s="611"/>
      <c r="F392" s="611"/>
      <c r="G392" s="611"/>
      <c r="H392" s="611"/>
      <c r="I392" s="611"/>
      <c r="J392" s="634" t="s">
        <v>1362</v>
      </c>
      <c r="K392" s="635"/>
      <c r="L392" s="626"/>
      <c r="M392" s="627"/>
      <c r="N392" s="507" t="s">
        <v>1673</v>
      </c>
      <c r="O392" s="507" t="s">
        <v>2182</v>
      </c>
      <c r="P392" s="1580" t="s">
        <v>3242</v>
      </c>
      <c r="Q392" s="611"/>
      <c r="S392" s="611"/>
      <c r="T392" s="611"/>
      <c r="U392" s="611"/>
      <c r="V392" s="611"/>
      <c r="W392" s="611"/>
      <c r="X392" s="611"/>
      <c r="Y392" s="611"/>
      <c r="Z392" s="611"/>
      <c r="AA392" s="611"/>
    </row>
    <row r="393" spans="1:27" ht="12.4" customHeight="1">
      <c r="A393" s="611"/>
      <c r="B393" s="612"/>
      <c r="C393" s="611"/>
      <c r="D393" s="611"/>
      <c r="E393" s="611"/>
      <c r="F393" s="611"/>
      <c r="G393" s="611"/>
      <c r="H393" s="611"/>
      <c r="I393" s="611"/>
      <c r="J393" s="634" t="s">
        <v>295</v>
      </c>
      <c r="K393" s="635"/>
      <c r="L393" s="626"/>
      <c r="M393" s="627"/>
      <c r="N393" s="636" t="s">
        <v>298</v>
      </c>
      <c r="O393" s="636" t="s">
        <v>1723</v>
      </c>
      <c r="P393" s="627" t="s">
        <v>1308</v>
      </c>
      <c r="Q393" s="611"/>
      <c r="S393" s="611"/>
      <c r="T393" s="611"/>
      <c r="U393" s="611"/>
      <c r="V393" s="611"/>
      <c r="W393" s="611"/>
      <c r="X393" s="611"/>
      <c r="Y393" s="611"/>
      <c r="Z393" s="611"/>
      <c r="AA393" s="611"/>
    </row>
    <row r="394" spans="1:27" ht="12.4" customHeight="1">
      <c r="A394" s="611"/>
      <c r="B394" s="612"/>
      <c r="C394" s="611"/>
      <c r="D394" s="611"/>
      <c r="E394" s="611"/>
      <c r="F394" s="611"/>
      <c r="G394" s="611"/>
      <c r="H394" s="611"/>
      <c r="I394" s="611"/>
      <c r="J394" s="634" t="s">
        <v>297</v>
      </c>
      <c r="K394" s="635"/>
      <c r="L394" s="626"/>
      <c r="M394" s="627"/>
      <c r="N394" s="636" t="s">
        <v>1005</v>
      </c>
      <c r="O394" s="636" t="s">
        <v>414</v>
      </c>
      <c r="P394" s="627" t="s">
        <v>1309</v>
      </c>
      <c r="Q394" s="611"/>
      <c r="S394" s="611"/>
      <c r="T394" s="611"/>
      <c r="U394" s="611"/>
      <c r="V394" s="611"/>
      <c r="W394" s="611"/>
      <c r="X394" s="611"/>
      <c r="Y394" s="611"/>
      <c r="Z394" s="611"/>
      <c r="AA394" s="611"/>
    </row>
    <row r="395" spans="1:27" ht="12.4" customHeight="1">
      <c r="A395" s="611"/>
      <c r="B395" s="612"/>
      <c r="C395" s="611"/>
      <c r="D395" s="611"/>
      <c r="E395" s="611"/>
      <c r="F395" s="611"/>
      <c r="G395" s="611"/>
      <c r="H395" s="611"/>
      <c r="I395" s="611"/>
      <c r="J395" s="634" t="s">
        <v>299</v>
      </c>
      <c r="K395" s="635"/>
      <c r="L395" s="626"/>
      <c r="M395" s="627"/>
      <c r="N395" s="636" t="s">
        <v>1370</v>
      </c>
      <c r="O395" s="636" t="s">
        <v>1005</v>
      </c>
      <c r="P395" s="627" t="s">
        <v>1310</v>
      </c>
      <c r="Q395" s="611"/>
      <c r="S395" s="611"/>
      <c r="T395" s="611"/>
      <c r="U395" s="611"/>
      <c r="V395" s="611"/>
      <c r="W395" s="611"/>
      <c r="X395" s="611"/>
      <c r="Y395" s="611"/>
      <c r="Z395" s="611"/>
      <c r="AA395" s="611"/>
    </row>
    <row r="396" spans="1:27" ht="12.4" customHeight="1">
      <c r="A396" s="611"/>
      <c r="B396" s="612"/>
      <c r="C396" s="611"/>
      <c r="D396" s="611"/>
      <c r="E396" s="611"/>
      <c r="F396" s="611"/>
      <c r="G396" s="611"/>
      <c r="H396" s="611"/>
      <c r="I396" s="611"/>
      <c r="J396" s="634" t="s">
        <v>1368</v>
      </c>
      <c r="K396" s="635"/>
      <c r="L396" s="626"/>
      <c r="M396" s="627"/>
      <c r="N396" s="636" t="s">
        <v>1881</v>
      </c>
      <c r="O396" s="636" t="s">
        <v>3764</v>
      </c>
      <c r="P396" s="627" t="s">
        <v>1311</v>
      </c>
      <c r="Q396" s="611"/>
      <c r="S396" s="611"/>
      <c r="T396" s="611"/>
      <c r="U396" s="611"/>
      <c r="V396" s="611"/>
      <c r="W396" s="611"/>
      <c r="X396" s="611"/>
      <c r="Y396" s="611"/>
      <c r="Z396" s="611"/>
      <c r="AA396" s="611"/>
    </row>
    <row r="397" spans="1:27" ht="12.4" customHeight="1">
      <c r="A397" s="611"/>
      <c r="B397" s="612"/>
      <c r="C397" s="611"/>
      <c r="D397" s="611"/>
      <c r="E397" s="611"/>
      <c r="F397" s="611"/>
      <c r="G397" s="611"/>
      <c r="H397" s="611"/>
      <c r="I397" s="611"/>
      <c r="J397" s="634" t="s">
        <v>1369</v>
      </c>
      <c r="K397" s="635"/>
      <c r="L397" s="626"/>
      <c r="M397" s="627"/>
      <c r="N397" s="636" t="s">
        <v>1883</v>
      </c>
      <c r="O397" s="636" t="s">
        <v>407</v>
      </c>
      <c r="P397" s="627" t="s">
        <v>1312</v>
      </c>
      <c r="Q397" s="611"/>
      <c r="S397" s="611"/>
      <c r="T397" s="611"/>
      <c r="U397" s="611"/>
      <c r="V397" s="611"/>
      <c r="W397" s="611"/>
      <c r="X397" s="611"/>
      <c r="Y397" s="611"/>
      <c r="Z397" s="611"/>
      <c r="AA397" s="611"/>
    </row>
    <row r="398" spans="1:27" ht="12.4" customHeight="1">
      <c r="A398" s="611"/>
      <c r="B398" s="612"/>
      <c r="C398" s="611"/>
      <c r="D398" s="611"/>
      <c r="E398" s="611"/>
      <c r="F398" s="611"/>
      <c r="G398" s="611"/>
      <c r="H398" s="611"/>
      <c r="I398" s="611"/>
      <c r="J398" s="634" t="s">
        <v>1371</v>
      </c>
      <c r="K398" s="635"/>
      <c r="L398" s="626"/>
      <c r="M398" s="627"/>
      <c r="N398" s="636" t="s">
        <v>1885</v>
      </c>
      <c r="O398" s="636" t="s">
        <v>215</v>
      </c>
      <c r="P398" s="627" t="s">
        <v>1885</v>
      </c>
      <c r="Q398" s="611"/>
      <c r="S398" s="611"/>
      <c r="T398" s="611"/>
      <c r="U398" s="611"/>
      <c r="V398" s="611"/>
      <c r="W398" s="611"/>
      <c r="X398" s="611"/>
      <c r="Y398" s="611"/>
      <c r="Z398" s="611"/>
      <c r="AA398" s="611"/>
    </row>
    <row r="399" spans="1:27" ht="12.4" customHeight="1">
      <c r="A399" s="611"/>
      <c r="B399" s="612"/>
      <c r="C399" s="611"/>
      <c r="D399" s="611"/>
      <c r="E399" s="611"/>
      <c r="F399" s="611"/>
      <c r="G399" s="611"/>
      <c r="H399" s="611"/>
      <c r="I399" s="611"/>
      <c r="J399" s="634" t="s">
        <v>2310</v>
      </c>
      <c r="K399" s="635"/>
      <c r="L399" s="626"/>
      <c r="M399" s="627"/>
      <c r="N399" s="636" t="s">
        <v>1493</v>
      </c>
      <c r="O399" s="636" t="s">
        <v>3371</v>
      </c>
      <c r="P399" s="627" t="s">
        <v>1313</v>
      </c>
      <c r="Q399" s="611"/>
      <c r="S399" s="611"/>
      <c r="T399" s="611"/>
      <c r="U399" s="611"/>
      <c r="V399" s="611"/>
      <c r="W399" s="611"/>
      <c r="X399" s="611"/>
      <c r="Y399" s="611"/>
      <c r="Z399" s="611"/>
      <c r="AA399" s="611"/>
    </row>
    <row r="400" spans="1:27" ht="12.4" customHeight="1">
      <c r="A400" s="611"/>
      <c r="B400" s="612"/>
      <c r="C400" s="611"/>
      <c r="D400" s="611"/>
      <c r="E400" s="611"/>
      <c r="F400" s="611"/>
      <c r="G400" s="611"/>
      <c r="H400" s="611"/>
      <c r="I400" s="611"/>
      <c r="J400" s="634" t="s">
        <v>1882</v>
      </c>
      <c r="K400" s="635"/>
      <c r="L400" s="626"/>
      <c r="M400" s="627"/>
      <c r="N400" s="636" t="s">
        <v>3734</v>
      </c>
      <c r="O400" s="636" t="s">
        <v>2940</v>
      </c>
      <c r="P400" s="627" t="s">
        <v>1314</v>
      </c>
      <c r="Q400" s="611"/>
      <c r="S400" s="611"/>
      <c r="T400" s="611"/>
      <c r="U400" s="611"/>
      <c r="V400" s="611"/>
      <c r="W400" s="611"/>
      <c r="X400" s="611"/>
      <c r="Y400" s="611"/>
      <c r="Z400" s="611"/>
      <c r="AA400" s="611"/>
    </row>
    <row r="401" spans="1:27" ht="12.4" customHeight="1">
      <c r="A401" s="611"/>
      <c r="B401" s="612"/>
      <c r="C401" s="611"/>
      <c r="D401" s="611"/>
      <c r="E401" s="611"/>
      <c r="F401" s="611"/>
      <c r="G401" s="611"/>
      <c r="H401" s="611"/>
      <c r="I401" s="611"/>
      <c r="J401" s="634" t="s">
        <v>1884</v>
      </c>
      <c r="K401" s="635"/>
      <c r="L401" s="626"/>
      <c r="M401" s="627"/>
      <c r="N401" s="636" t="s">
        <v>1497</v>
      </c>
      <c r="O401" s="636" t="s">
        <v>3287</v>
      </c>
      <c r="P401" s="627" t="s">
        <v>1315</v>
      </c>
      <c r="Q401" s="611"/>
      <c r="S401" s="611"/>
      <c r="T401" s="611"/>
      <c r="U401" s="611"/>
      <c r="V401" s="611"/>
      <c r="W401" s="611"/>
      <c r="X401" s="611"/>
      <c r="Y401" s="611"/>
      <c r="Z401" s="611"/>
      <c r="AA401" s="611"/>
    </row>
    <row r="402" spans="1:27" ht="12.4" customHeight="1">
      <c r="A402" s="611"/>
      <c r="B402" s="612"/>
      <c r="C402" s="611"/>
      <c r="D402" s="611"/>
      <c r="E402" s="611"/>
      <c r="F402" s="611"/>
      <c r="G402" s="611"/>
      <c r="H402" s="611"/>
      <c r="I402" s="611"/>
      <c r="J402" s="634" t="s">
        <v>1492</v>
      </c>
      <c r="K402" s="635"/>
      <c r="L402" s="626"/>
      <c r="M402" s="627"/>
      <c r="N402" s="636" t="s">
        <v>1499</v>
      </c>
      <c r="O402" s="636" t="s">
        <v>1735</v>
      </c>
      <c r="P402" s="1579" t="s">
        <v>1413</v>
      </c>
      <c r="Q402" s="611"/>
      <c r="S402" s="611"/>
      <c r="T402" s="611"/>
      <c r="U402" s="611"/>
      <c r="V402" s="611"/>
      <c r="W402" s="611"/>
      <c r="X402" s="611"/>
      <c r="Y402" s="611"/>
      <c r="Z402" s="611"/>
      <c r="AA402" s="611"/>
    </row>
    <row r="403" spans="1:27" ht="12.4" customHeight="1">
      <c r="A403" s="611"/>
      <c r="B403" s="612"/>
      <c r="C403" s="611"/>
      <c r="D403" s="611"/>
      <c r="E403" s="611"/>
      <c r="F403" s="611"/>
      <c r="G403" s="611"/>
      <c r="H403" s="611"/>
      <c r="I403" s="611"/>
      <c r="J403" s="634" t="s">
        <v>3733</v>
      </c>
      <c r="K403" s="635"/>
      <c r="L403" s="626"/>
      <c r="M403" s="627"/>
      <c r="N403" s="636" t="s">
        <v>1501</v>
      </c>
      <c r="O403" s="636" t="s">
        <v>1009</v>
      </c>
      <c r="P403" s="627" t="s">
        <v>1316</v>
      </c>
      <c r="Q403" s="611"/>
      <c r="S403" s="611"/>
      <c r="T403" s="611"/>
      <c r="U403" s="611"/>
      <c r="V403" s="611"/>
      <c r="W403" s="611"/>
      <c r="X403" s="611"/>
      <c r="Y403" s="611"/>
      <c r="Z403" s="611"/>
      <c r="AA403" s="611"/>
    </row>
    <row r="404" spans="1:27" ht="12.4" customHeight="1">
      <c r="A404" s="611"/>
      <c r="B404" s="612"/>
      <c r="C404" s="611"/>
      <c r="D404" s="611"/>
      <c r="E404" s="611"/>
      <c r="F404" s="611"/>
      <c r="G404" s="611"/>
      <c r="H404" s="611"/>
      <c r="I404" s="611"/>
      <c r="J404" s="634" t="s">
        <v>1496</v>
      </c>
      <c r="K404" s="635"/>
      <c r="L404" s="626"/>
      <c r="M404" s="627"/>
      <c r="N404" s="636" t="s">
        <v>1503</v>
      </c>
      <c r="O404" s="636" t="s">
        <v>407</v>
      </c>
      <c r="P404" s="627" t="s">
        <v>1317</v>
      </c>
      <c r="Q404" s="611"/>
      <c r="S404" s="611"/>
      <c r="T404" s="611"/>
      <c r="U404" s="611"/>
      <c r="V404" s="611"/>
      <c r="W404" s="611"/>
      <c r="X404" s="611"/>
      <c r="Y404" s="611"/>
      <c r="Z404" s="611"/>
      <c r="AA404" s="611"/>
    </row>
    <row r="405" spans="1:27" ht="12.4" customHeight="1">
      <c r="A405" s="611"/>
      <c r="B405" s="612"/>
      <c r="C405" s="611"/>
      <c r="D405" s="611"/>
      <c r="E405" s="611"/>
      <c r="F405" s="611"/>
      <c r="G405" s="611"/>
      <c r="H405" s="611"/>
      <c r="I405" s="611"/>
      <c r="J405" s="634" t="s">
        <v>1498</v>
      </c>
      <c r="K405" s="635"/>
      <c r="L405" s="626"/>
      <c r="M405" s="627"/>
      <c r="N405" s="636" t="s">
        <v>1505</v>
      </c>
      <c r="O405" s="636" t="s">
        <v>2031</v>
      </c>
      <c r="P405" s="627" t="s">
        <v>1318</v>
      </c>
      <c r="Q405" s="611"/>
      <c r="S405" s="611"/>
      <c r="T405" s="611"/>
      <c r="U405" s="611"/>
      <c r="V405" s="611"/>
      <c r="W405" s="611"/>
      <c r="X405" s="611"/>
      <c r="Y405" s="611"/>
      <c r="Z405" s="611"/>
      <c r="AA405" s="611"/>
    </row>
    <row r="406" spans="1:27" ht="12.4" customHeight="1">
      <c r="A406" s="611"/>
      <c r="B406" s="612"/>
      <c r="C406" s="611"/>
      <c r="D406" s="611"/>
      <c r="E406" s="611"/>
      <c r="F406" s="611"/>
      <c r="G406" s="611"/>
      <c r="H406" s="611"/>
      <c r="I406" s="611"/>
      <c r="J406" s="634" t="s">
        <v>1500</v>
      </c>
      <c r="K406" s="635"/>
      <c r="L406" s="626"/>
      <c r="M406" s="627"/>
      <c r="N406" s="636" t="s">
        <v>1031</v>
      </c>
      <c r="O406" s="636" t="s">
        <v>3291</v>
      </c>
      <c r="P406" s="627" t="s">
        <v>1319</v>
      </c>
      <c r="Q406" s="611"/>
      <c r="S406" s="611"/>
      <c r="T406" s="611"/>
      <c r="U406" s="611"/>
      <c r="V406" s="611"/>
      <c r="W406" s="611"/>
      <c r="X406" s="611"/>
      <c r="Y406" s="611"/>
      <c r="Z406" s="611"/>
      <c r="AA406" s="611"/>
    </row>
    <row r="407" spans="1:27" ht="12.4" customHeight="1">
      <c r="A407" s="611"/>
      <c r="B407" s="612"/>
      <c r="C407" s="611"/>
      <c r="D407" s="611"/>
      <c r="E407" s="611"/>
      <c r="F407" s="611"/>
      <c r="G407" s="611"/>
      <c r="H407" s="611"/>
      <c r="I407" s="611"/>
      <c r="J407" s="634" t="s">
        <v>1502</v>
      </c>
      <c r="K407" s="635"/>
      <c r="L407" s="626"/>
      <c r="M407" s="627"/>
      <c r="N407" s="636" t="s">
        <v>64</v>
      </c>
      <c r="O407" s="636" t="s">
        <v>126</v>
      </c>
      <c r="P407" s="627" t="s">
        <v>1320</v>
      </c>
      <c r="Q407" s="611"/>
      <c r="S407" s="611"/>
      <c r="T407" s="611"/>
      <c r="U407" s="611"/>
      <c r="V407" s="611"/>
      <c r="W407" s="611"/>
      <c r="X407" s="611"/>
      <c r="Y407" s="611"/>
      <c r="Z407" s="611"/>
      <c r="AA407" s="611"/>
    </row>
    <row r="408" spans="1:27" ht="12.4" customHeight="1">
      <c r="A408" s="611"/>
      <c r="B408" s="612"/>
      <c r="C408" s="611"/>
      <c r="D408" s="611"/>
      <c r="E408" s="611"/>
      <c r="F408" s="611"/>
      <c r="G408" s="611"/>
      <c r="H408" s="611"/>
      <c r="I408" s="611"/>
      <c r="J408" s="634" t="s">
        <v>1504</v>
      </c>
      <c r="K408" s="635"/>
      <c r="L408" s="626"/>
      <c r="M408" s="627"/>
      <c r="N408" s="636" t="s">
        <v>1562</v>
      </c>
      <c r="O408" s="636" t="s">
        <v>3088</v>
      </c>
      <c r="P408" s="627" t="s">
        <v>1321</v>
      </c>
      <c r="Q408" s="611"/>
      <c r="S408" s="611"/>
      <c r="T408" s="611"/>
      <c r="U408" s="611"/>
      <c r="V408" s="611"/>
      <c r="W408" s="611"/>
      <c r="X408" s="611"/>
      <c r="Y408" s="611"/>
      <c r="Z408" s="611"/>
      <c r="AA408" s="611"/>
    </row>
    <row r="409" spans="1:27" ht="12.4" customHeight="1">
      <c r="A409" s="611"/>
      <c r="B409" s="612"/>
      <c r="C409" s="611"/>
      <c r="D409" s="611"/>
      <c r="E409" s="611"/>
      <c r="F409" s="611"/>
      <c r="G409" s="611"/>
      <c r="H409" s="611"/>
      <c r="I409" s="611"/>
      <c r="J409" s="634" t="s">
        <v>1030</v>
      </c>
      <c r="K409" s="635"/>
      <c r="L409" s="626"/>
      <c r="M409" s="627"/>
      <c r="N409" s="636" t="s">
        <v>1012</v>
      </c>
      <c r="O409" s="636" t="s">
        <v>3634</v>
      </c>
      <c r="P409" s="627" t="s">
        <v>1322</v>
      </c>
      <c r="Q409" s="611"/>
      <c r="S409" s="611"/>
      <c r="T409" s="611"/>
      <c r="U409" s="611"/>
      <c r="V409" s="611"/>
      <c r="W409" s="611"/>
      <c r="X409" s="611"/>
      <c r="Y409" s="611"/>
      <c r="Z409" s="611"/>
      <c r="AA409" s="611"/>
    </row>
    <row r="410" spans="1:27" ht="12.4" customHeight="1">
      <c r="A410" s="611"/>
      <c r="B410" s="612"/>
      <c r="C410" s="611"/>
      <c r="D410" s="611"/>
      <c r="E410" s="611"/>
      <c r="F410" s="611"/>
      <c r="G410" s="611"/>
      <c r="H410" s="611"/>
      <c r="I410" s="611"/>
      <c r="J410" s="634" t="s">
        <v>63</v>
      </c>
      <c r="K410" s="635"/>
      <c r="L410" s="626"/>
      <c r="M410" s="627"/>
      <c r="N410" s="636" t="s">
        <v>1614</v>
      </c>
      <c r="O410" s="636" t="s">
        <v>1872</v>
      </c>
      <c r="P410" s="627" t="s">
        <v>1323</v>
      </c>
      <c r="Q410" s="611"/>
      <c r="S410" s="611"/>
      <c r="T410" s="611"/>
      <c r="U410" s="611"/>
      <c r="V410" s="611"/>
      <c r="W410" s="611"/>
      <c r="X410" s="611"/>
      <c r="Y410" s="611"/>
      <c r="Z410" s="611"/>
      <c r="AA410" s="611"/>
    </row>
    <row r="411" spans="1:27" ht="12.4" customHeight="1">
      <c r="A411" s="611"/>
      <c r="B411" s="612"/>
      <c r="C411" s="611"/>
      <c r="D411" s="611"/>
      <c r="E411" s="611"/>
      <c r="F411" s="611"/>
      <c r="G411" s="611"/>
      <c r="H411" s="611"/>
      <c r="I411" s="611"/>
      <c r="J411" s="634" t="s">
        <v>1561</v>
      </c>
      <c r="K411" s="635"/>
      <c r="L411" s="626"/>
      <c r="M411" s="627"/>
      <c r="N411" s="636" t="s">
        <v>1616</v>
      </c>
      <c r="O411" s="636" t="s">
        <v>3819</v>
      </c>
      <c r="P411" s="627" t="s">
        <v>1324</v>
      </c>
      <c r="Q411" s="611"/>
      <c r="S411" s="611"/>
      <c r="T411" s="611"/>
      <c r="U411" s="611"/>
      <c r="V411" s="611"/>
      <c r="W411" s="611"/>
      <c r="X411" s="611"/>
      <c r="Y411" s="611"/>
      <c r="Z411" s="611"/>
      <c r="AA411" s="611"/>
    </row>
    <row r="412" spans="1:27" ht="12.4" customHeight="1">
      <c r="A412" s="611"/>
      <c r="B412" s="612"/>
      <c r="C412" s="611"/>
      <c r="D412" s="611"/>
      <c r="E412" s="611"/>
      <c r="F412" s="611"/>
      <c r="G412" s="611"/>
      <c r="H412" s="611"/>
      <c r="I412" s="611"/>
      <c r="J412" s="634" t="s">
        <v>2770</v>
      </c>
      <c r="K412" s="635"/>
      <c r="L412" s="626"/>
      <c r="M412" s="627"/>
      <c r="N412" s="636" t="s">
        <v>1594</v>
      </c>
      <c r="O412" s="636" t="s">
        <v>634</v>
      </c>
      <c r="P412" s="627" t="s">
        <v>1325</v>
      </c>
      <c r="Q412" s="611"/>
      <c r="R412" s="611"/>
      <c r="S412" s="611"/>
      <c r="T412" s="611"/>
      <c r="U412" s="611"/>
      <c r="V412" s="611"/>
      <c r="W412" s="611"/>
      <c r="X412" s="611"/>
      <c r="Y412" s="611"/>
      <c r="Z412" s="611"/>
      <c r="AA412" s="611"/>
    </row>
    <row r="413" spans="1:27" ht="12.4" customHeight="1">
      <c r="A413" s="611"/>
      <c r="B413" s="612"/>
      <c r="C413" s="611"/>
      <c r="D413" s="611"/>
      <c r="E413" s="611"/>
      <c r="F413" s="611"/>
      <c r="G413" s="611"/>
      <c r="H413" s="611"/>
      <c r="I413" s="611"/>
      <c r="J413" s="634" t="s">
        <v>1612</v>
      </c>
      <c r="K413" s="635"/>
      <c r="L413" s="626"/>
      <c r="M413" s="627"/>
      <c r="N413" s="636" t="s">
        <v>1596</v>
      </c>
      <c r="O413" s="636" t="s">
        <v>136</v>
      </c>
      <c r="P413" s="627" t="s">
        <v>1326</v>
      </c>
      <c r="Q413" s="611"/>
      <c r="R413" s="611"/>
      <c r="S413" s="611"/>
      <c r="T413" s="611"/>
      <c r="U413" s="611"/>
      <c r="V413" s="611"/>
      <c r="W413" s="611"/>
      <c r="X413" s="611"/>
      <c r="Y413" s="611"/>
      <c r="Z413" s="611"/>
      <c r="AA413" s="611"/>
    </row>
    <row r="414" spans="1:27" ht="12.4" customHeight="1">
      <c r="A414" s="611"/>
      <c r="B414" s="612"/>
      <c r="C414" s="611"/>
      <c r="D414" s="611"/>
      <c r="E414" s="611"/>
      <c r="F414" s="611"/>
      <c r="G414" s="611"/>
      <c r="H414" s="611"/>
      <c r="I414" s="611"/>
      <c r="J414" s="634" t="s">
        <v>1613</v>
      </c>
      <c r="K414" s="635"/>
      <c r="L414" s="626"/>
      <c r="M414" s="627"/>
      <c r="N414" s="636" t="s">
        <v>1598</v>
      </c>
      <c r="O414" s="636" t="s">
        <v>1016</v>
      </c>
      <c r="P414" s="627" t="s">
        <v>1327</v>
      </c>
      <c r="Q414" s="611"/>
      <c r="R414" s="611"/>
      <c r="S414" s="611"/>
      <c r="T414" s="611"/>
      <c r="U414" s="611"/>
      <c r="V414" s="611"/>
      <c r="W414" s="611"/>
      <c r="X414" s="611"/>
      <c r="Y414" s="611"/>
      <c r="Z414" s="611"/>
      <c r="AA414" s="611"/>
    </row>
    <row r="415" spans="1:27" ht="12.4" customHeight="1">
      <c r="A415" s="611"/>
      <c r="B415" s="612"/>
      <c r="C415" s="611"/>
      <c r="D415" s="611"/>
      <c r="E415" s="611"/>
      <c r="F415" s="611"/>
      <c r="G415" s="611"/>
      <c r="H415" s="611"/>
      <c r="I415" s="611"/>
      <c r="J415" s="634" t="s">
        <v>1615</v>
      </c>
      <c r="K415" s="635"/>
      <c r="L415" s="626"/>
      <c r="M415" s="627"/>
      <c r="N415" s="636" t="s">
        <v>1600</v>
      </c>
      <c r="O415" s="636" t="s">
        <v>2940</v>
      </c>
      <c r="P415" s="627" t="s">
        <v>1328</v>
      </c>
      <c r="Q415" s="611"/>
      <c r="R415" s="611"/>
      <c r="S415" s="611"/>
      <c r="T415" s="611"/>
      <c r="U415" s="611"/>
      <c r="V415" s="611"/>
      <c r="W415" s="611"/>
      <c r="X415" s="611"/>
      <c r="Y415" s="611"/>
      <c r="Z415" s="611"/>
      <c r="AA415" s="611"/>
    </row>
    <row r="416" spans="1:27" ht="12.4" customHeight="1">
      <c r="A416" s="611"/>
      <c r="B416" s="612"/>
      <c r="C416" s="611"/>
      <c r="D416" s="611"/>
      <c r="E416" s="611"/>
      <c r="F416" s="611"/>
      <c r="G416" s="611"/>
      <c r="H416" s="611"/>
      <c r="I416" s="611"/>
      <c r="J416" s="634" t="s">
        <v>1593</v>
      </c>
      <c r="K416" s="635"/>
      <c r="L416" s="626"/>
      <c r="M416" s="627"/>
      <c r="N416" s="507" t="s">
        <v>1674</v>
      </c>
      <c r="O416" s="507" t="s">
        <v>965</v>
      </c>
      <c r="P416" s="1580" t="s">
        <v>3242</v>
      </c>
      <c r="Q416" s="611"/>
      <c r="R416" s="611"/>
      <c r="S416" s="611"/>
      <c r="T416" s="611"/>
      <c r="U416" s="611"/>
      <c r="V416" s="611"/>
      <c r="W416" s="611"/>
      <c r="X416" s="611"/>
      <c r="Y416" s="611"/>
      <c r="Z416" s="611"/>
      <c r="AA416" s="611"/>
    </row>
    <row r="417" spans="1:27" ht="12.4" customHeight="1">
      <c r="A417" s="611"/>
      <c r="B417" s="612"/>
      <c r="C417" s="611"/>
      <c r="D417" s="611"/>
      <c r="E417" s="611"/>
      <c r="F417" s="611"/>
      <c r="G417" s="611"/>
      <c r="H417" s="611"/>
      <c r="I417" s="611"/>
      <c r="J417" s="634" t="s">
        <v>1595</v>
      </c>
      <c r="K417" s="635"/>
      <c r="L417" s="626"/>
      <c r="M417" s="627"/>
      <c r="N417" s="636" t="s">
        <v>882</v>
      </c>
      <c r="O417" s="636" t="s">
        <v>3280</v>
      </c>
      <c r="P417" s="627" t="s">
        <v>1329</v>
      </c>
      <c r="Q417" s="611"/>
      <c r="R417" s="611"/>
      <c r="S417" s="611"/>
      <c r="T417" s="611"/>
      <c r="U417" s="611"/>
      <c r="V417" s="611"/>
      <c r="W417" s="611"/>
      <c r="X417" s="611"/>
      <c r="Y417" s="611"/>
      <c r="Z417" s="611"/>
      <c r="AA417" s="611"/>
    </row>
    <row r="418" spans="1:27" ht="12.4" customHeight="1">
      <c r="A418" s="611"/>
      <c r="B418" s="612"/>
      <c r="C418" s="611"/>
      <c r="D418" s="611"/>
      <c r="E418" s="611"/>
      <c r="F418" s="611"/>
      <c r="G418" s="611"/>
      <c r="H418" s="611"/>
      <c r="I418" s="611"/>
      <c r="J418" s="634" t="s">
        <v>1597</v>
      </c>
      <c r="K418" s="635"/>
      <c r="L418" s="626"/>
      <c r="M418" s="627"/>
      <c r="N418" s="636" t="s">
        <v>477</v>
      </c>
      <c r="O418" s="636" t="s">
        <v>3816</v>
      </c>
      <c r="P418" s="627" t="s">
        <v>1330</v>
      </c>
      <c r="Q418" s="611"/>
      <c r="R418" s="611"/>
      <c r="S418" s="611"/>
      <c r="T418" s="611"/>
      <c r="U418" s="611"/>
      <c r="V418" s="611"/>
      <c r="W418" s="611"/>
      <c r="X418" s="611"/>
      <c r="Y418" s="611"/>
      <c r="Z418" s="611"/>
      <c r="AA418" s="611"/>
    </row>
    <row r="419" spans="1:27" ht="12.4" customHeight="1">
      <c r="A419" s="611"/>
      <c r="B419" s="612"/>
      <c r="C419" s="611"/>
      <c r="D419" s="611"/>
      <c r="E419" s="611"/>
      <c r="F419" s="611"/>
      <c r="G419" s="611"/>
      <c r="H419" s="611"/>
      <c r="I419" s="611"/>
      <c r="J419" s="634" t="s">
        <v>1599</v>
      </c>
      <c r="K419" s="635"/>
      <c r="L419" s="626"/>
      <c r="M419" s="627"/>
      <c r="N419" s="636" t="s">
        <v>479</v>
      </c>
      <c r="O419" s="636" t="s">
        <v>2182</v>
      </c>
      <c r="P419" s="627" t="s">
        <v>1331</v>
      </c>
      <c r="Q419" s="611"/>
      <c r="R419" s="611"/>
      <c r="S419" s="611"/>
      <c r="T419" s="611"/>
      <c r="U419" s="611"/>
      <c r="V419" s="611"/>
      <c r="W419" s="611"/>
      <c r="X419" s="611"/>
      <c r="Y419" s="611"/>
      <c r="Z419" s="611"/>
      <c r="AA419" s="611"/>
    </row>
    <row r="420" spans="1:27" ht="12.4" customHeight="1">
      <c r="A420" s="611"/>
      <c r="B420" s="612"/>
      <c r="C420" s="611"/>
      <c r="D420" s="611"/>
      <c r="E420" s="611"/>
      <c r="F420" s="611"/>
      <c r="G420" s="611"/>
      <c r="H420" s="611"/>
      <c r="I420" s="611"/>
      <c r="J420" s="634" t="s">
        <v>881</v>
      </c>
      <c r="K420" s="635"/>
      <c r="L420" s="626"/>
      <c r="M420" s="627"/>
      <c r="N420" s="507" t="s">
        <v>1675</v>
      </c>
      <c r="O420" s="507" t="s">
        <v>2982</v>
      </c>
      <c r="P420" s="1580" t="s">
        <v>3242</v>
      </c>
      <c r="Q420" s="611"/>
      <c r="R420" s="611"/>
      <c r="S420" s="611"/>
      <c r="T420" s="611"/>
      <c r="U420" s="611"/>
      <c r="V420" s="611"/>
      <c r="W420" s="611"/>
      <c r="X420" s="611"/>
      <c r="Y420" s="611"/>
      <c r="Z420" s="611"/>
      <c r="AA420" s="611"/>
    </row>
    <row r="421" spans="1:27" ht="12.4" customHeight="1">
      <c r="A421" s="611"/>
      <c r="B421" s="612"/>
      <c r="C421" s="611"/>
      <c r="D421" s="611"/>
      <c r="E421" s="611"/>
      <c r="F421" s="611"/>
      <c r="G421" s="611"/>
      <c r="H421" s="611"/>
      <c r="I421" s="611"/>
      <c r="J421" s="634" t="s">
        <v>476</v>
      </c>
      <c r="K421" s="635"/>
      <c r="L421" s="626"/>
      <c r="M421" s="627"/>
      <c r="N421" s="636" t="s">
        <v>481</v>
      </c>
      <c r="O421" s="636" t="s">
        <v>1469</v>
      </c>
      <c r="P421" s="627" t="s">
        <v>1332</v>
      </c>
      <c r="Q421" s="611"/>
      <c r="R421" s="611"/>
      <c r="S421" s="611"/>
      <c r="T421" s="611"/>
      <c r="U421" s="611"/>
      <c r="V421" s="611"/>
      <c r="W421" s="611"/>
      <c r="X421" s="611"/>
      <c r="Y421" s="611"/>
      <c r="Z421" s="611"/>
      <c r="AA421" s="611"/>
    </row>
    <row r="422" spans="1:27" ht="12.4" customHeight="1">
      <c r="A422" s="611"/>
      <c r="B422" s="612"/>
      <c r="C422" s="611"/>
      <c r="D422" s="611"/>
      <c r="E422" s="611"/>
      <c r="F422" s="611"/>
      <c r="G422" s="611"/>
      <c r="H422" s="611"/>
      <c r="I422" s="611"/>
      <c r="J422" s="634" t="s">
        <v>478</v>
      </c>
      <c r="K422" s="635"/>
      <c r="L422" s="626"/>
      <c r="M422" s="627"/>
      <c r="N422" s="636" t="s">
        <v>2129</v>
      </c>
      <c r="O422" s="636" t="s">
        <v>3373</v>
      </c>
      <c r="P422" s="627" t="s">
        <v>1333</v>
      </c>
      <c r="Q422" s="611"/>
      <c r="R422" s="611"/>
      <c r="S422" s="611"/>
      <c r="T422" s="611"/>
      <c r="U422" s="611"/>
      <c r="V422" s="611"/>
      <c r="W422" s="611"/>
      <c r="X422" s="611"/>
      <c r="Y422" s="611"/>
      <c r="Z422" s="611"/>
      <c r="AA422" s="611"/>
    </row>
    <row r="423" spans="1:27" ht="12.4" customHeight="1">
      <c r="A423" s="611"/>
      <c r="B423" s="612"/>
      <c r="C423" s="611"/>
      <c r="D423" s="611"/>
      <c r="E423" s="611"/>
      <c r="F423" s="611"/>
      <c r="G423" s="611"/>
      <c r="H423" s="611"/>
      <c r="I423" s="611"/>
      <c r="J423" s="634" t="s">
        <v>480</v>
      </c>
      <c r="K423" s="635"/>
      <c r="L423" s="626"/>
      <c r="M423" s="627"/>
      <c r="N423" s="636" t="s">
        <v>2356</v>
      </c>
      <c r="O423" s="636" t="s">
        <v>232</v>
      </c>
      <c r="P423" s="627" t="s">
        <v>1334</v>
      </c>
      <c r="Q423" s="611"/>
      <c r="R423" s="611"/>
      <c r="S423" s="611"/>
      <c r="T423" s="611"/>
      <c r="U423" s="611"/>
      <c r="V423" s="611"/>
      <c r="W423" s="611"/>
      <c r="X423" s="611"/>
      <c r="Y423" s="611"/>
      <c r="Z423" s="611"/>
      <c r="AA423" s="611"/>
    </row>
    <row r="424" spans="1:27" ht="12.4" customHeight="1">
      <c r="A424" s="611"/>
      <c r="B424" s="612"/>
      <c r="C424" s="611"/>
      <c r="D424" s="611"/>
      <c r="E424" s="611"/>
      <c r="F424" s="611"/>
      <c r="G424" s="611"/>
      <c r="H424" s="611"/>
      <c r="I424" s="611"/>
      <c r="J424" s="634" t="s">
        <v>928</v>
      </c>
      <c r="K424" s="635"/>
      <c r="L424" s="626"/>
      <c r="M424" s="627"/>
      <c r="N424" s="636" t="s">
        <v>1624</v>
      </c>
      <c r="O424" s="636" t="s">
        <v>411</v>
      </c>
      <c r="P424" s="627" t="s">
        <v>1335</v>
      </c>
      <c r="Q424" s="611"/>
      <c r="R424" s="611"/>
      <c r="S424" s="611"/>
      <c r="T424" s="611"/>
      <c r="U424" s="611"/>
      <c r="V424" s="611"/>
      <c r="W424" s="611"/>
      <c r="X424" s="611"/>
      <c r="Y424" s="611"/>
      <c r="Z424" s="611"/>
      <c r="AA424" s="611"/>
    </row>
    <row r="425" spans="1:27" ht="12.4" customHeight="1">
      <c r="A425" s="611"/>
      <c r="B425" s="612"/>
      <c r="C425" s="611"/>
      <c r="D425" s="611"/>
      <c r="E425" s="611"/>
      <c r="F425" s="611"/>
      <c r="G425" s="611"/>
      <c r="H425" s="611"/>
      <c r="I425" s="611"/>
      <c r="J425" s="634" t="s">
        <v>2128</v>
      </c>
      <c r="K425" s="635"/>
      <c r="L425" s="626"/>
      <c r="M425" s="627"/>
      <c r="N425" s="636" t="s">
        <v>1626</v>
      </c>
      <c r="O425" s="636" t="s">
        <v>415</v>
      </c>
      <c r="P425" s="627" t="s">
        <v>1336</v>
      </c>
      <c r="Q425" s="611"/>
      <c r="R425" s="611"/>
      <c r="S425" s="611"/>
      <c r="T425" s="611"/>
      <c r="U425" s="611"/>
      <c r="V425" s="611"/>
      <c r="W425" s="611"/>
      <c r="X425" s="611"/>
      <c r="Y425" s="611"/>
      <c r="Z425" s="611"/>
      <c r="AA425" s="611"/>
    </row>
    <row r="426" spans="1:27" ht="12.4" customHeight="1">
      <c r="A426" s="611"/>
      <c r="B426" s="612"/>
      <c r="C426" s="611"/>
      <c r="D426" s="611"/>
      <c r="E426" s="611"/>
      <c r="F426" s="611"/>
      <c r="G426" s="611"/>
      <c r="H426" s="611"/>
      <c r="I426" s="611"/>
      <c r="J426" s="634" t="s">
        <v>2355</v>
      </c>
      <c r="K426" s="635"/>
      <c r="L426" s="626"/>
      <c r="M426" s="627"/>
      <c r="N426" s="507" t="s">
        <v>1676</v>
      </c>
      <c r="O426" s="507" t="s">
        <v>3085</v>
      </c>
      <c r="P426" s="1580" t="s">
        <v>3242</v>
      </c>
      <c r="Q426" s="611"/>
      <c r="R426" s="611"/>
      <c r="S426" s="611"/>
      <c r="T426" s="611"/>
      <c r="U426" s="611"/>
      <c r="V426" s="611"/>
      <c r="W426" s="611"/>
      <c r="X426" s="611"/>
      <c r="Y426" s="611"/>
      <c r="Z426" s="611"/>
      <c r="AA426" s="611"/>
    </row>
    <row r="427" spans="1:27" ht="12.4" customHeight="1">
      <c r="A427" s="611"/>
      <c r="B427" s="612"/>
      <c r="C427" s="611"/>
      <c r="D427" s="611"/>
      <c r="E427" s="611"/>
      <c r="F427" s="611"/>
      <c r="G427" s="611"/>
      <c r="H427" s="611"/>
      <c r="I427" s="611"/>
      <c r="J427" s="634" t="s">
        <v>1623</v>
      </c>
      <c r="K427" s="635"/>
      <c r="L427" s="626"/>
      <c r="M427" s="627"/>
      <c r="N427" s="636" t="s">
        <v>1628</v>
      </c>
      <c r="O427" s="636" t="s">
        <v>1868</v>
      </c>
      <c r="P427" s="627" t="s">
        <v>2553</v>
      </c>
      <c r="Q427" s="611"/>
      <c r="R427" s="611"/>
      <c r="S427" s="611"/>
      <c r="T427" s="611"/>
      <c r="U427" s="611"/>
      <c r="V427" s="611"/>
      <c r="W427" s="611"/>
      <c r="X427" s="611"/>
      <c r="Y427" s="611"/>
      <c r="Z427" s="611"/>
      <c r="AA427" s="611"/>
    </row>
    <row r="428" spans="1:27" ht="12.4" customHeight="1">
      <c r="A428" s="611"/>
      <c r="B428" s="612"/>
      <c r="C428" s="611"/>
      <c r="D428" s="611"/>
      <c r="E428" s="611"/>
      <c r="F428" s="611"/>
      <c r="G428" s="611"/>
      <c r="H428" s="611"/>
      <c r="I428" s="611"/>
      <c r="J428" s="634" t="s">
        <v>1625</v>
      </c>
      <c r="K428" s="635"/>
      <c r="L428" s="626"/>
      <c r="M428" s="627"/>
      <c r="N428" s="636" t="s">
        <v>410</v>
      </c>
      <c r="O428" s="636" t="s">
        <v>3819</v>
      </c>
      <c r="P428" s="627" t="s">
        <v>2554</v>
      </c>
      <c r="Q428" s="611"/>
      <c r="R428" s="611"/>
      <c r="S428" s="611"/>
      <c r="T428" s="611"/>
      <c r="U428" s="611"/>
      <c r="V428" s="611"/>
      <c r="W428" s="611"/>
      <c r="X428" s="611"/>
      <c r="Y428" s="611"/>
      <c r="Z428" s="611"/>
      <c r="AA428" s="611"/>
    </row>
    <row r="429" spans="1:27" ht="12.4" customHeight="1">
      <c r="A429" s="611"/>
      <c r="B429" s="612"/>
      <c r="C429" s="611"/>
      <c r="D429" s="611"/>
      <c r="E429" s="611"/>
      <c r="F429" s="611"/>
      <c r="G429" s="611"/>
      <c r="H429" s="611"/>
      <c r="I429" s="611"/>
      <c r="J429" s="634" t="s">
        <v>1627</v>
      </c>
      <c r="K429" s="635"/>
      <c r="L429" s="626"/>
      <c r="M429" s="627"/>
      <c r="N429" s="636" t="s">
        <v>2697</v>
      </c>
      <c r="O429" s="636" t="s">
        <v>3816</v>
      </c>
      <c r="P429" s="627" t="s">
        <v>2555</v>
      </c>
      <c r="Q429" s="611"/>
      <c r="R429" s="611"/>
      <c r="S429" s="611"/>
      <c r="T429" s="611"/>
      <c r="U429" s="611"/>
      <c r="V429" s="611"/>
      <c r="W429" s="611"/>
      <c r="X429" s="611"/>
      <c r="Y429" s="611"/>
      <c r="Z429" s="611"/>
      <c r="AA429" s="611"/>
    </row>
    <row r="430" spans="1:27" ht="12.4" customHeight="1">
      <c r="A430" s="611"/>
      <c r="B430" s="612"/>
      <c r="C430" s="611"/>
      <c r="D430" s="611"/>
      <c r="E430" s="611"/>
      <c r="F430" s="611"/>
      <c r="G430" s="611"/>
      <c r="H430" s="611"/>
      <c r="I430" s="611"/>
      <c r="J430" s="634" t="s">
        <v>2694</v>
      </c>
      <c r="K430" s="635"/>
      <c r="L430" s="626"/>
      <c r="M430" s="627"/>
      <c r="N430" s="636" t="s">
        <v>1455</v>
      </c>
      <c r="O430" s="636" t="s">
        <v>120</v>
      </c>
      <c r="P430" s="627" t="s">
        <v>2556</v>
      </c>
      <c r="Q430" s="611"/>
      <c r="R430" s="611"/>
      <c r="S430" s="611"/>
      <c r="T430" s="611"/>
      <c r="U430" s="611"/>
      <c r="V430" s="611"/>
      <c r="W430" s="611"/>
      <c r="X430" s="611"/>
      <c r="Y430" s="611"/>
      <c r="Z430" s="611"/>
      <c r="AA430" s="611"/>
    </row>
    <row r="431" spans="1:27" ht="12.4" customHeight="1">
      <c r="A431" s="611"/>
      <c r="B431" s="612"/>
      <c r="C431" s="611"/>
      <c r="D431" s="611"/>
      <c r="E431" s="611"/>
      <c r="F431" s="611"/>
      <c r="G431" s="611"/>
      <c r="H431" s="611"/>
      <c r="I431" s="611"/>
      <c r="J431" s="634" t="s">
        <v>2695</v>
      </c>
      <c r="K431" s="635"/>
      <c r="L431" s="626"/>
      <c r="M431" s="627"/>
      <c r="N431" s="636" t="s">
        <v>1457</v>
      </c>
      <c r="O431" s="636" t="s">
        <v>412</v>
      </c>
      <c r="P431" s="627" t="s">
        <v>2557</v>
      </c>
      <c r="Q431" s="611"/>
      <c r="R431" s="611"/>
      <c r="S431" s="611"/>
      <c r="T431" s="611"/>
      <c r="U431" s="611"/>
      <c r="V431" s="611"/>
      <c r="W431" s="611"/>
      <c r="X431" s="611"/>
      <c r="Y431" s="611"/>
      <c r="Z431" s="611"/>
      <c r="AA431" s="611"/>
    </row>
    <row r="432" spans="1:27" ht="12.4" customHeight="1">
      <c r="A432" s="611"/>
      <c r="B432" s="612"/>
      <c r="C432" s="611"/>
      <c r="D432" s="611"/>
      <c r="E432" s="611"/>
      <c r="F432" s="611"/>
      <c r="G432" s="611"/>
      <c r="H432" s="611"/>
      <c r="I432" s="611"/>
      <c r="J432" s="634" t="s">
        <v>2696</v>
      </c>
      <c r="K432" s="635"/>
      <c r="L432" s="626"/>
      <c r="M432" s="627"/>
      <c r="N432" s="636" t="s">
        <v>2769</v>
      </c>
      <c r="O432" s="636" t="s">
        <v>1731</v>
      </c>
      <c r="P432" s="627" t="s">
        <v>2558</v>
      </c>
      <c r="Q432" s="611"/>
      <c r="R432" s="611"/>
      <c r="S432" s="611"/>
      <c r="T432" s="611"/>
      <c r="U432" s="611"/>
      <c r="V432" s="611"/>
      <c r="W432" s="611"/>
      <c r="X432" s="611"/>
      <c r="Y432" s="611"/>
      <c r="Z432" s="611"/>
      <c r="AA432" s="611"/>
    </row>
    <row r="433" spans="1:27" ht="12.4" customHeight="1">
      <c r="A433" s="611"/>
      <c r="B433" s="612"/>
      <c r="C433" s="611"/>
      <c r="D433" s="611"/>
      <c r="E433" s="611"/>
      <c r="F433" s="611"/>
      <c r="G433" s="611"/>
      <c r="H433" s="611"/>
      <c r="I433" s="611"/>
      <c r="J433" s="634" t="s">
        <v>1454</v>
      </c>
      <c r="K433" s="635"/>
      <c r="L433" s="626"/>
      <c r="M433" s="627"/>
      <c r="N433" s="636" t="s">
        <v>968</v>
      </c>
      <c r="O433" s="636" t="s">
        <v>422</v>
      </c>
      <c r="P433" s="627" t="s">
        <v>2559</v>
      </c>
      <c r="Q433" s="611"/>
      <c r="R433" s="611"/>
      <c r="S433" s="611"/>
      <c r="T433" s="611"/>
      <c r="U433" s="611"/>
      <c r="V433" s="611"/>
      <c r="W433" s="611"/>
      <c r="X433" s="611"/>
      <c r="Y433" s="611"/>
      <c r="Z433" s="611"/>
      <c r="AA433" s="611"/>
    </row>
    <row r="434" spans="1:27" ht="12.4" customHeight="1">
      <c r="A434" s="611"/>
      <c r="B434" s="612"/>
      <c r="C434" s="611"/>
      <c r="D434" s="611"/>
      <c r="E434" s="611"/>
      <c r="F434" s="611"/>
      <c r="G434" s="611"/>
      <c r="H434" s="611"/>
      <c r="I434" s="611"/>
      <c r="J434" s="634" t="s">
        <v>1456</v>
      </c>
      <c r="K434" s="635"/>
      <c r="L434" s="626"/>
      <c r="M434" s="627"/>
      <c r="N434" s="636" t="s">
        <v>2750</v>
      </c>
      <c r="O434" s="636" t="s">
        <v>128</v>
      </c>
      <c r="P434" s="627" t="s">
        <v>2560</v>
      </c>
      <c r="Q434" s="611"/>
      <c r="R434" s="611"/>
      <c r="S434" s="611"/>
      <c r="T434" s="611"/>
      <c r="U434" s="611"/>
      <c r="V434" s="611"/>
      <c r="W434" s="611"/>
      <c r="X434" s="611"/>
      <c r="Y434" s="611"/>
      <c r="Z434" s="611"/>
      <c r="AA434" s="611"/>
    </row>
    <row r="435" spans="1:27" ht="12.4" customHeight="1">
      <c r="A435" s="611"/>
      <c r="B435" s="612"/>
      <c r="C435" s="611"/>
      <c r="D435" s="611"/>
      <c r="E435" s="611"/>
      <c r="F435" s="611"/>
      <c r="G435" s="611"/>
      <c r="H435" s="611"/>
      <c r="I435" s="611"/>
      <c r="J435" s="634" t="s">
        <v>1458</v>
      </c>
      <c r="K435" s="635"/>
      <c r="L435" s="626"/>
      <c r="M435" s="627"/>
      <c r="N435" s="636" t="s">
        <v>3428</v>
      </c>
      <c r="O435" s="636" t="s">
        <v>1463</v>
      </c>
      <c r="P435" s="627" t="s">
        <v>2561</v>
      </c>
      <c r="Q435" s="611"/>
      <c r="R435" s="611"/>
      <c r="S435" s="611"/>
      <c r="T435" s="611"/>
      <c r="U435" s="611"/>
      <c r="V435" s="611"/>
      <c r="W435" s="611"/>
      <c r="X435" s="611"/>
      <c r="Y435" s="611"/>
      <c r="Z435" s="611"/>
      <c r="AA435" s="611"/>
    </row>
    <row r="436" spans="1:27" ht="12.4" customHeight="1">
      <c r="A436" s="611"/>
      <c r="B436" s="612"/>
      <c r="C436" s="611"/>
      <c r="D436" s="611"/>
      <c r="E436" s="611"/>
      <c r="F436" s="611"/>
      <c r="G436" s="611"/>
      <c r="H436" s="611"/>
      <c r="I436" s="611"/>
      <c r="J436" s="634" t="s">
        <v>640</v>
      </c>
      <c r="K436" s="635"/>
      <c r="L436" s="626"/>
      <c r="M436" s="627"/>
      <c r="N436" s="636" t="s">
        <v>3084</v>
      </c>
      <c r="O436" s="636" t="s">
        <v>1741</v>
      </c>
      <c r="P436" s="627" t="s">
        <v>2562</v>
      </c>
      <c r="Q436" s="611"/>
      <c r="R436" s="611"/>
      <c r="S436" s="611"/>
      <c r="T436" s="611"/>
      <c r="U436" s="611"/>
      <c r="V436" s="611"/>
      <c r="W436" s="611"/>
      <c r="X436" s="611"/>
      <c r="Y436" s="611"/>
      <c r="Z436" s="611"/>
      <c r="AA436" s="611"/>
    </row>
    <row r="437" spans="1:27" ht="12.4" customHeight="1">
      <c r="A437" s="611"/>
      <c r="B437" s="612"/>
      <c r="C437" s="611"/>
      <c r="D437" s="611"/>
      <c r="E437" s="611"/>
      <c r="F437" s="611"/>
      <c r="G437" s="611"/>
      <c r="H437" s="611"/>
      <c r="I437" s="611"/>
      <c r="J437" s="634" t="s">
        <v>2749</v>
      </c>
      <c r="K437" s="635"/>
      <c r="L437" s="626"/>
      <c r="M437" s="627"/>
      <c r="N437" s="636" t="s">
        <v>1657</v>
      </c>
      <c r="O437" s="636" t="s">
        <v>2982</v>
      </c>
      <c r="P437" s="627" t="s">
        <v>2563</v>
      </c>
      <c r="Q437" s="611"/>
      <c r="R437" s="611"/>
      <c r="S437" s="611"/>
      <c r="T437" s="611"/>
      <c r="U437" s="611"/>
      <c r="V437" s="611"/>
      <c r="W437" s="611"/>
      <c r="X437" s="611"/>
      <c r="Y437" s="611"/>
      <c r="Z437" s="611"/>
      <c r="AA437" s="611"/>
    </row>
    <row r="438" spans="1:27" ht="12.4" customHeight="1">
      <c r="A438" s="611"/>
      <c r="B438" s="612"/>
      <c r="C438" s="611"/>
      <c r="D438" s="611"/>
      <c r="E438" s="611"/>
      <c r="F438" s="611"/>
      <c r="G438" s="611"/>
      <c r="H438" s="611"/>
      <c r="I438" s="611"/>
      <c r="J438" s="634" t="s">
        <v>3427</v>
      </c>
      <c r="K438" s="635"/>
      <c r="L438" s="626"/>
      <c r="M438" s="627"/>
      <c r="N438" s="636" t="s">
        <v>522</v>
      </c>
      <c r="O438" s="636" t="s">
        <v>241</v>
      </c>
      <c r="P438" s="627" t="s">
        <v>2564</v>
      </c>
      <c r="Q438" s="611"/>
      <c r="R438" s="611"/>
      <c r="S438" s="611"/>
      <c r="T438" s="611"/>
      <c r="U438" s="611"/>
      <c r="V438" s="611"/>
      <c r="W438" s="611"/>
      <c r="X438" s="611"/>
      <c r="Y438" s="611"/>
      <c r="Z438" s="611"/>
      <c r="AA438" s="611"/>
    </row>
    <row r="439" spans="1:27" ht="12.4" customHeight="1">
      <c r="A439" s="611"/>
      <c r="B439" s="612"/>
      <c r="C439" s="611"/>
      <c r="D439" s="611"/>
      <c r="E439" s="611"/>
      <c r="F439" s="611"/>
      <c r="G439" s="611"/>
      <c r="H439" s="611"/>
      <c r="I439" s="611"/>
      <c r="J439" s="634" t="s">
        <v>3083</v>
      </c>
      <c r="K439" s="635"/>
      <c r="L439" s="626"/>
      <c r="M439" s="627"/>
      <c r="N439" s="507" t="s">
        <v>1677</v>
      </c>
      <c r="O439" s="507" t="s">
        <v>1728</v>
      </c>
      <c r="P439" s="1580" t="s">
        <v>3242</v>
      </c>
      <c r="Q439" s="611"/>
      <c r="R439" s="611"/>
      <c r="S439" s="611"/>
      <c r="T439" s="611"/>
      <c r="U439" s="611"/>
      <c r="V439" s="611"/>
      <c r="W439" s="611"/>
      <c r="X439" s="611"/>
      <c r="Y439" s="611"/>
      <c r="Z439" s="611"/>
      <c r="AA439" s="611"/>
    </row>
    <row r="440" spans="1:27" ht="12.4" customHeight="1">
      <c r="A440" s="611"/>
      <c r="B440" s="612"/>
      <c r="C440" s="611"/>
      <c r="D440" s="611"/>
      <c r="E440" s="611"/>
      <c r="F440" s="611"/>
      <c r="G440" s="611"/>
      <c r="H440" s="611"/>
      <c r="I440" s="611"/>
      <c r="J440" s="634" t="s">
        <v>1656</v>
      </c>
      <c r="K440" s="635"/>
      <c r="L440" s="626"/>
      <c r="M440" s="627"/>
      <c r="N440" s="636" t="s">
        <v>525</v>
      </c>
      <c r="O440" s="636" t="s">
        <v>3276</v>
      </c>
      <c r="P440" s="627" t="s">
        <v>2565</v>
      </c>
      <c r="Q440" s="611"/>
      <c r="R440" s="611"/>
      <c r="S440" s="611"/>
      <c r="T440" s="611"/>
      <c r="U440" s="611"/>
      <c r="V440" s="611"/>
      <c r="W440" s="611"/>
      <c r="X440" s="611"/>
      <c r="Y440" s="611"/>
      <c r="Z440" s="611"/>
      <c r="AA440" s="611"/>
    </row>
    <row r="441" spans="1:27" ht="12.4" customHeight="1">
      <c r="A441" s="611"/>
      <c r="B441" s="612"/>
      <c r="C441" s="611"/>
      <c r="D441" s="611"/>
      <c r="E441" s="611"/>
      <c r="F441" s="611"/>
      <c r="G441" s="611"/>
      <c r="H441" s="611"/>
      <c r="I441" s="611"/>
      <c r="J441" s="634" t="s">
        <v>521</v>
      </c>
      <c r="K441" s="635"/>
      <c r="L441" s="626"/>
      <c r="M441" s="627"/>
      <c r="N441" s="636" t="s">
        <v>3016</v>
      </c>
      <c r="O441" s="636" t="s">
        <v>2182</v>
      </c>
      <c r="P441" s="627" t="s">
        <v>2566</v>
      </c>
      <c r="Q441" s="611"/>
      <c r="R441" s="611"/>
      <c r="S441" s="611"/>
      <c r="T441" s="611"/>
      <c r="U441" s="611"/>
      <c r="V441" s="611"/>
      <c r="W441" s="611"/>
      <c r="X441" s="611"/>
      <c r="Y441" s="611"/>
      <c r="Z441" s="611"/>
      <c r="AA441" s="611"/>
    </row>
    <row r="442" spans="1:27" ht="12.4" customHeight="1">
      <c r="A442" s="611"/>
      <c r="B442" s="612"/>
      <c r="C442" s="611"/>
      <c r="D442" s="611"/>
      <c r="E442" s="611"/>
      <c r="F442" s="611"/>
      <c r="G442" s="611"/>
      <c r="H442" s="611"/>
      <c r="I442" s="611"/>
      <c r="J442" s="634" t="s">
        <v>523</v>
      </c>
      <c r="K442" s="635"/>
      <c r="L442" s="626"/>
      <c r="M442" s="627"/>
      <c r="N442" s="636" t="s">
        <v>729</v>
      </c>
      <c r="O442" s="636" t="s">
        <v>3904</v>
      </c>
      <c r="P442" s="627" t="s">
        <v>2567</v>
      </c>
      <c r="Q442" s="611"/>
      <c r="R442" s="611"/>
      <c r="S442" s="611"/>
      <c r="T442" s="611"/>
      <c r="U442" s="611"/>
      <c r="V442" s="611"/>
      <c r="W442" s="611"/>
      <c r="X442" s="611"/>
      <c r="Y442" s="611"/>
      <c r="Z442" s="611"/>
      <c r="AA442" s="611"/>
    </row>
    <row r="443" spans="1:27" ht="12.4" customHeight="1">
      <c r="A443" s="611"/>
      <c r="B443" s="612"/>
      <c r="C443" s="611"/>
      <c r="D443" s="611"/>
      <c r="E443" s="611"/>
      <c r="F443" s="611"/>
      <c r="G443" s="611"/>
      <c r="H443" s="611"/>
      <c r="I443" s="611"/>
      <c r="J443" s="634" t="s">
        <v>524</v>
      </c>
      <c r="K443" s="635"/>
      <c r="L443" s="626"/>
      <c r="M443" s="627"/>
      <c r="N443" s="636" t="s">
        <v>3267</v>
      </c>
      <c r="O443" s="636" t="s">
        <v>2025</v>
      </c>
      <c r="P443" s="627" t="s">
        <v>2568</v>
      </c>
      <c r="Q443" s="611"/>
      <c r="R443" s="611"/>
      <c r="S443" s="611"/>
      <c r="T443" s="611"/>
      <c r="U443" s="611"/>
      <c r="V443" s="611"/>
      <c r="W443" s="611"/>
      <c r="X443" s="611"/>
      <c r="Y443" s="611"/>
      <c r="Z443" s="611"/>
      <c r="AA443" s="611"/>
    </row>
    <row r="444" spans="1:27" ht="12.4" customHeight="1">
      <c r="A444" s="611"/>
      <c r="B444" s="612"/>
      <c r="C444" s="611"/>
      <c r="D444" s="611"/>
      <c r="E444" s="611"/>
      <c r="F444" s="611"/>
      <c r="G444" s="611"/>
      <c r="H444" s="611"/>
      <c r="I444" s="611"/>
      <c r="J444" s="634" t="s">
        <v>3015</v>
      </c>
      <c r="K444" s="635"/>
      <c r="L444" s="626"/>
      <c r="M444" s="627"/>
      <c r="N444" s="636" t="s">
        <v>2632</v>
      </c>
      <c r="O444" s="636" t="s">
        <v>2986</v>
      </c>
      <c r="P444" s="627" t="s">
        <v>2569</v>
      </c>
      <c r="Q444" s="611"/>
      <c r="R444" s="611"/>
      <c r="S444" s="611"/>
      <c r="T444" s="611"/>
      <c r="U444" s="611"/>
      <c r="V444" s="611"/>
      <c r="W444" s="611"/>
      <c r="X444" s="611"/>
      <c r="Y444" s="611"/>
      <c r="Z444" s="611"/>
      <c r="AA444" s="611"/>
    </row>
    <row r="445" spans="1:27" ht="12.4" customHeight="1">
      <c r="A445" s="611"/>
      <c r="B445" s="612"/>
      <c r="C445" s="611"/>
      <c r="D445" s="611"/>
      <c r="E445" s="611"/>
      <c r="F445" s="611"/>
      <c r="G445" s="611"/>
      <c r="H445" s="611"/>
      <c r="I445" s="611"/>
      <c r="J445" s="634" t="s">
        <v>728</v>
      </c>
      <c r="K445" s="635"/>
      <c r="L445" s="626"/>
      <c r="M445" s="627"/>
      <c r="N445" s="636" t="s">
        <v>2634</v>
      </c>
      <c r="O445" s="636" t="s">
        <v>220</v>
      </c>
      <c r="P445" s="627" t="s">
        <v>2570</v>
      </c>
      <c r="Q445" s="611"/>
      <c r="R445" s="611"/>
      <c r="S445" s="611"/>
      <c r="T445" s="611"/>
      <c r="U445" s="611"/>
      <c r="V445" s="611"/>
      <c r="W445" s="611"/>
      <c r="X445" s="611"/>
      <c r="Y445" s="611"/>
      <c r="Z445" s="611"/>
      <c r="AA445" s="611"/>
    </row>
    <row r="446" spans="1:27" ht="12.4" customHeight="1">
      <c r="A446" s="611"/>
      <c r="B446" s="612"/>
      <c r="C446" s="611"/>
      <c r="D446" s="611"/>
      <c r="E446" s="611"/>
      <c r="F446" s="611"/>
      <c r="G446" s="611"/>
      <c r="H446" s="611"/>
      <c r="I446" s="611"/>
      <c r="J446" s="634" t="s">
        <v>3266</v>
      </c>
      <c r="K446" s="635"/>
      <c r="L446" s="626"/>
      <c r="M446" s="627"/>
      <c r="N446" s="636" t="s">
        <v>403</v>
      </c>
      <c r="O446" s="636" t="s">
        <v>213</v>
      </c>
      <c r="P446" s="627" t="s">
        <v>2571</v>
      </c>
      <c r="Q446" s="611"/>
      <c r="R446" s="611"/>
      <c r="S446" s="611"/>
      <c r="T446" s="611"/>
      <c r="U446" s="611"/>
      <c r="V446" s="611"/>
      <c r="W446" s="611"/>
      <c r="X446" s="611"/>
      <c r="Y446" s="611"/>
      <c r="Z446" s="611"/>
      <c r="AA446" s="611"/>
    </row>
    <row r="447" spans="1:27" ht="12.4" customHeight="1">
      <c r="A447" s="611"/>
      <c r="B447" s="612"/>
      <c r="C447" s="611"/>
      <c r="D447" s="611"/>
      <c r="E447" s="611"/>
      <c r="F447" s="611"/>
      <c r="G447" s="611"/>
      <c r="H447" s="611"/>
      <c r="I447" s="611"/>
      <c r="J447" s="634" t="s">
        <v>2631</v>
      </c>
      <c r="K447" s="635"/>
      <c r="L447" s="626"/>
      <c r="M447" s="627"/>
      <c r="N447" s="636" t="s">
        <v>405</v>
      </c>
      <c r="O447" s="636" t="s">
        <v>2012</v>
      </c>
      <c r="P447" s="627" t="s">
        <v>2572</v>
      </c>
      <c r="Q447" s="611"/>
      <c r="R447" s="611"/>
      <c r="S447" s="611"/>
      <c r="T447" s="611"/>
      <c r="U447" s="611"/>
      <c r="V447" s="611"/>
      <c r="W447" s="611"/>
      <c r="X447" s="611"/>
      <c r="Y447" s="611"/>
      <c r="Z447" s="611"/>
      <c r="AA447" s="611"/>
    </row>
    <row r="448" spans="1:27" ht="12.4" customHeight="1">
      <c r="A448" s="611"/>
      <c r="B448" s="612"/>
      <c r="C448" s="611"/>
      <c r="D448" s="611"/>
      <c r="E448" s="611"/>
      <c r="F448" s="611"/>
      <c r="G448" s="611"/>
      <c r="H448" s="611"/>
      <c r="I448" s="611"/>
      <c r="J448" s="634" t="s">
        <v>2633</v>
      </c>
      <c r="K448" s="635"/>
      <c r="L448" s="626"/>
      <c r="M448" s="627"/>
      <c r="N448" s="636" t="s">
        <v>1539</v>
      </c>
      <c r="O448" s="636" t="s">
        <v>3759</v>
      </c>
      <c r="P448" s="627" t="s">
        <v>2573</v>
      </c>
      <c r="Q448" s="611"/>
      <c r="R448" s="611"/>
      <c r="S448" s="611"/>
      <c r="T448" s="611"/>
      <c r="U448" s="611"/>
      <c r="V448" s="611"/>
      <c r="W448" s="611"/>
      <c r="X448" s="611"/>
      <c r="Y448" s="611"/>
      <c r="Z448" s="611"/>
      <c r="AA448" s="611"/>
    </row>
    <row r="449" spans="1:27" ht="12.4" customHeight="1">
      <c r="A449" s="611"/>
      <c r="B449" s="612"/>
      <c r="C449" s="611"/>
      <c r="D449" s="611"/>
      <c r="E449" s="611"/>
      <c r="F449" s="611"/>
      <c r="G449" s="611"/>
      <c r="H449" s="611"/>
      <c r="I449" s="611"/>
      <c r="J449" s="634" t="s">
        <v>402</v>
      </c>
      <c r="K449" s="635"/>
      <c r="L449" s="626"/>
      <c r="M449" s="627"/>
      <c r="N449" s="636" t="s">
        <v>3468</v>
      </c>
      <c r="O449" s="636" t="s">
        <v>419</v>
      </c>
      <c r="P449" s="627" t="s">
        <v>2574</v>
      </c>
      <c r="Q449" s="611"/>
      <c r="R449" s="611"/>
      <c r="S449" s="611"/>
      <c r="T449" s="611"/>
      <c r="U449" s="611"/>
      <c r="V449" s="611"/>
      <c r="W449" s="611"/>
      <c r="X449" s="611"/>
      <c r="Y449" s="611"/>
      <c r="Z449" s="611"/>
      <c r="AA449" s="611"/>
    </row>
    <row r="450" spans="1:27" ht="12.4" customHeight="1">
      <c r="A450" s="611"/>
      <c r="B450" s="612"/>
      <c r="C450" s="611"/>
      <c r="D450" s="611"/>
      <c r="E450" s="611"/>
      <c r="F450" s="611"/>
      <c r="G450" s="611"/>
      <c r="H450" s="611"/>
      <c r="I450" s="611"/>
      <c r="J450" s="634" t="s">
        <v>404</v>
      </c>
      <c r="K450" s="635"/>
      <c r="L450" s="626"/>
      <c r="M450" s="627"/>
      <c r="N450" s="636" t="s">
        <v>3448</v>
      </c>
      <c r="O450" s="636" t="s">
        <v>236</v>
      </c>
      <c r="P450" s="627" t="s">
        <v>2575</v>
      </c>
      <c r="Q450" s="611"/>
      <c r="R450" s="611"/>
      <c r="S450" s="611"/>
      <c r="T450" s="611"/>
      <c r="U450" s="611"/>
      <c r="V450" s="611"/>
      <c r="W450" s="611"/>
      <c r="X450" s="611"/>
      <c r="Y450" s="611"/>
      <c r="Z450" s="611"/>
      <c r="AA450" s="611"/>
    </row>
    <row r="451" spans="1:27" ht="12.4" customHeight="1">
      <c r="A451" s="611"/>
      <c r="B451" s="612"/>
      <c r="C451" s="611"/>
      <c r="D451" s="611"/>
      <c r="E451" s="611"/>
      <c r="F451" s="611"/>
      <c r="G451" s="611"/>
      <c r="H451" s="611"/>
      <c r="I451" s="611"/>
      <c r="J451" s="634" t="s">
        <v>1538</v>
      </c>
      <c r="K451" s="635"/>
      <c r="L451" s="626"/>
      <c r="M451" s="627"/>
      <c r="N451" s="636" t="s">
        <v>3450</v>
      </c>
      <c r="O451" s="636" t="s">
        <v>2022</v>
      </c>
      <c r="P451" s="627" t="s">
        <v>2576</v>
      </c>
      <c r="Q451" s="611"/>
      <c r="R451" s="611"/>
      <c r="S451" s="611"/>
      <c r="T451" s="611"/>
      <c r="U451" s="611"/>
      <c r="V451" s="611"/>
      <c r="W451" s="611"/>
      <c r="X451" s="611"/>
      <c r="Y451" s="611"/>
      <c r="Z451" s="611"/>
      <c r="AA451" s="611"/>
    </row>
    <row r="452" spans="1:27" ht="12.4" customHeight="1">
      <c r="A452" s="611"/>
      <c r="B452" s="612"/>
      <c r="C452" s="611"/>
      <c r="D452" s="611"/>
      <c r="E452" s="611"/>
      <c r="F452" s="611"/>
      <c r="G452" s="611"/>
      <c r="H452" s="611"/>
      <c r="I452" s="611"/>
      <c r="J452" s="634" t="s">
        <v>3466</v>
      </c>
      <c r="K452" s="635"/>
      <c r="L452" s="626"/>
      <c r="M452" s="627"/>
      <c r="N452" s="636" t="s">
        <v>789</v>
      </c>
      <c r="O452" s="636" t="s">
        <v>236</v>
      </c>
      <c r="P452" s="627" t="s">
        <v>2577</v>
      </c>
      <c r="Q452" s="611"/>
      <c r="R452" s="611"/>
      <c r="S452" s="611"/>
      <c r="T452" s="611"/>
      <c r="U452" s="611"/>
      <c r="V452" s="611"/>
      <c r="W452" s="611"/>
      <c r="X452" s="611"/>
      <c r="Y452" s="611"/>
      <c r="Z452" s="611"/>
      <c r="AA452" s="611"/>
    </row>
    <row r="453" spans="1:27" ht="12.4" customHeight="1">
      <c r="A453" s="611"/>
      <c r="B453" s="612"/>
      <c r="C453" s="611"/>
      <c r="D453" s="611"/>
      <c r="E453" s="611"/>
      <c r="F453" s="611"/>
      <c r="G453" s="611"/>
      <c r="H453" s="611"/>
      <c r="I453" s="611"/>
      <c r="J453" s="634" t="s">
        <v>3467</v>
      </c>
      <c r="K453" s="635"/>
      <c r="L453" s="626"/>
      <c r="M453" s="627"/>
      <c r="N453" s="507" t="s">
        <v>1678</v>
      </c>
      <c r="O453" s="507" t="s">
        <v>2271</v>
      </c>
      <c r="P453" s="1580" t="s">
        <v>3242</v>
      </c>
      <c r="Q453" s="611"/>
      <c r="R453" s="611"/>
      <c r="S453" s="611"/>
      <c r="T453" s="611"/>
      <c r="U453" s="611"/>
      <c r="V453" s="611"/>
      <c r="W453" s="611"/>
      <c r="X453" s="611"/>
      <c r="Y453" s="611"/>
      <c r="Z453" s="611"/>
      <c r="AA453" s="611"/>
    </row>
    <row r="454" spans="1:27" ht="12.4" customHeight="1">
      <c r="A454" s="611"/>
      <c r="B454" s="612"/>
      <c r="C454" s="611"/>
      <c r="D454" s="611"/>
      <c r="E454" s="611"/>
      <c r="F454" s="611"/>
      <c r="G454" s="611"/>
      <c r="H454" s="611"/>
      <c r="I454" s="611"/>
      <c r="J454" s="634" t="s">
        <v>3446</v>
      </c>
      <c r="K454" s="635"/>
      <c r="L454" s="626"/>
      <c r="M454" s="627"/>
      <c r="N454" s="636" t="s">
        <v>244</v>
      </c>
      <c r="O454" s="636" t="s">
        <v>3278</v>
      </c>
      <c r="P454" s="627" t="s">
        <v>244</v>
      </c>
      <c r="Q454" s="611"/>
      <c r="R454" s="611"/>
      <c r="S454" s="611"/>
      <c r="T454" s="611"/>
      <c r="U454" s="611"/>
      <c r="V454" s="611"/>
      <c r="W454" s="611"/>
      <c r="X454" s="611"/>
      <c r="Y454" s="611"/>
      <c r="Z454" s="611"/>
      <c r="AA454" s="611"/>
    </row>
    <row r="455" spans="1:27" ht="12.4" customHeight="1">
      <c r="A455" s="611"/>
      <c r="B455" s="612"/>
      <c r="C455" s="611"/>
      <c r="D455" s="611"/>
      <c r="E455" s="611"/>
      <c r="F455" s="611"/>
      <c r="G455" s="611"/>
      <c r="H455" s="611"/>
      <c r="I455" s="611"/>
      <c r="J455" s="634" t="s">
        <v>3447</v>
      </c>
      <c r="K455" s="635"/>
      <c r="L455" s="626"/>
      <c r="M455" s="627"/>
      <c r="N455" s="507" t="s">
        <v>1679</v>
      </c>
      <c r="O455" s="507" t="s">
        <v>3758</v>
      </c>
      <c r="P455" s="1580" t="s">
        <v>3242</v>
      </c>
      <c r="Q455" s="611"/>
      <c r="R455" s="611"/>
      <c r="S455" s="611"/>
      <c r="T455" s="611"/>
      <c r="U455" s="611"/>
      <c r="V455" s="611"/>
      <c r="W455" s="611"/>
      <c r="X455" s="611"/>
      <c r="Y455" s="611"/>
      <c r="Z455" s="611"/>
      <c r="AA455" s="611"/>
    </row>
    <row r="456" spans="1:27" ht="12.4" customHeight="1">
      <c r="A456" s="611"/>
      <c r="B456" s="612"/>
      <c r="C456" s="611"/>
      <c r="D456" s="611"/>
      <c r="E456" s="611"/>
      <c r="F456" s="611"/>
      <c r="G456" s="611"/>
      <c r="H456" s="611"/>
      <c r="I456" s="611"/>
      <c r="J456" s="634" t="s">
        <v>3449</v>
      </c>
      <c r="K456" s="635"/>
      <c r="L456" s="626"/>
      <c r="M456" s="627"/>
      <c r="N456" s="636" t="s">
        <v>3051</v>
      </c>
      <c r="O456" s="636" t="s">
        <v>3634</v>
      </c>
      <c r="P456" s="627" t="s">
        <v>2578</v>
      </c>
      <c r="Q456" s="611"/>
      <c r="R456" s="611"/>
      <c r="S456" s="611"/>
      <c r="T456" s="611"/>
      <c r="U456" s="611"/>
      <c r="V456" s="611"/>
      <c r="W456" s="611"/>
      <c r="X456" s="611"/>
      <c r="Y456" s="611"/>
      <c r="Z456" s="611"/>
      <c r="AA456" s="611"/>
    </row>
    <row r="457" spans="1:27" ht="12.4" customHeight="1">
      <c r="A457" s="611"/>
      <c r="B457" s="612"/>
      <c r="C457" s="611"/>
      <c r="D457" s="611"/>
      <c r="E457" s="611"/>
      <c r="F457" s="611"/>
      <c r="G457" s="611"/>
      <c r="H457" s="611"/>
      <c r="I457" s="611"/>
      <c r="J457" s="634" t="s">
        <v>788</v>
      </c>
      <c r="K457" s="635"/>
      <c r="L457" s="626"/>
      <c r="M457" s="627"/>
      <c r="N457" s="507" t="s">
        <v>1680</v>
      </c>
      <c r="O457" s="507" t="s">
        <v>215</v>
      </c>
      <c r="P457" s="1580" t="s">
        <v>3242</v>
      </c>
      <c r="Q457" s="611"/>
      <c r="R457" s="611"/>
      <c r="S457" s="611"/>
      <c r="T457" s="611"/>
      <c r="U457" s="611"/>
      <c r="V457" s="611"/>
      <c r="W457" s="611"/>
      <c r="X457" s="611"/>
      <c r="Y457" s="611"/>
      <c r="Z457" s="611"/>
      <c r="AA457" s="611"/>
    </row>
    <row r="458" spans="1:27" ht="12.4" customHeight="1">
      <c r="A458" s="611"/>
      <c r="B458" s="612"/>
      <c r="C458" s="611"/>
      <c r="D458" s="611"/>
      <c r="E458" s="611"/>
      <c r="F458" s="611"/>
      <c r="G458" s="611"/>
      <c r="H458" s="611"/>
      <c r="I458" s="611"/>
      <c r="J458" s="634" t="s">
        <v>243</v>
      </c>
      <c r="K458" s="635"/>
      <c r="L458" s="626"/>
      <c r="M458" s="627"/>
      <c r="N458" s="636" t="s">
        <v>3053</v>
      </c>
      <c r="O458" s="636" t="s">
        <v>3634</v>
      </c>
      <c r="P458" s="627" t="s">
        <v>2579</v>
      </c>
      <c r="Q458" s="611"/>
      <c r="R458" s="611"/>
      <c r="S458" s="611"/>
      <c r="T458" s="611"/>
      <c r="U458" s="611"/>
      <c r="V458" s="611"/>
      <c r="W458" s="611"/>
      <c r="X458" s="611"/>
      <c r="Y458" s="611"/>
      <c r="Z458" s="611"/>
      <c r="AA458" s="611"/>
    </row>
    <row r="459" spans="1:27" ht="12.4" customHeight="1">
      <c r="A459" s="611"/>
      <c r="B459" s="612"/>
      <c r="C459" s="611"/>
      <c r="D459" s="611"/>
      <c r="E459" s="611"/>
      <c r="F459" s="611"/>
      <c r="G459" s="611"/>
      <c r="H459" s="611"/>
      <c r="I459" s="611"/>
      <c r="J459" s="634" t="s">
        <v>3211</v>
      </c>
      <c r="K459" s="635"/>
      <c r="L459" s="626"/>
      <c r="M459" s="627"/>
      <c r="N459" s="636" t="s">
        <v>419</v>
      </c>
      <c r="O459" s="636" t="s">
        <v>2033</v>
      </c>
      <c r="P459" s="627" t="s">
        <v>2580</v>
      </c>
      <c r="Q459" s="611"/>
      <c r="R459" s="611"/>
      <c r="S459" s="611"/>
      <c r="T459" s="611"/>
      <c r="U459" s="611"/>
      <c r="V459" s="611"/>
      <c r="W459" s="611"/>
      <c r="X459" s="611"/>
      <c r="Y459" s="611"/>
      <c r="Z459" s="611"/>
      <c r="AA459" s="611"/>
    </row>
    <row r="460" spans="1:27" ht="12.4" customHeight="1">
      <c r="A460" s="611"/>
      <c r="B460" s="612"/>
      <c r="C460" s="611"/>
      <c r="D460" s="611"/>
      <c r="E460" s="611"/>
      <c r="F460" s="611"/>
      <c r="G460" s="611"/>
      <c r="H460" s="611"/>
      <c r="I460" s="611"/>
      <c r="J460" s="634" t="s">
        <v>3052</v>
      </c>
      <c r="K460" s="635"/>
      <c r="L460" s="626"/>
      <c r="M460" s="627"/>
      <c r="N460" s="636" t="s">
        <v>1788</v>
      </c>
      <c r="O460" s="636" t="s">
        <v>1463</v>
      </c>
      <c r="P460" s="627" t="s">
        <v>2581</v>
      </c>
      <c r="Q460" s="611"/>
      <c r="R460" s="611"/>
      <c r="S460" s="611"/>
      <c r="T460" s="611"/>
      <c r="U460" s="611"/>
      <c r="V460" s="611"/>
      <c r="W460" s="611"/>
      <c r="X460" s="611"/>
      <c r="Y460" s="611"/>
      <c r="Z460" s="611"/>
      <c r="AA460" s="611"/>
    </row>
    <row r="461" spans="1:27" ht="12.4" customHeight="1">
      <c r="A461" s="611"/>
      <c r="B461" s="612"/>
      <c r="C461" s="611"/>
      <c r="D461" s="611"/>
      <c r="E461" s="611"/>
      <c r="F461" s="611"/>
      <c r="G461" s="611"/>
      <c r="H461" s="611"/>
      <c r="I461" s="611"/>
      <c r="J461" s="634" t="s">
        <v>3054</v>
      </c>
      <c r="K461" s="635"/>
      <c r="L461" s="626"/>
      <c r="M461" s="627"/>
      <c r="N461" s="636" t="s">
        <v>1744</v>
      </c>
      <c r="O461" s="636" t="s">
        <v>1466</v>
      </c>
      <c r="P461" s="627" t="s">
        <v>2582</v>
      </c>
      <c r="Q461" s="611"/>
      <c r="R461" s="611"/>
      <c r="S461" s="611"/>
      <c r="T461" s="611"/>
      <c r="U461" s="611"/>
      <c r="V461" s="611"/>
      <c r="W461" s="611"/>
      <c r="X461" s="611"/>
      <c r="Y461" s="611"/>
      <c r="Z461" s="611"/>
      <c r="AA461" s="611"/>
    </row>
    <row r="462" spans="1:27" ht="12.4" customHeight="1">
      <c r="A462" s="611"/>
      <c r="B462" s="612"/>
      <c r="C462" s="611"/>
      <c r="D462" s="611"/>
      <c r="E462" s="611"/>
      <c r="F462" s="611"/>
      <c r="G462" s="611"/>
      <c r="H462" s="611"/>
      <c r="I462" s="611"/>
      <c r="J462" s="634" t="s">
        <v>1787</v>
      </c>
      <c r="K462" s="635"/>
      <c r="L462" s="626"/>
      <c r="M462" s="627"/>
      <c r="N462" s="636" t="s">
        <v>421</v>
      </c>
      <c r="O462" s="636" t="s">
        <v>1725</v>
      </c>
      <c r="P462" s="627" t="s">
        <v>2583</v>
      </c>
      <c r="Q462" s="611"/>
      <c r="R462" s="611"/>
      <c r="S462" s="611"/>
      <c r="T462" s="611"/>
      <c r="U462" s="611"/>
      <c r="V462" s="611"/>
      <c r="W462" s="611"/>
      <c r="X462" s="611"/>
      <c r="Y462" s="611"/>
      <c r="Z462" s="611"/>
      <c r="AA462" s="611"/>
    </row>
    <row r="463" spans="1:27" ht="12.4" customHeight="1">
      <c r="A463" s="611"/>
      <c r="B463" s="612"/>
      <c r="C463" s="611"/>
      <c r="D463" s="611"/>
      <c r="E463" s="611"/>
      <c r="F463" s="611"/>
      <c r="G463" s="611"/>
      <c r="H463" s="611"/>
      <c r="I463" s="611"/>
      <c r="J463" s="634" t="s">
        <v>1789</v>
      </c>
      <c r="K463" s="635"/>
      <c r="L463" s="626"/>
      <c r="M463" s="627"/>
      <c r="N463" s="636" t="s">
        <v>424</v>
      </c>
      <c r="O463" s="636" t="s">
        <v>419</v>
      </c>
      <c r="P463" s="627" t="s">
        <v>2584</v>
      </c>
      <c r="Q463" s="611"/>
      <c r="R463" s="611"/>
      <c r="S463" s="611"/>
      <c r="T463" s="611"/>
      <c r="U463" s="611"/>
      <c r="V463" s="611"/>
      <c r="W463" s="611"/>
      <c r="X463" s="611"/>
      <c r="Y463" s="611"/>
      <c r="Z463" s="611"/>
      <c r="AA463" s="611"/>
    </row>
    <row r="464" spans="1:27" ht="12.4" customHeight="1">
      <c r="A464" s="611"/>
      <c r="B464" s="612"/>
      <c r="C464" s="611"/>
      <c r="D464" s="611"/>
      <c r="E464" s="611"/>
      <c r="F464" s="611"/>
      <c r="G464" s="611"/>
      <c r="H464" s="611"/>
      <c r="I464" s="611"/>
      <c r="J464" s="634" t="s">
        <v>1745</v>
      </c>
      <c r="K464" s="635"/>
      <c r="L464" s="626"/>
      <c r="M464" s="627"/>
      <c r="N464" s="636" t="s">
        <v>83</v>
      </c>
      <c r="O464" s="636" t="s">
        <v>2990</v>
      </c>
      <c r="P464" s="627" t="s">
        <v>2585</v>
      </c>
      <c r="Q464" s="611"/>
      <c r="R464" s="611"/>
      <c r="S464" s="611"/>
      <c r="T464" s="611"/>
      <c r="U464" s="611"/>
      <c r="V464" s="611"/>
      <c r="W464" s="611"/>
      <c r="X464" s="611"/>
      <c r="Y464" s="611"/>
      <c r="Z464" s="611"/>
      <c r="AA464" s="611"/>
    </row>
    <row r="465" spans="1:27" ht="12.4" customHeight="1">
      <c r="A465" s="611"/>
      <c r="B465" s="612"/>
      <c r="C465" s="611"/>
      <c r="D465" s="611"/>
      <c r="E465" s="611"/>
      <c r="F465" s="611"/>
      <c r="G465" s="611"/>
      <c r="H465" s="611"/>
      <c r="I465" s="611"/>
      <c r="J465" s="634" t="s">
        <v>1746</v>
      </c>
      <c r="K465" s="635"/>
      <c r="L465" s="626"/>
      <c r="M465" s="627"/>
      <c r="N465" s="636" t="s">
        <v>3380</v>
      </c>
      <c r="O465" s="636" t="s">
        <v>2033</v>
      </c>
      <c r="P465" s="627" t="s">
        <v>2586</v>
      </c>
      <c r="Q465" s="611"/>
      <c r="R465" s="611"/>
      <c r="S465" s="611"/>
      <c r="T465" s="611"/>
      <c r="U465" s="611"/>
      <c r="V465" s="611"/>
      <c r="W465" s="611"/>
      <c r="X465" s="611"/>
      <c r="Y465" s="611"/>
      <c r="Z465" s="611"/>
      <c r="AA465" s="611"/>
    </row>
    <row r="466" spans="1:27" ht="12.4" customHeight="1">
      <c r="A466" s="611"/>
      <c r="B466" s="612"/>
      <c r="C466" s="611"/>
      <c r="D466" s="611"/>
      <c r="E466" s="611"/>
      <c r="F466" s="611"/>
      <c r="G466" s="611"/>
      <c r="H466" s="611"/>
      <c r="I466" s="611"/>
      <c r="J466" s="634" t="s">
        <v>82</v>
      </c>
      <c r="K466" s="635"/>
      <c r="L466" s="626"/>
      <c r="M466" s="627"/>
      <c r="N466" s="636" t="s">
        <v>2783</v>
      </c>
      <c r="O466" s="636" t="s">
        <v>3088</v>
      </c>
      <c r="P466" s="627" t="s">
        <v>2587</v>
      </c>
      <c r="Q466" s="611"/>
      <c r="R466" s="611"/>
      <c r="S466" s="611"/>
      <c r="T466" s="611"/>
      <c r="U466" s="611"/>
      <c r="V466" s="611"/>
      <c r="W466" s="611"/>
      <c r="X466" s="611"/>
      <c r="Y466" s="611"/>
      <c r="Z466" s="611"/>
      <c r="AA466" s="611"/>
    </row>
    <row r="467" spans="1:27" ht="12.4" customHeight="1">
      <c r="A467" s="611"/>
      <c r="B467" s="612"/>
      <c r="C467" s="611"/>
      <c r="D467" s="611"/>
      <c r="E467" s="611"/>
      <c r="F467" s="611"/>
      <c r="G467" s="611"/>
      <c r="H467" s="611"/>
      <c r="I467" s="611"/>
      <c r="J467" s="634" t="s">
        <v>472</v>
      </c>
      <c r="K467" s="635"/>
      <c r="L467" s="626"/>
      <c r="M467" s="627"/>
      <c r="N467" s="636" t="s">
        <v>2785</v>
      </c>
      <c r="O467" s="636" t="s">
        <v>122</v>
      </c>
      <c r="P467" s="627" t="s">
        <v>2588</v>
      </c>
      <c r="Q467" s="611"/>
      <c r="R467" s="611"/>
      <c r="S467" s="611"/>
      <c r="T467" s="611"/>
      <c r="U467" s="611"/>
      <c r="V467" s="611"/>
      <c r="W467" s="611"/>
      <c r="X467" s="611"/>
      <c r="Y467" s="611"/>
      <c r="Z467" s="611"/>
      <c r="AA467" s="611"/>
    </row>
    <row r="468" spans="1:27" ht="12.4" customHeight="1">
      <c r="A468" s="611"/>
      <c r="B468" s="612"/>
      <c r="C468" s="611"/>
      <c r="D468" s="611"/>
      <c r="E468" s="611"/>
      <c r="F468" s="611"/>
      <c r="G468" s="611"/>
      <c r="H468" s="611"/>
      <c r="I468" s="611"/>
      <c r="J468" s="634" t="s">
        <v>3379</v>
      </c>
      <c r="K468" s="635"/>
      <c r="L468" s="626"/>
      <c r="M468" s="627"/>
      <c r="N468" s="641" t="s">
        <v>1047</v>
      </c>
      <c r="O468" s="636" t="s">
        <v>1868</v>
      </c>
      <c r="P468" s="627" t="s">
        <v>2589</v>
      </c>
      <c r="Q468" s="611"/>
      <c r="R468" s="611"/>
      <c r="S468" s="611"/>
      <c r="T468" s="611"/>
      <c r="U468" s="611"/>
      <c r="V468" s="611"/>
      <c r="W468" s="611"/>
      <c r="X468" s="611"/>
      <c r="Y468" s="611"/>
      <c r="Z468" s="611"/>
      <c r="AA468" s="611"/>
    </row>
    <row r="469" spans="1:27" ht="12.4" customHeight="1">
      <c r="A469" s="611"/>
      <c r="B469" s="612"/>
      <c r="C469" s="611"/>
      <c r="D469" s="611"/>
      <c r="E469" s="611"/>
      <c r="F469" s="611"/>
      <c r="G469" s="611"/>
      <c r="H469" s="611"/>
      <c r="I469" s="611"/>
      <c r="J469" s="634" t="s">
        <v>2860</v>
      </c>
      <c r="K469" s="635"/>
      <c r="L469" s="626"/>
      <c r="M469" s="627"/>
      <c r="N469" s="636" t="s">
        <v>3558</v>
      </c>
      <c r="O469" s="636" t="s">
        <v>3758</v>
      </c>
      <c r="P469" s="627" t="s">
        <v>2590</v>
      </c>
      <c r="Q469" s="611"/>
      <c r="R469" s="611"/>
      <c r="S469" s="611"/>
      <c r="T469" s="611"/>
      <c r="U469" s="611"/>
      <c r="V469" s="611"/>
      <c r="W469" s="611"/>
      <c r="X469" s="611"/>
      <c r="Y469" s="611"/>
      <c r="Z469" s="611"/>
      <c r="AA469" s="611"/>
    </row>
    <row r="470" spans="1:27" ht="12.4" customHeight="1">
      <c r="A470" s="611"/>
      <c r="B470" s="612"/>
      <c r="C470" s="611"/>
      <c r="D470" s="611"/>
      <c r="E470" s="611"/>
      <c r="F470" s="611"/>
      <c r="G470" s="611"/>
      <c r="H470" s="611"/>
      <c r="I470" s="611"/>
      <c r="J470" s="634" t="s">
        <v>2784</v>
      </c>
      <c r="K470" s="635"/>
      <c r="L470" s="626"/>
      <c r="M470" s="627"/>
      <c r="N470" s="636" t="s">
        <v>3560</v>
      </c>
      <c r="O470" s="636" t="s">
        <v>3287</v>
      </c>
      <c r="P470" s="627" t="s">
        <v>3560</v>
      </c>
      <c r="Q470" s="611"/>
      <c r="R470" s="611"/>
      <c r="S470" s="611"/>
      <c r="T470" s="611"/>
      <c r="U470" s="611"/>
      <c r="V470" s="611"/>
      <c r="W470" s="611"/>
      <c r="X470" s="611"/>
      <c r="Y470" s="611"/>
      <c r="Z470" s="611"/>
      <c r="AA470" s="611"/>
    </row>
    <row r="471" spans="1:27" ht="12.4" customHeight="1">
      <c r="A471" s="611"/>
      <c r="B471" s="612"/>
      <c r="C471" s="611"/>
      <c r="D471" s="611"/>
      <c r="E471" s="611"/>
      <c r="F471" s="611"/>
      <c r="G471" s="611"/>
      <c r="H471" s="611"/>
      <c r="I471" s="611"/>
      <c r="J471" s="634" t="s">
        <v>362</v>
      </c>
      <c r="K471" s="635"/>
      <c r="L471" s="626"/>
      <c r="M471" s="627"/>
      <c r="N471" s="636" t="s">
        <v>700</v>
      </c>
      <c r="O471" s="636" t="s">
        <v>3761</v>
      </c>
      <c r="P471" s="627" t="s">
        <v>2591</v>
      </c>
      <c r="Q471" s="611"/>
      <c r="R471" s="611"/>
      <c r="S471" s="611"/>
      <c r="T471" s="611"/>
      <c r="U471" s="611"/>
      <c r="V471" s="611"/>
      <c r="W471" s="611"/>
      <c r="X471" s="611"/>
      <c r="Y471" s="611"/>
      <c r="Z471" s="611"/>
      <c r="AA471" s="611"/>
    </row>
    <row r="472" spans="1:27" ht="12.4" customHeight="1">
      <c r="A472" s="611"/>
      <c r="B472" s="612"/>
      <c r="C472" s="611"/>
      <c r="D472" s="611"/>
      <c r="E472" s="611"/>
      <c r="F472" s="611"/>
      <c r="G472" s="611"/>
      <c r="H472" s="611"/>
      <c r="I472" s="611"/>
      <c r="J472" s="634" t="s">
        <v>3559</v>
      </c>
      <c r="K472" s="635"/>
      <c r="L472" s="626"/>
      <c r="M472" s="627"/>
      <c r="N472" s="636" t="s">
        <v>702</v>
      </c>
      <c r="O472" s="636" t="s">
        <v>2031</v>
      </c>
      <c r="P472" s="627" t="s">
        <v>2592</v>
      </c>
      <c r="Q472" s="611"/>
      <c r="R472" s="611"/>
      <c r="S472" s="611"/>
      <c r="T472" s="611"/>
      <c r="U472" s="611"/>
      <c r="V472" s="611"/>
      <c r="W472" s="611"/>
      <c r="X472" s="611"/>
      <c r="Y472" s="611"/>
      <c r="Z472" s="611"/>
      <c r="AA472" s="611"/>
    </row>
    <row r="473" spans="1:27" ht="12.4" customHeight="1">
      <c r="A473" s="611"/>
      <c r="B473" s="612"/>
      <c r="C473" s="611"/>
      <c r="D473" s="611"/>
      <c r="E473" s="611"/>
      <c r="F473" s="611"/>
      <c r="G473" s="611"/>
      <c r="H473" s="611"/>
      <c r="I473" s="611"/>
      <c r="J473" s="634" t="s">
        <v>698</v>
      </c>
      <c r="K473" s="635"/>
      <c r="L473" s="626"/>
      <c r="M473" s="627"/>
      <c r="N473" s="507" t="s">
        <v>1681</v>
      </c>
      <c r="O473" s="507" t="s">
        <v>2036</v>
      </c>
      <c r="P473" s="1580" t="s">
        <v>3242</v>
      </c>
      <c r="Q473" s="611"/>
      <c r="R473" s="611"/>
      <c r="S473" s="611"/>
      <c r="T473" s="611"/>
      <c r="U473" s="611"/>
      <c r="V473" s="611"/>
      <c r="W473" s="611"/>
      <c r="X473" s="611"/>
      <c r="Y473" s="611"/>
      <c r="Z473" s="611"/>
      <c r="AA473" s="611"/>
    </row>
    <row r="474" spans="1:27" ht="12.4" customHeight="1">
      <c r="A474" s="611"/>
      <c r="B474" s="612"/>
      <c r="C474" s="611"/>
      <c r="D474" s="611"/>
      <c r="E474" s="611"/>
      <c r="F474" s="611"/>
      <c r="G474" s="611"/>
      <c r="H474" s="611"/>
      <c r="I474" s="611"/>
      <c r="J474" s="634" t="s">
        <v>699</v>
      </c>
      <c r="K474" s="635"/>
      <c r="L474" s="626"/>
      <c r="M474" s="627"/>
      <c r="N474" s="636" t="s">
        <v>704</v>
      </c>
      <c r="O474" s="636" t="s">
        <v>2036</v>
      </c>
      <c r="P474" s="627" t="s">
        <v>2593</v>
      </c>
      <c r="Q474" s="611"/>
      <c r="R474" s="611"/>
      <c r="S474" s="611"/>
      <c r="T474" s="611"/>
      <c r="U474" s="611"/>
      <c r="V474" s="611"/>
      <c r="W474" s="611"/>
      <c r="X474" s="611"/>
      <c r="Y474" s="611"/>
      <c r="Z474" s="611"/>
      <c r="AA474" s="611"/>
    </row>
    <row r="475" spans="1:27" ht="12.4" customHeight="1">
      <c r="A475" s="611"/>
      <c r="B475" s="612"/>
      <c r="C475" s="611"/>
      <c r="D475" s="611"/>
      <c r="E475" s="611"/>
      <c r="F475" s="611"/>
      <c r="G475" s="611"/>
      <c r="H475" s="611"/>
      <c r="I475" s="611"/>
      <c r="J475" s="634" t="s">
        <v>701</v>
      </c>
      <c r="K475" s="635"/>
      <c r="L475" s="626"/>
      <c r="M475" s="627"/>
      <c r="N475" s="636" t="s">
        <v>1919</v>
      </c>
      <c r="O475" s="636" t="s">
        <v>2016</v>
      </c>
      <c r="P475" s="627" t="s">
        <v>2594</v>
      </c>
      <c r="Q475" s="611"/>
      <c r="R475" s="611"/>
      <c r="S475" s="611"/>
      <c r="T475" s="611"/>
      <c r="U475" s="611"/>
      <c r="V475" s="611"/>
      <c r="W475" s="611"/>
      <c r="X475" s="611"/>
      <c r="Y475" s="611"/>
      <c r="Z475" s="611"/>
      <c r="AA475" s="611"/>
    </row>
    <row r="476" spans="1:27" ht="12.4" customHeight="1">
      <c r="A476" s="611"/>
      <c r="B476" s="612"/>
      <c r="C476" s="611"/>
      <c r="D476" s="611"/>
      <c r="E476" s="611"/>
      <c r="F476" s="611"/>
      <c r="G476" s="611"/>
      <c r="H476" s="611"/>
      <c r="I476" s="611"/>
      <c r="J476" s="634" t="s">
        <v>703</v>
      </c>
      <c r="K476" s="635"/>
      <c r="L476" s="626"/>
      <c r="M476" s="627"/>
      <c r="N476" s="636" t="s">
        <v>1921</v>
      </c>
      <c r="O476" s="636" t="s">
        <v>428</v>
      </c>
      <c r="P476" s="627" t="s">
        <v>2595</v>
      </c>
      <c r="Q476" s="611"/>
      <c r="R476" s="611"/>
      <c r="S476" s="611"/>
      <c r="T476" s="611"/>
      <c r="U476" s="611"/>
      <c r="V476" s="611"/>
      <c r="W476" s="611"/>
      <c r="X476" s="611"/>
      <c r="Y476" s="611"/>
      <c r="Z476" s="611"/>
      <c r="AA476" s="611"/>
    </row>
    <row r="477" spans="1:27" ht="12.4" customHeight="1">
      <c r="A477" s="611"/>
      <c r="B477" s="612"/>
      <c r="C477" s="611"/>
      <c r="D477" s="611"/>
      <c r="E477" s="611"/>
      <c r="F477" s="611"/>
      <c r="G477" s="611"/>
      <c r="H477" s="611"/>
      <c r="I477" s="611"/>
      <c r="J477" s="634" t="s">
        <v>1918</v>
      </c>
      <c r="K477" s="635"/>
      <c r="L477" s="626"/>
      <c r="M477" s="627"/>
      <c r="N477" s="636" t="s">
        <v>3073</v>
      </c>
      <c r="O477" s="636" t="s">
        <v>3087</v>
      </c>
      <c r="P477" s="627" t="s">
        <v>2596</v>
      </c>
      <c r="Q477" s="611"/>
      <c r="R477" s="611"/>
      <c r="S477" s="611"/>
      <c r="T477" s="611"/>
      <c r="U477" s="611"/>
      <c r="V477" s="611"/>
      <c r="W477" s="611"/>
      <c r="X477" s="611"/>
      <c r="Y477" s="611"/>
      <c r="Z477" s="611"/>
      <c r="AA477" s="611"/>
    </row>
    <row r="478" spans="1:27" ht="12.4" customHeight="1">
      <c r="A478" s="611"/>
      <c r="B478" s="612"/>
      <c r="C478" s="611"/>
      <c r="D478" s="611"/>
      <c r="E478" s="611"/>
      <c r="F478" s="611"/>
      <c r="G478" s="611"/>
      <c r="H478" s="611"/>
      <c r="I478" s="611"/>
      <c r="J478" s="634" t="s">
        <v>1920</v>
      </c>
      <c r="K478" s="635"/>
      <c r="L478" s="626"/>
      <c r="M478" s="627"/>
      <c r="N478" s="636" t="s">
        <v>86</v>
      </c>
      <c r="O478" s="636" t="s">
        <v>2986</v>
      </c>
      <c r="P478" s="627" t="s">
        <v>2597</v>
      </c>
      <c r="Q478" s="611"/>
      <c r="R478" s="611"/>
      <c r="S478" s="611"/>
      <c r="T478" s="611"/>
      <c r="U478" s="611"/>
      <c r="V478" s="611"/>
      <c r="W478" s="611"/>
      <c r="X478" s="611"/>
      <c r="Y478" s="611"/>
      <c r="Z478" s="611"/>
      <c r="AA478" s="611"/>
    </row>
    <row r="479" spans="1:27" ht="12.4" customHeight="1">
      <c r="A479" s="611"/>
      <c r="B479" s="612"/>
      <c r="C479" s="611"/>
      <c r="D479" s="611"/>
      <c r="E479" s="611"/>
      <c r="F479" s="611"/>
      <c r="G479" s="611"/>
      <c r="H479" s="611"/>
      <c r="I479" s="611"/>
      <c r="J479" s="634" t="s">
        <v>3071</v>
      </c>
      <c r="K479" s="635"/>
      <c r="L479" s="626"/>
      <c r="M479" s="627"/>
      <c r="N479" s="636" t="s">
        <v>969</v>
      </c>
      <c r="O479" s="636" t="s">
        <v>3758</v>
      </c>
      <c r="P479" s="627" t="s">
        <v>969</v>
      </c>
      <c r="Q479" s="611"/>
      <c r="R479" s="611"/>
      <c r="S479" s="611"/>
      <c r="T479" s="611"/>
      <c r="U479" s="611"/>
      <c r="V479" s="611"/>
      <c r="W479" s="611"/>
      <c r="X479" s="611"/>
      <c r="Y479" s="611"/>
      <c r="Z479" s="611"/>
      <c r="AA479" s="611"/>
    </row>
    <row r="480" spans="1:27" ht="12.4" customHeight="1">
      <c r="A480" s="611"/>
      <c r="B480" s="612"/>
      <c r="C480" s="611"/>
      <c r="D480" s="611"/>
      <c r="E480" s="611"/>
      <c r="F480" s="611"/>
      <c r="G480" s="611"/>
      <c r="H480" s="611"/>
      <c r="I480" s="611"/>
      <c r="J480" s="634" t="s">
        <v>3072</v>
      </c>
      <c r="K480" s="635"/>
      <c r="L480" s="626"/>
      <c r="M480" s="627"/>
      <c r="N480" s="636" t="s">
        <v>88</v>
      </c>
      <c r="O480" s="636" t="s">
        <v>232</v>
      </c>
      <c r="P480" s="627" t="s">
        <v>2598</v>
      </c>
      <c r="Q480" s="611"/>
      <c r="R480" s="611"/>
      <c r="S480" s="611"/>
      <c r="T480" s="611"/>
      <c r="U480" s="611"/>
      <c r="V480" s="611"/>
      <c r="W480" s="611"/>
      <c r="X480" s="611"/>
      <c r="Y480" s="611"/>
      <c r="Z480" s="611"/>
      <c r="AA480" s="611"/>
    </row>
    <row r="481" spans="1:27" ht="12.4" customHeight="1">
      <c r="A481" s="611"/>
      <c r="B481" s="612"/>
      <c r="C481" s="611"/>
      <c r="D481" s="611"/>
      <c r="E481" s="611"/>
      <c r="F481" s="611"/>
      <c r="G481" s="611"/>
      <c r="H481" s="611"/>
      <c r="I481" s="611"/>
      <c r="J481" s="634" t="s">
        <v>85</v>
      </c>
      <c r="K481" s="635"/>
      <c r="L481" s="626"/>
      <c r="M481" s="627"/>
      <c r="N481" s="636" t="s">
        <v>3657</v>
      </c>
      <c r="O481" s="636" t="s">
        <v>2178</v>
      </c>
      <c r="P481" s="627" t="s">
        <v>2599</v>
      </c>
      <c r="Q481" s="611"/>
      <c r="R481" s="611"/>
      <c r="S481" s="611"/>
      <c r="T481" s="611"/>
      <c r="U481" s="611"/>
      <c r="V481" s="611"/>
      <c r="W481" s="611"/>
      <c r="X481" s="611"/>
      <c r="Y481" s="611"/>
      <c r="Z481" s="611"/>
      <c r="AA481" s="611"/>
    </row>
    <row r="482" spans="1:27" ht="12.4" customHeight="1">
      <c r="A482" s="611"/>
      <c r="B482" s="612"/>
      <c r="C482" s="611"/>
      <c r="D482" s="611"/>
      <c r="E482" s="611"/>
      <c r="F482" s="611"/>
      <c r="G482" s="611"/>
      <c r="H482" s="611"/>
      <c r="I482" s="611"/>
      <c r="J482" s="634" t="s">
        <v>87</v>
      </c>
      <c r="K482" s="635"/>
      <c r="L482" s="626"/>
      <c r="M482" s="627"/>
      <c r="N482" s="507" t="s">
        <v>1682</v>
      </c>
      <c r="O482" s="507" t="s">
        <v>2271</v>
      </c>
      <c r="P482" s="1580" t="s">
        <v>3242</v>
      </c>
      <c r="Q482" s="611"/>
      <c r="R482" s="611"/>
      <c r="S482" s="611"/>
      <c r="T482" s="611"/>
      <c r="U482" s="611"/>
      <c r="V482" s="611"/>
      <c r="W482" s="611"/>
      <c r="X482" s="611"/>
      <c r="Y482" s="611"/>
      <c r="Z482" s="611"/>
      <c r="AA482" s="611"/>
    </row>
    <row r="483" spans="1:27" ht="12.4" customHeight="1">
      <c r="A483" s="611"/>
      <c r="B483" s="612"/>
      <c r="C483" s="611"/>
      <c r="D483" s="611"/>
      <c r="E483" s="611"/>
      <c r="F483" s="611"/>
      <c r="G483" s="611"/>
      <c r="H483" s="611"/>
      <c r="I483" s="611"/>
      <c r="J483" s="634" t="s">
        <v>3656</v>
      </c>
      <c r="K483" s="635"/>
      <c r="L483" s="626"/>
      <c r="M483" s="627"/>
      <c r="N483" s="507" t="s">
        <v>1683</v>
      </c>
      <c r="O483" s="507" t="s">
        <v>1742</v>
      </c>
      <c r="P483" s="1580" t="s">
        <v>3242</v>
      </c>
      <c r="Q483" s="611"/>
      <c r="R483" s="611"/>
      <c r="S483" s="611"/>
      <c r="T483" s="611"/>
      <c r="U483" s="611"/>
      <c r="V483" s="611"/>
      <c r="W483" s="611"/>
      <c r="X483" s="611"/>
      <c r="Y483" s="611"/>
      <c r="Z483" s="611"/>
      <c r="AA483" s="611"/>
    </row>
    <row r="484" spans="1:27" ht="12.4" customHeight="1">
      <c r="A484" s="611"/>
      <c r="B484" s="612"/>
      <c r="C484" s="611"/>
      <c r="D484" s="611"/>
      <c r="E484" s="611"/>
      <c r="F484" s="611"/>
      <c r="G484" s="611"/>
      <c r="H484" s="611"/>
      <c r="I484" s="611"/>
      <c r="J484" s="634" t="s">
        <v>3308</v>
      </c>
      <c r="K484" s="635"/>
      <c r="L484" s="626"/>
      <c r="M484" s="627"/>
      <c r="N484" s="636" t="s">
        <v>948</v>
      </c>
      <c r="O484" s="636" t="s">
        <v>1005</v>
      </c>
      <c r="P484" s="627" t="s">
        <v>2600</v>
      </c>
      <c r="Q484" s="611"/>
      <c r="R484" s="611"/>
      <c r="S484" s="611"/>
      <c r="T484" s="611"/>
      <c r="U484" s="611"/>
      <c r="V484" s="611"/>
      <c r="W484" s="611"/>
      <c r="X484" s="611"/>
      <c r="Y484" s="611"/>
      <c r="Z484" s="611"/>
      <c r="AA484" s="611"/>
    </row>
    <row r="485" spans="1:27" ht="12.4" customHeight="1">
      <c r="A485" s="611"/>
      <c r="B485" s="612"/>
      <c r="C485" s="611"/>
      <c r="D485" s="611"/>
      <c r="E485" s="611"/>
      <c r="F485" s="611"/>
      <c r="G485" s="611"/>
      <c r="H485" s="611"/>
      <c r="I485" s="611"/>
      <c r="J485" s="634" t="s">
        <v>3309</v>
      </c>
      <c r="K485" s="635"/>
      <c r="L485" s="626"/>
      <c r="M485" s="627"/>
      <c r="N485" s="636" t="s">
        <v>1576</v>
      </c>
      <c r="O485" s="636" t="s">
        <v>136</v>
      </c>
      <c r="P485" s="627" t="s">
        <v>2601</v>
      </c>
      <c r="Q485" s="611"/>
      <c r="R485" s="611"/>
      <c r="S485" s="611"/>
      <c r="T485" s="611"/>
      <c r="U485" s="611"/>
      <c r="V485" s="611"/>
      <c r="W485" s="611"/>
      <c r="X485" s="611"/>
      <c r="Y485" s="611"/>
      <c r="Z485" s="611"/>
      <c r="AA485" s="611"/>
    </row>
    <row r="486" spans="1:27" ht="12.4" customHeight="1">
      <c r="A486" s="611"/>
      <c r="B486" s="612"/>
      <c r="C486" s="611"/>
      <c r="D486" s="611"/>
      <c r="E486" s="611"/>
      <c r="F486" s="611"/>
      <c r="G486" s="611"/>
      <c r="H486" s="611"/>
      <c r="I486" s="611"/>
      <c r="J486" s="634" t="s">
        <v>1575</v>
      </c>
      <c r="K486" s="635"/>
      <c r="L486" s="626"/>
      <c r="M486" s="627"/>
      <c r="N486" s="636" t="s">
        <v>1578</v>
      </c>
      <c r="O486" s="636" t="s">
        <v>2034</v>
      </c>
      <c r="P486" s="627" t="s">
        <v>2602</v>
      </c>
      <c r="Q486" s="611"/>
      <c r="R486" s="611"/>
      <c r="S486" s="611"/>
      <c r="T486" s="611"/>
      <c r="U486" s="611"/>
      <c r="V486" s="611"/>
      <c r="W486" s="611"/>
      <c r="X486" s="611"/>
      <c r="Y486" s="611"/>
      <c r="Z486" s="611"/>
      <c r="AA486" s="611"/>
    </row>
    <row r="487" spans="1:27" ht="12.4" customHeight="1">
      <c r="A487" s="611"/>
      <c r="B487" s="612"/>
      <c r="C487" s="611"/>
      <c r="D487" s="611"/>
      <c r="E487" s="611"/>
      <c r="F487" s="611"/>
      <c r="G487" s="611"/>
      <c r="H487" s="611"/>
      <c r="I487" s="611"/>
      <c r="J487" s="634" t="s">
        <v>1577</v>
      </c>
      <c r="K487" s="635"/>
      <c r="L487" s="626"/>
      <c r="M487" s="627"/>
      <c r="N487" s="636" t="s">
        <v>2237</v>
      </c>
      <c r="O487" s="636" t="s">
        <v>2181</v>
      </c>
      <c r="P487" s="627" t="s">
        <v>2603</v>
      </c>
      <c r="Q487" s="611"/>
      <c r="R487" s="611"/>
      <c r="S487" s="611"/>
      <c r="T487" s="611"/>
      <c r="U487" s="611"/>
      <c r="V487" s="611"/>
      <c r="W487" s="611"/>
      <c r="X487" s="611"/>
      <c r="Y487" s="611"/>
      <c r="Z487" s="611"/>
      <c r="AA487" s="611"/>
    </row>
    <row r="488" spans="1:27" ht="12.4" customHeight="1">
      <c r="A488" s="611"/>
      <c r="B488" s="612"/>
      <c r="C488" s="611"/>
      <c r="D488" s="611"/>
      <c r="E488" s="611"/>
      <c r="F488" s="611"/>
      <c r="G488" s="611"/>
      <c r="H488" s="611"/>
      <c r="I488" s="611"/>
      <c r="J488" s="634" t="s">
        <v>2235</v>
      </c>
      <c r="K488" s="635"/>
      <c r="L488" s="626"/>
      <c r="M488" s="627"/>
      <c r="N488" s="636" t="s">
        <v>2239</v>
      </c>
      <c r="O488" s="636" t="s">
        <v>3817</v>
      </c>
      <c r="P488" s="627" t="s">
        <v>2604</v>
      </c>
      <c r="Q488" s="611"/>
      <c r="R488" s="611"/>
      <c r="S488" s="611"/>
      <c r="T488" s="611"/>
      <c r="U488" s="611"/>
      <c r="V488" s="611"/>
      <c r="W488" s="611"/>
      <c r="X488" s="611"/>
      <c r="Y488" s="611"/>
      <c r="Z488" s="611"/>
      <c r="AA488" s="611"/>
    </row>
    <row r="489" spans="1:27" ht="12.4" customHeight="1">
      <c r="A489" s="611"/>
      <c r="B489" s="612"/>
      <c r="C489" s="611"/>
      <c r="D489" s="611"/>
      <c r="E489" s="611"/>
      <c r="F489" s="611"/>
      <c r="G489" s="611"/>
      <c r="H489" s="611"/>
      <c r="I489" s="611"/>
      <c r="J489" s="634" t="s">
        <v>2236</v>
      </c>
      <c r="K489" s="635"/>
      <c r="L489" s="626"/>
      <c r="M489" s="627"/>
      <c r="N489" s="636" t="s">
        <v>2241</v>
      </c>
      <c r="O489" s="636" t="s">
        <v>3285</v>
      </c>
      <c r="P489" s="627" t="s">
        <v>2605</v>
      </c>
      <c r="Q489" s="611"/>
      <c r="R489" s="611"/>
      <c r="S489" s="611"/>
      <c r="T489" s="611"/>
      <c r="U489" s="611"/>
      <c r="V489" s="611"/>
      <c r="W489" s="611"/>
      <c r="X489" s="611"/>
      <c r="Y489" s="611"/>
      <c r="Z489" s="611"/>
      <c r="AA489" s="611"/>
    </row>
    <row r="490" spans="1:27" ht="12.4" customHeight="1">
      <c r="A490" s="611"/>
      <c r="B490" s="612"/>
      <c r="C490" s="611"/>
      <c r="D490" s="611"/>
      <c r="E490" s="611"/>
      <c r="F490" s="611"/>
      <c r="G490" s="611"/>
      <c r="H490" s="611"/>
      <c r="I490" s="611"/>
      <c r="J490" s="634" t="s">
        <v>2238</v>
      </c>
      <c r="K490" s="635"/>
      <c r="L490" s="626"/>
      <c r="M490" s="627"/>
      <c r="N490" s="636" t="s">
        <v>3485</v>
      </c>
      <c r="O490" s="636" t="s">
        <v>3903</v>
      </c>
      <c r="P490" s="627" t="s">
        <v>2606</v>
      </c>
      <c r="Q490" s="611"/>
      <c r="R490" s="611"/>
      <c r="S490" s="611"/>
      <c r="T490" s="611"/>
      <c r="U490" s="611"/>
      <c r="V490" s="611"/>
      <c r="W490" s="611"/>
      <c r="X490" s="611"/>
      <c r="Y490" s="611"/>
      <c r="Z490" s="611"/>
      <c r="AA490" s="611"/>
    </row>
    <row r="491" spans="1:27" ht="12.4" customHeight="1">
      <c r="A491" s="611"/>
      <c r="B491" s="612"/>
      <c r="C491" s="611"/>
      <c r="D491" s="611"/>
      <c r="E491" s="611"/>
      <c r="F491" s="611"/>
      <c r="G491" s="611"/>
      <c r="H491" s="611"/>
      <c r="I491" s="611"/>
      <c r="J491" s="634" t="s">
        <v>2240</v>
      </c>
      <c r="K491" s="635"/>
      <c r="L491" s="626"/>
      <c r="M491" s="627"/>
      <c r="N491" s="636" t="s">
        <v>3487</v>
      </c>
      <c r="O491" s="636" t="s">
        <v>136</v>
      </c>
      <c r="P491" s="627" t="s">
        <v>2607</v>
      </c>
      <c r="Q491" s="611"/>
      <c r="R491" s="611"/>
      <c r="S491" s="611"/>
      <c r="T491" s="611"/>
      <c r="U491" s="611"/>
      <c r="V491" s="611"/>
      <c r="W491" s="611"/>
      <c r="X491" s="611"/>
      <c r="Y491" s="611"/>
      <c r="Z491" s="611"/>
      <c r="AA491" s="611"/>
    </row>
    <row r="492" spans="1:27" ht="12.4" customHeight="1">
      <c r="A492" s="611"/>
      <c r="B492" s="612"/>
      <c r="C492" s="611"/>
      <c r="D492" s="611"/>
      <c r="E492" s="611"/>
      <c r="F492" s="611"/>
      <c r="G492" s="611"/>
      <c r="H492" s="611"/>
      <c r="I492" s="611"/>
      <c r="J492" s="634" t="s">
        <v>2242</v>
      </c>
      <c r="K492" s="635"/>
      <c r="L492" s="626"/>
      <c r="M492" s="627"/>
      <c r="N492" s="636" t="s">
        <v>1967</v>
      </c>
      <c r="O492" s="636" t="s">
        <v>1550</v>
      </c>
      <c r="P492" s="627" t="s">
        <v>2608</v>
      </c>
      <c r="Q492" s="611"/>
      <c r="R492" s="611"/>
      <c r="S492" s="611"/>
      <c r="T492" s="611"/>
      <c r="U492" s="611"/>
      <c r="V492" s="611"/>
      <c r="W492" s="611"/>
      <c r="X492" s="611"/>
      <c r="Y492" s="611"/>
      <c r="Z492" s="611"/>
      <c r="AA492" s="611"/>
    </row>
    <row r="493" spans="1:27" ht="12.4" customHeight="1">
      <c r="A493" s="611"/>
      <c r="B493" s="612"/>
      <c r="C493" s="611"/>
      <c r="D493" s="611"/>
      <c r="E493" s="611"/>
      <c r="F493" s="611"/>
      <c r="G493" s="611"/>
      <c r="H493" s="611"/>
      <c r="I493" s="611"/>
      <c r="J493" s="634" t="s">
        <v>3486</v>
      </c>
      <c r="K493" s="635"/>
      <c r="L493" s="626"/>
      <c r="M493" s="627"/>
      <c r="N493" s="507" t="s">
        <v>1684</v>
      </c>
      <c r="O493" s="507" t="s">
        <v>3085</v>
      </c>
      <c r="P493" s="1580" t="s">
        <v>3242</v>
      </c>
      <c r="Q493" s="611"/>
      <c r="R493" s="611"/>
      <c r="S493" s="611"/>
      <c r="T493" s="611"/>
      <c r="U493" s="611"/>
      <c r="V493" s="611"/>
      <c r="W493" s="611"/>
      <c r="X493" s="611"/>
      <c r="Y493" s="611"/>
      <c r="Z493" s="611"/>
      <c r="AA493" s="611"/>
    </row>
    <row r="494" spans="1:27" ht="12.4" customHeight="1">
      <c r="A494" s="611"/>
      <c r="B494" s="612"/>
      <c r="C494" s="611"/>
      <c r="D494" s="611"/>
      <c r="E494" s="611"/>
      <c r="F494" s="611"/>
      <c r="G494" s="611"/>
      <c r="H494" s="611"/>
      <c r="I494" s="611"/>
      <c r="J494" s="634" t="s">
        <v>3908</v>
      </c>
      <c r="K494" s="635"/>
      <c r="L494" s="626"/>
      <c r="M494" s="627"/>
      <c r="N494" s="636" t="s">
        <v>1969</v>
      </c>
      <c r="O494" s="636" t="s">
        <v>2183</v>
      </c>
      <c r="P494" s="627" t="s">
        <v>2609</v>
      </c>
      <c r="Q494" s="611"/>
      <c r="R494" s="611"/>
      <c r="S494" s="611"/>
      <c r="T494" s="611"/>
      <c r="U494" s="611"/>
      <c r="V494" s="611"/>
      <c r="W494" s="611"/>
      <c r="X494" s="611"/>
      <c r="Y494" s="611"/>
      <c r="Z494" s="611"/>
      <c r="AA494" s="611"/>
    </row>
    <row r="495" spans="1:27" ht="12.4" customHeight="1">
      <c r="A495" s="611"/>
      <c r="B495" s="612"/>
      <c r="C495" s="611"/>
      <c r="D495" s="611"/>
      <c r="E495" s="611"/>
      <c r="F495" s="611"/>
      <c r="G495" s="611"/>
      <c r="H495" s="611"/>
      <c r="I495" s="611"/>
      <c r="J495" s="634" t="s">
        <v>1968</v>
      </c>
      <c r="K495" s="635"/>
      <c r="L495" s="626"/>
      <c r="M495" s="627"/>
      <c r="N495" s="636" t="s">
        <v>1416</v>
      </c>
      <c r="O495" s="636" t="s">
        <v>3087</v>
      </c>
      <c r="P495" s="1579" t="s">
        <v>1413</v>
      </c>
      <c r="Q495" s="611"/>
      <c r="R495" s="611"/>
      <c r="S495" s="611"/>
      <c r="T495" s="611"/>
      <c r="U495" s="611"/>
      <c r="V495" s="611"/>
      <c r="W495" s="611"/>
      <c r="X495" s="611"/>
      <c r="Y495" s="611"/>
      <c r="Z495" s="611"/>
      <c r="AA495" s="611"/>
    </row>
    <row r="496" spans="1:27" ht="12.4" customHeight="1">
      <c r="A496" s="611"/>
      <c r="B496" s="612"/>
      <c r="C496" s="611"/>
      <c r="D496" s="611"/>
      <c r="E496" s="611"/>
      <c r="F496" s="611"/>
      <c r="G496" s="611"/>
      <c r="H496" s="611"/>
      <c r="I496" s="611"/>
      <c r="J496" s="634" t="s">
        <v>2259</v>
      </c>
      <c r="K496" s="635"/>
      <c r="L496" s="626"/>
      <c r="M496" s="627"/>
      <c r="N496" s="636" t="s">
        <v>1417</v>
      </c>
      <c r="O496" s="636" t="s">
        <v>1465</v>
      </c>
      <c r="P496" s="1579" t="s">
        <v>1413</v>
      </c>
      <c r="Q496" s="611"/>
      <c r="R496" s="611"/>
      <c r="S496" s="611"/>
      <c r="T496" s="611"/>
      <c r="U496" s="611"/>
      <c r="V496" s="611"/>
      <c r="W496" s="611"/>
      <c r="X496" s="611"/>
      <c r="Y496" s="611"/>
      <c r="Z496" s="611"/>
      <c r="AA496" s="611"/>
    </row>
    <row r="497" spans="1:27" ht="12.4" customHeight="1">
      <c r="A497" s="611"/>
      <c r="B497" s="612"/>
      <c r="C497" s="611"/>
      <c r="D497" s="611"/>
      <c r="E497" s="611"/>
      <c r="F497" s="611"/>
      <c r="G497" s="611"/>
      <c r="H497" s="611"/>
      <c r="I497" s="611"/>
      <c r="J497" s="634" t="s">
        <v>1402</v>
      </c>
      <c r="K497" s="635"/>
      <c r="L497" s="626"/>
      <c r="M497" s="627"/>
      <c r="N497" s="636" t="s">
        <v>1404</v>
      </c>
      <c r="O497" s="636" t="s">
        <v>965</v>
      </c>
      <c r="P497" s="627" t="s">
        <v>2610</v>
      </c>
      <c r="Q497" s="611"/>
      <c r="R497" s="611"/>
      <c r="S497" s="611"/>
      <c r="T497" s="611"/>
      <c r="U497" s="611"/>
      <c r="V497" s="611"/>
      <c r="W497" s="611"/>
      <c r="X497" s="611"/>
      <c r="Y497" s="611"/>
      <c r="Z497" s="611"/>
      <c r="AA497" s="611"/>
    </row>
    <row r="498" spans="1:27" ht="12.4" customHeight="1">
      <c r="A498" s="611"/>
      <c r="B498" s="612"/>
      <c r="C498" s="611"/>
      <c r="D498" s="611"/>
      <c r="E498" s="611"/>
      <c r="F498" s="611"/>
      <c r="G498" s="611"/>
      <c r="H498" s="611"/>
      <c r="I498" s="611"/>
      <c r="J498" s="634" t="s">
        <v>1403</v>
      </c>
      <c r="K498" s="635"/>
      <c r="L498" s="626"/>
      <c r="M498" s="627"/>
      <c r="N498" s="636" t="s">
        <v>1407</v>
      </c>
      <c r="O498" s="636" t="s">
        <v>415</v>
      </c>
      <c r="P498" s="627" t="s">
        <v>2611</v>
      </c>
      <c r="Q498" s="611"/>
      <c r="R498" s="611"/>
      <c r="S498" s="611"/>
      <c r="T498" s="611"/>
      <c r="U498" s="611"/>
      <c r="V498" s="611"/>
      <c r="W498" s="611"/>
      <c r="X498" s="611"/>
      <c r="Y498" s="611"/>
      <c r="Z498" s="611"/>
      <c r="AA498" s="611"/>
    </row>
    <row r="499" spans="1:27" ht="12.4" customHeight="1">
      <c r="A499" s="611"/>
      <c r="B499" s="612"/>
      <c r="C499" s="611"/>
      <c r="D499" s="611"/>
      <c r="E499" s="611"/>
      <c r="F499" s="611"/>
      <c r="G499" s="611"/>
      <c r="H499" s="611"/>
      <c r="I499" s="611"/>
      <c r="J499" s="634" t="s">
        <v>1405</v>
      </c>
      <c r="K499" s="635"/>
      <c r="L499" s="626"/>
      <c r="M499" s="627"/>
      <c r="N499" s="636" t="s">
        <v>135</v>
      </c>
      <c r="O499" s="636" t="s">
        <v>3088</v>
      </c>
      <c r="P499" s="627" t="s">
        <v>2612</v>
      </c>
      <c r="Q499" s="611"/>
      <c r="R499" s="611"/>
      <c r="S499" s="611"/>
      <c r="T499" s="611"/>
      <c r="U499" s="611"/>
      <c r="V499" s="611"/>
      <c r="W499" s="611"/>
      <c r="X499" s="611"/>
      <c r="Y499" s="611"/>
      <c r="Z499" s="611"/>
      <c r="AA499" s="611"/>
    </row>
    <row r="500" spans="1:27" ht="12.4" customHeight="1">
      <c r="A500" s="611"/>
      <c r="B500" s="612"/>
      <c r="C500" s="611"/>
      <c r="D500" s="611"/>
      <c r="E500" s="611"/>
      <c r="F500" s="611"/>
      <c r="G500" s="611"/>
      <c r="H500" s="611"/>
      <c r="I500" s="611"/>
      <c r="J500" s="634" t="s">
        <v>1406</v>
      </c>
      <c r="K500" s="635"/>
      <c r="L500" s="626"/>
      <c r="M500" s="627"/>
      <c r="N500" s="636" t="s">
        <v>319</v>
      </c>
      <c r="O500" s="636" t="s">
        <v>2940</v>
      </c>
      <c r="P500" s="627" t="s">
        <v>2613</v>
      </c>
      <c r="Q500" s="611"/>
      <c r="R500" s="611"/>
      <c r="S500" s="611"/>
      <c r="T500" s="611"/>
      <c r="U500" s="611"/>
      <c r="V500" s="611"/>
      <c r="W500" s="611"/>
      <c r="X500" s="611"/>
      <c r="Y500" s="611"/>
      <c r="Z500" s="611"/>
      <c r="AA500" s="611"/>
    </row>
    <row r="501" spans="1:27" ht="12.4" customHeight="1">
      <c r="A501" s="611"/>
      <c r="B501" s="612"/>
      <c r="C501" s="611"/>
      <c r="D501" s="611"/>
      <c r="E501" s="611"/>
      <c r="F501" s="611"/>
      <c r="G501" s="611"/>
      <c r="H501" s="611"/>
      <c r="I501" s="611"/>
      <c r="J501" s="634" t="s">
        <v>134</v>
      </c>
      <c r="K501" s="635"/>
      <c r="L501" s="626"/>
      <c r="M501" s="627"/>
      <c r="N501" s="636" t="s">
        <v>2256</v>
      </c>
      <c r="O501" s="636" t="s">
        <v>3087</v>
      </c>
      <c r="P501" s="627" t="s">
        <v>2614</v>
      </c>
      <c r="Q501" s="611"/>
      <c r="R501" s="611"/>
      <c r="S501" s="611"/>
      <c r="T501" s="611"/>
      <c r="U501" s="611"/>
      <c r="V501" s="611"/>
      <c r="W501" s="611"/>
      <c r="X501" s="611"/>
      <c r="Y501" s="611"/>
      <c r="Z501" s="611"/>
      <c r="AA501" s="611"/>
    </row>
    <row r="502" spans="1:27" ht="12.4" customHeight="1">
      <c r="A502" s="611"/>
      <c r="B502" s="612"/>
      <c r="C502" s="611"/>
      <c r="D502" s="611"/>
      <c r="E502" s="611"/>
      <c r="F502" s="611"/>
      <c r="G502" s="611"/>
      <c r="H502" s="611"/>
      <c r="I502" s="611"/>
      <c r="J502" s="634" t="s">
        <v>318</v>
      </c>
      <c r="K502" s="635"/>
      <c r="L502" s="626"/>
      <c r="M502" s="627"/>
      <c r="N502" s="636" t="s">
        <v>2260</v>
      </c>
      <c r="O502" s="636" t="s">
        <v>424</v>
      </c>
      <c r="P502" s="627" t="s">
        <v>2615</v>
      </c>
      <c r="Q502" s="611"/>
      <c r="R502" s="611"/>
      <c r="S502" s="611"/>
      <c r="T502" s="611"/>
      <c r="U502" s="611"/>
      <c r="V502" s="611"/>
      <c r="W502" s="611"/>
      <c r="X502" s="611"/>
      <c r="Y502" s="611"/>
      <c r="Z502" s="611"/>
      <c r="AA502" s="611"/>
    </row>
    <row r="503" spans="1:27" ht="12.4" customHeight="1">
      <c r="A503" s="611"/>
      <c r="B503" s="612"/>
      <c r="C503" s="611"/>
      <c r="D503" s="611"/>
      <c r="E503" s="611"/>
      <c r="F503" s="611"/>
      <c r="G503" s="611"/>
      <c r="H503" s="611"/>
      <c r="I503" s="611"/>
      <c r="J503" s="634" t="s">
        <v>2255</v>
      </c>
      <c r="K503" s="635"/>
      <c r="L503" s="626"/>
      <c r="M503" s="627"/>
      <c r="N503" s="636" t="s">
        <v>2262</v>
      </c>
      <c r="O503" s="636" t="s">
        <v>3758</v>
      </c>
      <c r="P503" s="627" t="s">
        <v>2616</v>
      </c>
      <c r="Q503" s="611"/>
      <c r="R503" s="611"/>
      <c r="S503" s="611"/>
      <c r="T503" s="611"/>
      <c r="U503" s="611"/>
      <c r="V503" s="611"/>
      <c r="W503" s="611"/>
      <c r="X503" s="611"/>
      <c r="Y503" s="611"/>
      <c r="Z503" s="611"/>
      <c r="AA503" s="611"/>
    </row>
    <row r="504" spans="1:27" ht="12.4" customHeight="1">
      <c r="A504" s="611"/>
      <c r="B504" s="612"/>
      <c r="C504" s="611"/>
      <c r="D504" s="611"/>
      <c r="E504" s="611"/>
      <c r="F504" s="611"/>
      <c r="G504" s="611"/>
      <c r="H504" s="611"/>
      <c r="I504" s="611"/>
      <c r="J504" s="634" t="s">
        <v>313</v>
      </c>
      <c r="K504" s="635"/>
      <c r="L504" s="626"/>
      <c r="M504" s="627"/>
      <c r="N504" s="636" t="s">
        <v>712</v>
      </c>
      <c r="O504" s="636" t="s">
        <v>2185</v>
      </c>
      <c r="P504" s="627" t="s">
        <v>2617</v>
      </c>
      <c r="Q504" s="611"/>
      <c r="R504" s="611"/>
      <c r="S504" s="611"/>
      <c r="T504" s="611"/>
      <c r="U504" s="611"/>
      <c r="V504" s="611"/>
      <c r="W504" s="611"/>
      <c r="X504" s="611"/>
      <c r="Y504" s="611"/>
      <c r="Z504" s="611"/>
      <c r="AA504" s="611"/>
    </row>
    <row r="505" spans="1:27" ht="12.4" customHeight="1">
      <c r="A505" s="611"/>
      <c r="B505" s="612"/>
      <c r="C505" s="611"/>
      <c r="D505" s="611"/>
      <c r="E505" s="611"/>
      <c r="F505" s="611"/>
      <c r="G505" s="611"/>
      <c r="H505" s="611"/>
      <c r="I505" s="611"/>
      <c r="J505" s="634" t="s">
        <v>2261</v>
      </c>
      <c r="K505" s="635"/>
      <c r="L505" s="626"/>
      <c r="M505" s="627"/>
      <c r="N505" s="636" t="s">
        <v>2102</v>
      </c>
      <c r="O505" s="636" t="s">
        <v>407</v>
      </c>
      <c r="P505" s="627" t="s">
        <v>2618</v>
      </c>
      <c r="Q505" s="611"/>
      <c r="R505" s="611"/>
      <c r="S505" s="611"/>
      <c r="T505" s="611"/>
      <c r="U505" s="611"/>
      <c r="V505" s="611"/>
      <c r="W505" s="611"/>
      <c r="X505" s="611"/>
      <c r="Y505" s="611"/>
      <c r="Z505" s="611"/>
      <c r="AA505" s="611"/>
    </row>
    <row r="506" spans="1:27" ht="12.4" customHeight="1">
      <c r="A506" s="611"/>
      <c r="B506" s="612"/>
      <c r="C506" s="611"/>
      <c r="D506" s="611"/>
      <c r="E506" s="611"/>
      <c r="F506" s="611"/>
      <c r="G506" s="611"/>
      <c r="H506" s="611"/>
      <c r="I506" s="611"/>
      <c r="J506" s="634" t="s">
        <v>2263</v>
      </c>
      <c r="K506" s="635"/>
      <c r="L506" s="626"/>
      <c r="M506" s="627"/>
      <c r="N506" s="636" t="s">
        <v>2104</v>
      </c>
      <c r="O506" s="636" t="s">
        <v>1463</v>
      </c>
      <c r="P506" s="627" t="s">
        <v>2104</v>
      </c>
      <c r="Q506" s="611"/>
      <c r="R506" s="611"/>
      <c r="S506" s="611"/>
      <c r="T506" s="611"/>
      <c r="U506" s="611"/>
      <c r="V506" s="611"/>
      <c r="W506" s="611"/>
      <c r="X506" s="611"/>
      <c r="Y506" s="611"/>
      <c r="Z506" s="611"/>
      <c r="AA506" s="611"/>
    </row>
    <row r="507" spans="1:27" ht="12.4" customHeight="1">
      <c r="A507" s="611"/>
      <c r="B507" s="612"/>
      <c r="C507" s="611"/>
      <c r="D507" s="611"/>
      <c r="E507" s="611"/>
      <c r="F507" s="611"/>
      <c r="G507" s="611"/>
      <c r="H507" s="611"/>
      <c r="I507" s="611"/>
      <c r="J507" s="634" t="s">
        <v>2101</v>
      </c>
      <c r="K507" s="635"/>
      <c r="L507" s="626"/>
      <c r="M507" s="627"/>
      <c r="N507" s="636" t="s">
        <v>233</v>
      </c>
      <c r="O507" s="636" t="s">
        <v>3283</v>
      </c>
      <c r="P507" s="627" t="s">
        <v>2619</v>
      </c>
      <c r="Q507" s="611"/>
      <c r="R507" s="611"/>
      <c r="S507" s="611"/>
      <c r="T507" s="611"/>
      <c r="U507" s="611"/>
      <c r="V507" s="611"/>
      <c r="W507" s="611"/>
      <c r="X507" s="611"/>
      <c r="Y507" s="611"/>
      <c r="Z507" s="611"/>
      <c r="AA507" s="611"/>
    </row>
    <row r="508" spans="1:27" ht="12.4" customHeight="1">
      <c r="A508" s="611"/>
      <c r="B508" s="612"/>
      <c r="C508" s="611"/>
      <c r="D508" s="611"/>
      <c r="E508" s="611"/>
      <c r="F508" s="611"/>
      <c r="G508" s="611"/>
      <c r="H508" s="611"/>
      <c r="I508" s="611"/>
      <c r="J508" s="634" t="s">
        <v>2103</v>
      </c>
      <c r="K508" s="635"/>
      <c r="L508" s="626"/>
      <c r="M508" s="627"/>
      <c r="N508" s="636" t="s">
        <v>2107</v>
      </c>
      <c r="O508" s="636" t="s">
        <v>2940</v>
      </c>
      <c r="P508" s="627" t="s">
        <v>2620</v>
      </c>
      <c r="Q508" s="611"/>
      <c r="R508" s="611"/>
      <c r="S508" s="611"/>
      <c r="T508" s="611"/>
      <c r="U508" s="611"/>
      <c r="V508" s="611"/>
      <c r="W508" s="611"/>
      <c r="X508" s="611"/>
      <c r="Y508" s="611"/>
      <c r="Z508" s="611"/>
      <c r="AA508" s="611"/>
    </row>
    <row r="509" spans="1:27" ht="12.4" customHeight="1">
      <c r="A509" s="611"/>
      <c r="B509" s="612"/>
      <c r="C509" s="611"/>
      <c r="D509" s="611"/>
      <c r="E509" s="611"/>
      <c r="F509" s="611"/>
      <c r="G509" s="611"/>
      <c r="H509" s="611"/>
      <c r="I509" s="611"/>
      <c r="J509" s="634" t="s">
        <v>2105</v>
      </c>
      <c r="K509" s="635"/>
      <c r="L509" s="626"/>
      <c r="M509" s="627"/>
      <c r="N509" s="636" t="s">
        <v>2109</v>
      </c>
      <c r="O509" s="636" t="s">
        <v>218</v>
      </c>
      <c r="P509" s="627" t="s">
        <v>2621</v>
      </c>
      <c r="Q509" s="611"/>
      <c r="R509" s="611"/>
      <c r="S509" s="611"/>
      <c r="T509" s="611"/>
      <c r="U509" s="611"/>
      <c r="V509" s="611"/>
      <c r="W509" s="611"/>
      <c r="X509" s="611"/>
      <c r="Y509" s="611"/>
      <c r="Z509" s="611"/>
      <c r="AA509" s="611"/>
    </row>
    <row r="510" spans="1:27" ht="12.4" customHeight="1">
      <c r="A510" s="611"/>
      <c r="B510" s="612"/>
      <c r="C510" s="611"/>
      <c r="D510" s="611"/>
      <c r="E510" s="611"/>
      <c r="F510" s="611"/>
      <c r="G510" s="611"/>
      <c r="H510" s="611"/>
      <c r="I510" s="611"/>
      <c r="J510" s="634" t="s">
        <v>2106</v>
      </c>
      <c r="K510" s="635"/>
      <c r="L510" s="626"/>
      <c r="M510" s="627"/>
      <c r="N510" s="636" t="s">
        <v>3771</v>
      </c>
      <c r="O510" s="636" t="s">
        <v>2980</v>
      </c>
      <c r="P510" s="627" t="s">
        <v>2622</v>
      </c>
      <c r="Q510" s="611"/>
      <c r="R510" s="611"/>
      <c r="S510" s="611"/>
      <c r="T510" s="611"/>
      <c r="U510" s="611"/>
      <c r="V510" s="611"/>
      <c r="W510" s="611"/>
      <c r="X510" s="611"/>
      <c r="Y510" s="611"/>
      <c r="Z510" s="611"/>
      <c r="AA510" s="611"/>
    </row>
    <row r="511" spans="1:27" ht="12.4" customHeight="1">
      <c r="A511" s="611"/>
      <c r="B511" s="612"/>
      <c r="C511" s="611"/>
      <c r="D511" s="611"/>
      <c r="E511" s="611"/>
      <c r="F511" s="611"/>
      <c r="G511" s="611"/>
      <c r="H511" s="611"/>
      <c r="I511" s="611"/>
      <c r="J511" s="634" t="s">
        <v>2108</v>
      </c>
      <c r="K511" s="635"/>
      <c r="L511" s="626"/>
      <c r="M511" s="627"/>
      <c r="N511" s="507" t="s">
        <v>1685</v>
      </c>
      <c r="O511" s="507" t="s">
        <v>3761</v>
      </c>
      <c r="P511" s="1580" t="s">
        <v>3242</v>
      </c>
      <c r="Q511" s="611"/>
      <c r="R511" s="611"/>
      <c r="S511" s="611"/>
      <c r="T511" s="611"/>
      <c r="U511" s="611"/>
      <c r="V511" s="611"/>
      <c r="W511" s="611"/>
      <c r="X511" s="611"/>
      <c r="Y511" s="611"/>
      <c r="Z511" s="611"/>
      <c r="AA511" s="611"/>
    </row>
    <row r="512" spans="1:27" ht="12.4" customHeight="1">
      <c r="A512" s="611"/>
      <c r="B512" s="612"/>
      <c r="C512" s="611"/>
      <c r="D512" s="611"/>
      <c r="E512" s="611"/>
      <c r="F512" s="611"/>
      <c r="G512" s="611"/>
      <c r="H512" s="611"/>
      <c r="I512" s="611"/>
      <c r="J512" s="634" t="s">
        <v>2110</v>
      </c>
      <c r="K512" s="635"/>
      <c r="L512" s="626"/>
      <c r="M512" s="627"/>
      <c r="N512" s="636" t="s">
        <v>2022</v>
      </c>
      <c r="O512" s="636" t="s">
        <v>2021</v>
      </c>
      <c r="P512" s="627" t="s">
        <v>2623</v>
      </c>
      <c r="Q512" s="611"/>
      <c r="R512" s="611"/>
      <c r="S512" s="611"/>
      <c r="T512" s="611"/>
      <c r="U512" s="611"/>
      <c r="V512" s="611"/>
      <c r="W512" s="611"/>
      <c r="X512" s="611"/>
      <c r="Y512" s="611"/>
      <c r="Z512" s="611"/>
      <c r="AA512" s="611"/>
    </row>
    <row r="513" spans="1:27" ht="12.4" customHeight="1">
      <c r="A513" s="611"/>
      <c r="B513" s="612"/>
      <c r="C513" s="611"/>
      <c r="D513" s="611"/>
      <c r="E513" s="611"/>
      <c r="F513" s="611"/>
      <c r="G513" s="611"/>
      <c r="H513" s="611"/>
      <c r="I513" s="611"/>
      <c r="J513" s="634" t="s">
        <v>2325</v>
      </c>
      <c r="K513" s="635"/>
      <c r="L513" s="626"/>
      <c r="M513" s="627"/>
      <c r="N513" s="636" t="s">
        <v>236</v>
      </c>
      <c r="O513" s="636" t="s">
        <v>3896</v>
      </c>
      <c r="P513" s="627" t="s">
        <v>2624</v>
      </c>
      <c r="Q513" s="611"/>
      <c r="R513" s="611"/>
      <c r="S513" s="611"/>
      <c r="T513" s="611"/>
      <c r="U513" s="611"/>
      <c r="V513" s="611"/>
      <c r="W513" s="611"/>
      <c r="X513" s="611"/>
      <c r="Y513" s="611"/>
      <c r="Z513" s="611"/>
      <c r="AA513" s="611"/>
    </row>
    <row r="514" spans="1:27" ht="12.4" customHeight="1">
      <c r="A514" s="611"/>
      <c r="B514" s="612"/>
      <c r="C514" s="611"/>
      <c r="D514" s="611"/>
      <c r="E514" s="611"/>
      <c r="F514" s="611"/>
      <c r="G514" s="611"/>
      <c r="H514" s="611"/>
      <c r="I514" s="611"/>
      <c r="J514" s="634" t="s">
        <v>2326</v>
      </c>
      <c r="K514" s="635"/>
      <c r="L514" s="626"/>
      <c r="M514" s="627"/>
      <c r="N514" s="636" t="s">
        <v>2329</v>
      </c>
      <c r="O514" s="636" t="s">
        <v>3291</v>
      </c>
      <c r="P514" s="627" t="s">
        <v>2351</v>
      </c>
      <c r="Q514" s="611"/>
      <c r="R514" s="611"/>
      <c r="S514" s="611"/>
      <c r="T514" s="611"/>
      <c r="U514" s="611"/>
      <c r="V514" s="611"/>
      <c r="W514" s="611"/>
      <c r="X514" s="611"/>
      <c r="Y514" s="611"/>
      <c r="Z514" s="611"/>
      <c r="AA514" s="611"/>
    </row>
    <row r="515" spans="1:27" ht="12.4" customHeight="1">
      <c r="A515" s="611"/>
      <c r="B515" s="612"/>
      <c r="C515" s="611"/>
      <c r="D515" s="611"/>
      <c r="E515" s="611"/>
      <c r="F515" s="611"/>
      <c r="G515" s="611"/>
      <c r="H515" s="611"/>
      <c r="I515" s="611"/>
      <c r="J515" s="634" t="s">
        <v>2327</v>
      </c>
      <c r="K515" s="635"/>
      <c r="L515" s="626"/>
      <c r="M515" s="627"/>
      <c r="N515" s="636" t="s">
        <v>2331</v>
      </c>
      <c r="O515" s="636" t="s">
        <v>2940</v>
      </c>
      <c r="P515" s="627" t="s">
        <v>2352</v>
      </c>
      <c r="Q515" s="611"/>
      <c r="R515" s="611"/>
      <c r="S515" s="611"/>
      <c r="T515" s="611"/>
      <c r="U515" s="611"/>
      <c r="V515" s="611"/>
      <c r="W515" s="611"/>
      <c r="X515" s="611"/>
      <c r="Y515" s="611"/>
      <c r="Z515" s="611"/>
      <c r="AA515" s="611"/>
    </row>
    <row r="516" spans="1:27" ht="12.4" customHeight="1">
      <c r="A516" s="611"/>
      <c r="B516" s="612"/>
      <c r="C516" s="611"/>
      <c r="D516" s="611"/>
      <c r="E516" s="611"/>
      <c r="F516" s="611"/>
      <c r="G516" s="611"/>
      <c r="H516" s="611"/>
      <c r="I516" s="611"/>
      <c r="J516" s="634" t="s">
        <v>2328</v>
      </c>
      <c r="K516" s="635"/>
      <c r="L516" s="626"/>
      <c r="M516" s="627"/>
      <c r="N516" s="636" t="s">
        <v>2334</v>
      </c>
      <c r="O516" s="636" t="s">
        <v>3901</v>
      </c>
      <c r="P516" s="627" t="s">
        <v>2353</v>
      </c>
      <c r="Q516" s="611"/>
      <c r="R516" s="611"/>
      <c r="S516" s="611"/>
      <c r="T516" s="611"/>
      <c r="U516" s="611"/>
      <c r="V516" s="611"/>
      <c r="W516" s="611"/>
      <c r="X516" s="611"/>
      <c r="Y516" s="611"/>
      <c r="Z516" s="611"/>
      <c r="AA516" s="611"/>
    </row>
    <row r="517" spans="1:27" ht="12.4" customHeight="1">
      <c r="A517" s="611"/>
      <c r="B517" s="612"/>
      <c r="C517" s="611"/>
      <c r="D517" s="611"/>
      <c r="E517" s="611"/>
      <c r="F517" s="611"/>
      <c r="G517" s="611"/>
      <c r="H517" s="611"/>
      <c r="I517" s="611"/>
      <c r="J517" s="634" t="s">
        <v>2330</v>
      </c>
      <c r="K517" s="635"/>
      <c r="L517" s="626"/>
      <c r="M517" s="627"/>
      <c r="N517" s="636" t="s">
        <v>482</v>
      </c>
      <c r="O517" s="636" t="s">
        <v>3761</v>
      </c>
      <c r="P517" s="627" t="s">
        <v>2354</v>
      </c>
      <c r="Q517" s="611"/>
      <c r="R517" s="611"/>
      <c r="S517" s="611"/>
      <c r="T517" s="611"/>
      <c r="U517" s="611"/>
      <c r="V517" s="611"/>
      <c r="W517" s="611"/>
      <c r="X517" s="611"/>
      <c r="Y517" s="611"/>
      <c r="Z517" s="611"/>
      <c r="AA517" s="611"/>
    </row>
    <row r="518" spans="1:27" ht="12.4" customHeight="1">
      <c r="A518" s="611"/>
      <c r="B518" s="612"/>
      <c r="C518" s="611"/>
      <c r="D518" s="611"/>
      <c r="E518" s="611"/>
      <c r="F518" s="611"/>
      <c r="G518" s="611"/>
      <c r="H518" s="611"/>
      <c r="I518" s="611"/>
      <c r="J518" s="634" t="s">
        <v>2332</v>
      </c>
      <c r="K518" s="635"/>
      <c r="L518" s="626"/>
      <c r="M518" s="627"/>
      <c r="N518" s="636" t="s">
        <v>484</v>
      </c>
      <c r="O518" s="636" t="s">
        <v>2022</v>
      </c>
      <c r="P518" s="627" t="s">
        <v>1096</v>
      </c>
      <c r="Q518" s="611"/>
      <c r="R518" s="611"/>
      <c r="S518" s="611"/>
      <c r="T518" s="611"/>
      <c r="U518" s="611"/>
      <c r="V518" s="611"/>
      <c r="W518" s="611"/>
      <c r="X518" s="611"/>
      <c r="Y518" s="611"/>
      <c r="Z518" s="611"/>
      <c r="AA518" s="611"/>
    </row>
    <row r="519" spans="1:27" ht="12.4" customHeight="1">
      <c r="A519" s="611"/>
      <c r="B519" s="612"/>
      <c r="C519" s="611"/>
      <c r="D519" s="611"/>
      <c r="E519" s="611"/>
      <c r="F519" s="611"/>
      <c r="G519" s="611"/>
      <c r="H519" s="611"/>
      <c r="I519" s="611"/>
      <c r="J519" s="634" t="s">
        <v>2333</v>
      </c>
      <c r="K519" s="635"/>
      <c r="L519" s="626"/>
      <c r="M519" s="627"/>
      <c r="N519" s="636" t="s">
        <v>316</v>
      </c>
      <c r="O519" s="636" t="s">
        <v>3281</v>
      </c>
      <c r="P519" s="627" t="s">
        <v>1097</v>
      </c>
      <c r="Q519" s="611"/>
      <c r="R519" s="611"/>
      <c r="S519" s="611"/>
      <c r="T519" s="611"/>
      <c r="U519" s="611"/>
      <c r="V519" s="611"/>
      <c r="W519" s="611"/>
      <c r="X519" s="611"/>
      <c r="Y519" s="611"/>
      <c r="Z519" s="611"/>
      <c r="AA519" s="611"/>
    </row>
    <row r="520" spans="1:27" ht="12.4" customHeight="1">
      <c r="A520" s="611"/>
      <c r="B520" s="612"/>
      <c r="C520" s="611"/>
      <c r="D520" s="611"/>
      <c r="E520" s="611"/>
      <c r="F520" s="611"/>
      <c r="G520" s="611"/>
      <c r="H520" s="611"/>
      <c r="I520" s="611"/>
      <c r="J520" s="634" t="s">
        <v>2335</v>
      </c>
      <c r="K520" s="635"/>
      <c r="L520" s="626"/>
      <c r="M520" s="627"/>
      <c r="N520" s="507" t="s">
        <v>2370</v>
      </c>
      <c r="O520" s="507" t="s">
        <v>3816</v>
      </c>
      <c r="P520" s="1580" t="s">
        <v>3242</v>
      </c>
      <c r="Q520" s="611"/>
      <c r="R520" s="611"/>
      <c r="S520" s="611"/>
      <c r="T520" s="611"/>
      <c r="U520" s="611"/>
      <c r="V520" s="611"/>
      <c r="W520" s="611"/>
      <c r="X520" s="611"/>
      <c r="Y520" s="611"/>
      <c r="Z520" s="611"/>
      <c r="AA520" s="611"/>
    </row>
    <row r="521" spans="1:27" ht="12.4" customHeight="1">
      <c r="A521" s="611"/>
      <c r="B521" s="612"/>
      <c r="C521" s="611"/>
      <c r="D521" s="611"/>
      <c r="E521" s="611"/>
      <c r="F521" s="611"/>
      <c r="G521" s="611"/>
      <c r="H521" s="611"/>
      <c r="I521" s="611"/>
      <c r="J521" s="634" t="s">
        <v>483</v>
      </c>
      <c r="K521" s="635"/>
      <c r="L521" s="626"/>
      <c r="M521" s="627"/>
      <c r="N521" s="636" t="s">
        <v>1718</v>
      </c>
      <c r="O521" s="636" t="s">
        <v>3903</v>
      </c>
      <c r="P521" s="627" t="s">
        <v>1098</v>
      </c>
      <c r="Q521" s="611"/>
      <c r="R521" s="611"/>
      <c r="S521" s="611"/>
      <c r="T521" s="611"/>
      <c r="U521" s="611"/>
      <c r="V521" s="611"/>
      <c r="W521" s="611"/>
      <c r="X521" s="611"/>
      <c r="Y521" s="611"/>
      <c r="Z521" s="611"/>
      <c r="AA521" s="611"/>
    </row>
    <row r="522" spans="1:27" ht="12.4" customHeight="1">
      <c r="A522" s="611"/>
      <c r="B522" s="612"/>
      <c r="C522" s="611"/>
      <c r="D522" s="611"/>
      <c r="E522" s="611"/>
      <c r="F522" s="611"/>
      <c r="G522" s="611"/>
      <c r="H522" s="611"/>
      <c r="I522" s="611"/>
      <c r="J522" s="634" t="s">
        <v>315</v>
      </c>
      <c r="K522" s="635"/>
      <c r="L522" s="626"/>
      <c r="M522" s="627"/>
      <c r="N522" s="636" t="s">
        <v>1720</v>
      </c>
      <c r="O522" s="636" t="s">
        <v>2012</v>
      </c>
      <c r="P522" s="627" t="s">
        <v>1099</v>
      </c>
      <c r="Q522" s="611"/>
      <c r="R522" s="611"/>
      <c r="S522" s="611"/>
      <c r="T522" s="611"/>
      <c r="U522" s="611"/>
      <c r="V522" s="611"/>
      <c r="W522" s="611"/>
      <c r="X522" s="611"/>
      <c r="Y522" s="611"/>
      <c r="Z522" s="611"/>
      <c r="AA522" s="611"/>
    </row>
    <row r="523" spans="1:27" ht="12.4" customHeight="1">
      <c r="A523" s="611"/>
      <c r="B523" s="612"/>
      <c r="C523" s="611"/>
      <c r="D523" s="611"/>
      <c r="E523" s="611"/>
      <c r="F523" s="611"/>
      <c r="G523" s="611"/>
      <c r="H523" s="611"/>
      <c r="I523" s="611"/>
      <c r="J523" s="634" t="s">
        <v>317</v>
      </c>
      <c r="K523" s="635"/>
      <c r="L523" s="626"/>
      <c r="M523" s="627"/>
      <c r="N523" s="636" t="s">
        <v>1722</v>
      </c>
      <c r="O523" s="636" t="s">
        <v>1000</v>
      </c>
      <c r="P523" s="627" t="s">
        <v>1100</v>
      </c>
      <c r="Q523" s="611"/>
      <c r="R523" s="611"/>
      <c r="S523" s="611"/>
      <c r="T523" s="611"/>
      <c r="U523" s="611"/>
      <c r="V523" s="611"/>
      <c r="W523" s="611"/>
      <c r="X523" s="611"/>
      <c r="Y523" s="611"/>
      <c r="Z523" s="611"/>
      <c r="AA523" s="611"/>
    </row>
    <row r="524" spans="1:27" ht="12.4" customHeight="1">
      <c r="A524" s="611"/>
      <c r="B524" s="612"/>
      <c r="C524" s="611"/>
      <c r="D524" s="611"/>
      <c r="E524" s="611"/>
      <c r="F524" s="611"/>
      <c r="G524" s="611"/>
      <c r="H524" s="611"/>
      <c r="I524" s="611"/>
      <c r="J524" s="634" t="s">
        <v>16</v>
      </c>
      <c r="K524" s="635"/>
      <c r="L524" s="626"/>
      <c r="M524" s="627"/>
      <c r="N524" s="636" t="s">
        <v>336</v>
      </c>
      <c r="O524" s="636" t="s">
        <v>415</v>
      </c>
      <c r="P524" s="627" t="s">
        <v>1101</v>
      </c>
      <c r="Q524" s="611"/>
      <c r="R524" s="611"/>
      <c r="S524" s="611"/>
      <c r="T524" s="611"/>
      <c r="U524" s="611"/>
      <c r="V524" s="611"/>
      <c r="W524" s="611"/>
      <c r="X524" s="611"/>
      <c r="Y524" s="611"/>
      <c r="Z524" s="611"/>
      <c r="AA524" s="611"/>
    </row>
    <row r="525" spans="1:27" ht="12.4" customHeight="1">
      <c r="A525" s="611"/>
      <c r="B525" s="612"/>
      <c r="C525" s="611"/>
      <c r="D525" s="611"/>
      <c r="E525" s="611"/>
      <c r="F525" s="611"/>
      <c r="G525" s="611"/>
      <c r="H525" s="611"/>
      <c r="I525" s="611"/>
      <c r="J525" s="634" t="s">
        <v>1717</v>
      </c>
      <c r="K525" s="635"/>
      <c r="L525" s="626"/>
      <c r="M525" s="627"/>
      <c r="N525" s="636" t="s">
        <v>338</v>
      </c>
      <c r="O525" s="636" t="s">
        <v>3634</v>
      </c>
      <c r="P525" s="627" t="s">
        <v>1102</v>
      </c>
      <c r="Q525" s="611"/>
      <c r="R525" s="611"/>
      <c r="S525" s="611"/>
      <c r="T525" s="611"/>
      <c r="U525" s="611"/>
      <c r="V525" s="611"/>
      <c r="W525" s="611"/>
      <c r="X525" s="611"/>
      <c r="Y525" s="611"/>
      <c r="Z525" s="611"/>
      <c r="AA525" s="611"/>
    </row>
    <row r="526" spans="1:27" ht="12.4" customHeight="1">
      <c r="A526" s="611"/>
      <c r="B526" s="612"/>
      <c r="C526" s="611"/>
      <c r="D526" s="611"/>
      <c r="E526" s="611"/>
      <c r="F526" s="611"/>
      <c r="G526" s="611"/>
      <c r="H526" s="611"/>
      <c r="I526" s="611"/>
      <c r="J526" s="634" t="s">
        <v>1719</v>
      </c>
      <c r="K526" s="635"/>
      <c r="L526" s="626"/>
      <c r="M526" s="627"/>
      <c r="N526" s="636" t="s">
        <v>2534</v>
      </c>
      <c r="O526" s="636" t="s">
        <v>1463</v>
      </c>
      <c r="P526" s="627" t="s">
        <v>1103</v>
      </c>
      <c r="Q526" s="611"/>
      <c r="R526" s="611"/>
      <c r="S526" s="611"/>
      <c r="T526" s="611"/>
      <c r="U526" s="611"/>
      <c r="V526" s="611"/>
      <c r="W526" s="611"/>
      <c r="X526" s="611"/>
      <c r="Y526" s="611"/>
      <c r="Z526" s="611"/>
      <c r="AA526" s="611"/>
    </row>
    <row r="527" spans="1:27" ht="12.4" customHeight="1">
      <c r="A527" s="611"/>
      <c r="B527" s="612"/>
      <c r="C527" s="611"/>
      <c r="D527" s="611"/>
      <c r="E527" s="611"/>
      <c r="F527" s="611"/>
      <c r="G527" s="611"/>
      <c r="H527" s="611"/>
      <c r="I527" s="611"/>
      <c r="J527" s="634" t="s">
        <v>1721</v>
      </c>
      <c r="K527" s="635"/>
      <c r="L527" s="626"/>
      <c r="M527" s="627"/>
      <c r="N527" s="636" t="s">
        <v>3470</v>
      </c>
      <c r="O527" s="636" t="s">
        <v>1728</v>
      </c>
      <c r="P527" s="627" t="s">
        <v>1104</v>
      </c>
      <c r="Q527" s="611"/>
      <c r="R527" s="611"/>
      <c r="S527" s="611"/>
      <c r="T527" s="611"/>
      <c r="U527" s="611"/>
      <c r="V527" s="611"/>
      <c r="W527" s="611"/>
      <c r="X527" s="611"/>
      <c r="Y527" s="611"/>
      <c r="Z527" s="611"/>
      <c r="AA527" s="611"/>
    </row>
    <row r="528" spans="1:27" ht="12.4" customHeight="1">
      <c r="A528" s="611"/>
      <c r="B528" s="612"/>
      <c r="C528" s="611"/>
      <c r="D528" s="611"/>
      <c r="E528" s="611"/>
      <c r="F528" s="611"/>
      <c r="G528" s="611"/>
      <c r="H528" s="611"/>
      <c r="I528" s="611"/>
      <c r="J528" s="634" t="s">
        <v>335</v>
      </c>
      <c r="K528" s="635"/>
      <c r="L528" s="626"/>
      <c r="M528" s="627"/>
      <c r="N528" s="636" t="s">
        <v>711</v>
      </c>
      <c r="O528" s="636" t="s">
        <v>2663</v>
      </c>
      <c r="P528" s="627" t="s">
        <v>1105</v>
      </c>
      <c r="Q528" s="611"/>
      <c r="R528" s="611"/>
      <c r="S528" s="611"/>
      <c r="T528" s="611"/>
      <c r="U528" s="611"/>
      <c r="V528" s="611"/>
      <c r="W528" s="611"/>
      <c r="X528" s="611"/>
      <c r="Y528" s="611"/>
      <c r="Z528" s="611"/>
      <c r="AA528" s="611"/>
    </row>
    <row r="529" spans="1:27" ht="12.4" customHeight="1">
      <c r="A529" s="611"/>
      <c r="B529" s="612"/>
      <c r="C529" s="611"/>
      <c r="D529" s="611"/>
      <c r="E529" s="611"/>
      <c r="F529" s="611"/>
      <c r="G529" s="611"/>
      <c r="H529" s="611"/>
      <c r="I529" s="611"/>
      <c r="J529" s="634" t="s">
        <v>337</v>
      </c>
      <c r="K529" s="635"/>
      <c r="L529" s="626"/>
      <c r="M529" s="627"/>
      <c r="N529" s="636" t="s">
        <v>1041</v>
      </c>
      <c r="O529" s="636" t="s">
        <v>218</v>
      </c>
      <c r="P529" s="627" t="s">
        <v>1106</v>
      </c>
      <c r="Q529" s="611"/>
      <c r="R529" s="611"/>
      <c r="S529" s="611"/>
      <c r="T529" s="611"/>
      <c r="U529" s="611"/>
      <c r="V529" s="611"/>
      <c r="W529" s="611"/>
      <c r="X529" s="611"/>
      <c r="Y529" s="611"/>
      <c r="Z529" s="611"/>
      <c r="AA529" s="611"/>
    </row>
    <row r="530" spans="1:27" ht="12.4" customHeight="1">
      <c r="A530" s="611"/>
      <c r="B530" s="612"/>
      <c r="C530" s="611"/>
      <c r="D530" s="611"/>
      <c r="E530" s="611"/>
      <c r="F530" s="611"/>
      <c r="G530" s="611"/>
      <c r="H530" s="611"/>
      <c r="I530" s="611"/>
      <c r="J530" s="634" t="s">
        <v>2533</v>
      </c>
      <c r="K530" s="635"/>
      <c r="L530" s="626"/>
      <c r="M530" s="627"/>
      <c r="N530" s="636" t="s">
        <v>814</v>
      </c>
      <c r="O530" s="636" t="s">
        <v>1221</v>
      </c>
      <c r="P530" s="627" t="s">
        <v>1107</v>
      </c>
      <c r="Q530" s="611"/>
      <c r="R530" s="611"/>
      <c r="S530" s="611"/>
      <c r="T530" s="611"/>
      <c r="U530" s="611"/>
      <c r="V530" s="611"/>
      <c r="W530" s="611"/>
      <c r="X530" s="611"/>
      <c r="Y530" s="611"/>
      <c r="Z530" s="611"/>
      <c r="AA530" s="611"/>
    </row>
    <row r="531" spans="1:27" ht="12.4" customHeight="1">
      <c r="A531" s="611"/>
      <c r="B531" s="612"/>
      <c r="C531" s="611"/>
      <c r="D531" s="611"/>
      <c r="E531" s="611"/>
      <c r="F531" s="611"/>
      <c r="G531" s="611"/>
      <c r="H531" s="611"/>
      <c r="I531" s="611"/>
      <c r="J531" s="634" t="s">
        <v>3469</v>
      </c>
      <c r="K531" s="635"/>
      <c r="L531" s="626"/>
      <c r="M531" s="627"/>
      <c r="N531" s="636" t="s">
        <v>816</v>
      </c>
      <c r="O531" s="636" t="s">
        <v>2031</v>
      </c>
      <c r="P531" s="627" t="s">
        <v>1108</v>
      </c>
      <c r="Q531" s="611"/>
      <c r="R531" s="611"/>
      <c r="S531" s="611"/>
      <c r="T531" s="611"/>
      <c r="U531" s="611"/>
      <c r="V531" s="611"/>
      <c r="W531" s="611"/>
      <c r="X531" s="611"/>
      <c r="Y531" s="611"/>
      <c r="Z531" s="611"/>
      <c r="AA531" s="611"/>
    </row>
    <row r="532" spans="1:27" ht="12.4" customHeight="1">
      <c r="A532" s="611"/>
      <c r="B532" s="612"/>
      <c r="C532" s="611"/>
      <c r="D532" s="611"/>
      <c r="E532" s="611"/>
      <c r="F532" s="611"/>
      <c r="G532" s="611"/>
      <c r="H532" s="611"/>
      <c r="I532" s="611"/>
      <c r="J532" s="634" t="s">
        <v>710</v>
      </c>
      <c r="K532" s="635"/>
      <c r="L532" s="626"/>
      <c r="M532" s="627"/>
      <c r="N532" s="636" t="s">
        <v>818</v>
      </c>
      <c r="O532" s="636" t="s">
        <v>2182</v>
      </c>
      <c r="P532" s="627" t="s">
        <v>1109</v>
      </c>
      <c r="Q532" s="611"/>
      <c r="R532" s="611"/>
      <c r="S532" s="611"/>
      <c r="T532" s="611"/>
      <c r="U532" s="611"/>
      <c r="V532" s="611"/>
      <c r="W532" s="611"/>
      <c r="X532" s="611"/>
      <c r="Y532" s="611"/>
      <c r="Z532" s="611"/>
      <c r="AA532" s="611"/>
    </row>
    <row r="533" spans="1:27" ht="12.4" customHeight="1">
      <c r="A533" s="611"/>
      <c r="B533" s="612"/>
      <c r="C533" s="611"/>
      <c r="D533" s="611"/>
      <c r="E533" s="611"/>
      <c r="F533" s="611"/>
      <c r="G533" s="611"/>
      <c r="H533" s="611"/>
      <c r="I533" s="611"/>
      <c r="J533" s="634" t="s">
        <v>2002</v>
      </c>
      <c r="K533" s="635"/>
      <c r="L533" s="626"/>
      <c r="M533" s="627"/>
      <c r="N533" s="636" t="s">
        <v>820</v>
      </c>
      <c r="O533" s="636" t="s">
        <v>1463</v>
      </c>
      <c r="P533" s="627" t="s">
        <v>1110</v>
      </c>
      <c r="Q533" s="611"/>
      <c r="R533" s="611"/>
      <c r="S533" s="611"/>
      <c r="T533" s="611"/>
      <c r="U533" s="611"/>
      <c r="V533" s="611"/>
      <c r="W533" s="611"/>
      <c r="X533" s="611"/>
      <c r="Y533" s="611"/>
      <c r="Z533" s="611"/>
      <c r="AA533" s="611"/>
    </row>
    <row r="534" spans="1:27" ht="12.4" customHeight="1">
      <c r="A534" s="611"/>
      <c r="B534" s="612"/>
      <c r="C534" s="611"/>
      <c r="D534" s="611"/>
      <c r="E534" s="611"/>
      <c r="F534" s="611"/>
      <c r="G534" s="611"/>
      <c r="H534" s="611"/>
      <c r="I534" s="611"/>
      <c r="J534" s="634" t="s">
        <v>991</v>
      </c>
      <c r="K534" s="635"/>
      <c r="L534" s="626"/>
      <c r="M534" s="627"/>
      <c r="N534" s="636" t="s">
        <v>822</v>
      </c>
      <c r="O534" s="636" t="s">
        <v>2813</v>
      </c>
      <c r="P534" s="627" t="s">
        <v>1111</v>
      </c>
      <c r="Q534" s="611"/>
      <c r="R534" s="611"/>
      <c r="S534" s="611"/>
      <c r="T534" s="611"/>
      <c r="U534" s="611"/>
      <c r="V534" s="611"/>
      <c r="W534" s="611"/>
      <c r="X534" s="611"/>
      <c r="Y534" s="611"/>
      <c r="Z534" s="611"/>
      <c r="AA534" s="611"/>
    </row>
    <row r="535" spans="1:27" ht="12.4" customHeight="1">
      <c r="A535" s="611"/>
      <c r="B535" s="612"/>
      <c r="C535" s="611"/>
      <c r="D535" s="611"/>
      <c r="E535" s="611"/>
      <c r="F535" s="611"/>
      <c r="G535" s="611"/>
      <c r="H535" s="611"/>
      <c r="I535" s="611"/>
      <c r="J535" s="634" t="s">
        <v>1042</v>
      </c>
      <c r="K535" s="635"/>
      <c r="L535" s="626"/>
      <c r="M535" s="627"/>
      <c r="N535" s="636" t="s">
        <v>836</v>
      </c>
      <c r="O535" s="636" t="s">
        <v>426</v>
      </c>
      <c r="P535" s="627" t="s">
        <v>1112</v>
      </c>
      <c r="Q535" s="611"/>
      <c r="R535" s="611"/>
      <c r="S535" s="611"/>
      <c r="T535" s="611"/>
      <c r="U535" s="611"/>
      <c r="V535" s="611"/>
      <c r="W535" s="611"/>
      <c r="X535" s="611"/>
      <c r="Y535" s="611"/>
      <c r="Z535" s="611"/>
      <c r="AA535" s="611"/>
    </row>
    <row r="536" spans="1:27" ht="12.4" customHeight="1">
      <c r="A536" s="611"/>
      <c r="B536" s="612"/>
      <c r="C536" s="611"/>
      <c r="D536" s="611"/>
      <c r="E536" s="611"/>
      <c r="F536" s="611"/>
      <c r="G536" s="611"/>
      <c r="H536" s="611"/>
      <c r="I536" s="611"/>
      <c r="J536" s="634" t="s">
        <v>1043</v>
      </c>
      <c r="K536" s="635"/>
      <c r="L536" s="626"/>
      <c r="M536" s="627"/>
      <c r="N536" s="636" t="s">
        <v>838</v>
      </c>
      <c r="O536" s="636" t="s">
        <v>635</v>
      </c>
      <c r="P536" s="627" t="s">
        <v>1113</v>
      </c>
      <c r="Q536" s="611"/>
      <c r="R536" s="611"/>
      <c r="S536" s="611"/>
      <c r="T536" s="611"/>
      <c r="U536" s="611"/>
      <c r="V536" s="611"/>
      <c r="W536" s="611"/>
      <c r="X536" s="611"/>
      <c r="Y536" s="611"/>
      <c r="Z536" s="611"/>
      <c r="AA536" s="611"/>
    </row>
    <row r="537" spans="1:27" ht="12.4" customHeight="1">
      <c r="A537" s="611"/>
      <c r="B537" s="612"/>
      <c r="C537" s="611"/>
      <c r="D537" s="611"/>
      <c r="E537" s="611"/>
      <c r="F537" s="611"/>
      <c r="G537" s="611"/>
      <c r="H537" s="611"/>
      <c r="I537" s="611"/>
      <c r="J537" s="634" t="s">
        <v>815</v>
      </c>
      <c r="K537" s="635"/>
      <c r="L537" s="626"/>
      <c r="M537" s="627"/>
      <c r="N537" s="641" t="s">
        <v>1048</v>
      </c>
      <c r="O537" s="636" t="s">
        <v>1868</v>
      </c>
      <c r="P537" s="627" t="s">
        <v>1114</v>
      </c>
      <c r="Q537" s="611"/>
      <c r="R537" s="611"/>
      <c r="S537" s="611"/>
      <c r="T537" s="611"/>
      <c r="U537" s="611"/>
      <c r="V537" s="611"/>
      <c r="W537" s="611"/>
      <c r="X537" s="611"/>
      <c r="Y537" s="611"/>
      <c r="Z537" s="611"/>
      <c r="AA537" s="611"/>
    </row>
    <row r="538" spans="1:27" ht="12.4" customHeight="1">
      <c r="A538" s="611"/>
      <c r="B538" s="612"/>
      <c r="C538" s="611"/>
      <c r="D538" s="611"/>
      <c r="E538" s="611"/>
      <c r="F538" s="611"/>
      <c r="G538" s="611"/>
      <c r="H538" s="611"/>
      <c r="I538" s="611"/>
      <c r="J538" s="634" t="s">
        <v>817</v>
      </c>
      <c r="K538" s="635"/>
      <c r="L538" s="626"/>
      <c r="M538" s="627"/>
      <c r="N538" s="642" t="s">
        <v>1418</v>
      </c>
      <c r="O538" s="636" t="s">
        <v>1000</v>
      </c>
      <c r="P538" s="1579" t="s">
        <v>1413</v>
      </c>
      <c r="Q538" s="611"/>
      <c r="R538" s="611"/>
      <c r="S538" s="611"/>
      <c r="T538" s="611"/>
      <c r="U538" s="611"/>
      <c r="V538" s="611"/>
      <c r="W538" s="611"/>
      <c r="X538" s="611"/>
      <c r="Y538" s="611"/>
      <c r="Z538" s="611"/>
      <c r="AA538" s="611"/>
    </row>
    <row r="539" spans="1:27" ht="12.4" customHeight="1">
      <c r="A539" s="611"/>
      <c r="B539" s="612"/>
      <c r="C539" s="611"/>
      <c r="D539" s="611"/>
      <c r="E539" s="611"/>
      <c r="F539" s="611"/>
      <c r="G539" s="611"/>
      <c r="H539" s="611"/>
      <c r="I539" s="611"/>
      <c r="J539" s="634" t="s">
        <v>819</v>
      </c>
      <c r="K539" s="635"/>
      <c r="L539" s="626"/>
      <c r="M539" s="627"/>
      <c r="N539" s="636" t="s">
        <v>2541</v>
      </c>
      <c r="O539" s="636" t="s">
        <v>1009</v>
      </c>
      <c r="P539" s="627" t="s">
        <v>1115</v>
      </c>
      <c r="Q539" s="611"/>
      <c r="R539" s="611"/>
      <c r="S539" s="611"/>
      <c r="T539" s="611"/>
      <c r="U539" s="611"/>
      <c r="V539" s="611"/>
      <c r="W539" s="611"/>
      <c r="X539" s="611"/>
      <c r="Y539" s="611"/>
      <c r="Z539" s="611"/>
      <c r="AA539" s="611"/>
    </row>
    <row r="540" spans="1:27" ht="12.4" customHeight="1">
      <c r="A540" s="611"/>
      <c r="B540" s="612"/>
      <c r="C540" s="611"/>
      <c r="D540" s="611"/>
      <c r="E540" s="611"/>
      <c r="F540" s="611"/>
      <c r="G540" s="611"/>
      <c r="H540" s="611"/>
      <c r="I540" s="611"/>
      <c r="J540" s="634" t="s">
        <v>821</v>
      </c>
      <c r="K540" s="635"/>
      <c r="L540" s="626"/>
      <c r="M540" s="627"/>
      <c r="N540" s="636" t="s">
        <v>3174</v>
      </c>
      <c r="O540" s="636" t="s">
        <v>1728</v>
      </c>
      <c r="P540" s="627" t="s">
        <v>1116</v>
      </c>
      <c r="Q540" s="611"/>
      <c r="R540" s="611"/>
      <c r="S540" s="611"/>
      <c r="T540" s="611"/>
      <c r="U540" s="611"/>
      <c r="V540" s="611"/>
      <c r="W540" s="611"/>
      <c r="X540" s="611"/>
      <c r="Y540" s="611"/>
      <c r="Z540" s="611"/>
      <c r="AA540" s="611"/>
    </row>
    <row r="541" spans="1:27" ht="12.4" customHeight="1">
      <c r="A541" s="611"/>
      <c r="B541" s="612"/>
      <c r="C541" s="611"/>
      <c r="D541" s="611"/>
      <c r="E541" s="611"/>
      <c r="F541" s="611"/>
      <c r="G541" s="611"/>
      <c r="H541" s="611"/>
      <c r="I541" s="611"/>
      <c r="J541" s="634" t="s">
        <v>835</v>
      </c>
      <c r="K541" s="635"/>
      <c r="L541" s="626"/>
      <c r="M541" s="627"/>
      <c r="N541" s="636" t="s">
        <v>2543</v>
      </c>
      <c r="O541" s="636" t="s">
        <v>3088</v>
      </c>
      <c r="P541" s="627" t="s">
        <v>1117</v>
      </c>
      <c r="Q541" s="611"/>
      <c r="R541" s="611"/>
      <c r="S541" s="611"/>
      <c r="T541" s="611"/>
      <c r="U541" s="611"/>
      <c r="V541" s="611"/>
      <c r="W541" s="611"/>
      <c r="X541" s="611"/>
      <c r="Y541" s="611"/>
      <c r="Z541" s="611"/>
      <c r="AA541" s="611"/>
    </row>
    <row r="542" spans="1:27" ht="12.4" customHeight="1">
      <c r="A542" s="611"/>
      <c r="B542" s="612"/>
      <c r="C542" s="611"/>
      <c r="D542" s="611"/>
      <c r="E542" s="611"/>
      <c r="F542" s="611"/>
      <c r="G542" s="611"/>
      <c r="H542" s="611"/>
      <c r="I542" s="611"/>
      <c r="J542" s="634" t="s">
        <v>837</v>
      </c>
      <c r="K542" s="635"/>
      <c r="L542" s="626"/>
      <c r="M542" s="627"/>
      <c r="N542" s="636" t="s">
        <v>686</v>
      </c>
      <c r="O542" s="636" t="s">
        <v>2022</v>
      </c>
      <c r="P542" s="627" t="s">
        <v>1118</v>
      </c>
      <c r="Q542" s="611"/>
      <c r="R542" s="611"/>
      <c r="S542" s="611"/>
      <c r="T542" s="611"/>
      <c r="U542" s="611"/>
      <c r="V542" s="611"/>
      <c r="W542" s="611"/>
      <c r="X542" s="611"/>
      <c r="Y542" s="611"/>
      <c r="Z542" s="611"/>
      <c r="AA542" s="611"/>
    </row>
    <row r="543" spans="1:27" ht="12.4" customHeight="1">
      <c r="A543" s="611"/>
      <c r="B543" s="612"/>
      <c r="C543" s="611"/>
      <c r="D543" s="611"/>
      <c r="E543" s="611"/>
      <c r="F543" s="611"/>
      <c r="G543" s="611"/>
      <c r="H543" s="611"/>
      <c r="I543" s="611"/>
      <c r="J543" s="634" t="s">
        <v>1073</v>
      </c>
      <c r="K543" s="635"/>
      <c r="L543" s="626"/>
      <c r="M543" s="627"/>
      <c r="N543" s="507" t="s">
        <v>241</v>
      </c>
      <c r="O543" s="507" t="s">
        <v>215</v>
      </c>
      <c r="P543" s="1580" t="s">
        <v>3242</v>
      </c>
      <c r="Q543" s="611"/>
      <c r="R543" s="611"/>
      <c r="S543" s="611"/>
      <c r="T543" s="611"/>
      <c r="U543" s="611"/>
      <c r="V543" s="611"/>
      <c r="W543" s="611"/>
      <c r="X543" s="611"/>
      <c r="Y543" s="611"/>
      <c r="Z543" s="611"/>
      <c r="AA543" s="611"/>
    </row>
    <row r="544" spans="1:27" ht="12.4" customHeight="1">
      <c r="A544" s="611"/>
      <c r="B544" s="612"/>
      <c r="C544" s="611"/>
      <c r="D544" s="611"/>
      <c r="E544" s="611"/>
      <c r="F544" s="611"/>
      <c r="G544" s="611"/>
      <c r="H544" s="611"/>
      <c r="I544" s="611"/>
      <c r="J544" s="634" t="s">
        <v>902</v>
      </c>
      <c r="K544" s="635"/>
      <c r="L544" s="626"/>
      <c r="M544" s="627"/>
      <c r="N544" s="636" t="s">
        <v>1950</v>
      </c>
      <c r="O544" s="636" t="s">
        <v>421</v>
      </c>
      <c r="P544" s="627" t="s">
        <v>1119</v>
      </c>
      <c r="Q544" s="611"/>
      <c r="R544" s="611"/>
      <c r="S544" s="611"/>
      <c r="T544" s="611"/>
      <c r="U544" s="611"/>
      <c r="V544" s="611"/>
      <c r="W544" s="611"/>
      <c r="X544" s="611"/>
      <c r="Y544" s="611"/>
      <c r="Z544" s="611"/>
      <c r="AA544" s="611"/>
    </row>
    <row r="545" spans="1:27" ht="12.4" customHeight="1">
      <c r="A545" s="611"/>
      <c r="B545" s="612"/>
      <c r="C545" s="611"/>
      <c r="D545" s="611"/>
      <c r="E545" s="611"/>
      <c r="F545" s="611"/>
      <c r="G545" s="611"/>
      <c r="H545" s="611"/>
      <c r="I545" s="611"/>
      <c r="J545" s="634" t="s">
        <v>903</v>
      </c>
      <c r="K545" s="635"/>
      <c r="L545" s="626"/>
      <c r="M545" s="627"/>
      <c r="N545" s="636" t="s">
        <v>1609</v>
      </c>
      <c r="O545" s="636" t="s">
        <v>2179</v>
      </c>
      <c r="P545" s="627" t="s">
        <v>1120</v>
      </c>
      <c r="Q545" s="611"/>
      <c r="R545" s="611"/>
      <c r="S545" s="611"/>
      <c r="T545" s="611"/>
      <c r="U545" s="611"/>
      <c r="V545" s="611"/>
      <c r="W545" s="611"/>
      <c r="X545" s="611"/>
      <c r="Y545" s="611"/>
      <c r="Z545" s="611"/>
      <c r="AA545" s="611"/>
    </row>
    <row r="546" spans="1:27" ht="12.4" customHeight="1">
      <c r="A546" s="611"/>
      <c r="B546" s="612"/>
      <c r="C546" s="611"/>
      <c r="D546" s="611"/>
      <c r="E546" s="611"/>
      <c r="F546" s="611"/>
      <c r="G546" s="611"/>
      <c r="H546" s="611"/>
      <c r="I546" s="611"/>
      <c r="J546" s="634" t="s">
        <v>3173</v>
      </c>
      <c r="K546" s="635"/>
      <c r="L546" s="626"/>
      <c r="M546" s="627"/>
      <c r="N546" s="507" t="s">
        <v>1687</v>
      </c>
      <c r="O546" s="507" t="s">
        <v>232</v>
      </c>
      <c r="P546" s="1580" t="s">
        <v>3242</v>
      </c>
      <c r="Q546" s="611"/>
      <c r="R546" s="611"/>
      <c r="S546" s="611"/>
      <c r="T546" s="611"/>
      <c r="U546" s="611"/>
      <c r="V546" s="611"/>
      <c r="W546" s="611"/>
      <c r="X546" s="611"/>
      <c r="Y546" s="611"/>
      <c r="Z546" s="611"/>
      <c r="AA546" s="611"/>
    </row>
    <row r="547" spans="1:27" ht="12.4" customHeight="1">
      <c r="A547" s="611"/>
      <c r="B547" s="612"/>
      <c r="C547" s="611"/>
      <c r="D547" s="611"/>
      <c r="E547" s="611"/>
      <c r="F547" s="611"/>
      <c r="G547" s="611"/>
      <c r="H547" s="611"/>
      <c r="I547" s="611"/>
      <c r="J547" s="634" t="s">
        <v>684</v>
      </c>
      <c r="K547" s="635"/>
      <c r="L547" s="626"/>
      <c r="M547" s="627"/>
      <c r="N547" s="636" t="s">
        <v>161</v>
      </c>
      <c r="O547" s="636" t="s">
        <v>3819</v>
      </c>
      <c r="P547" s="627" t="s">
        <v>1121</v>
      </c>
      <c r="Q547" s="611"/>
      <c r="R547" s="611"/>
      <c r="S547" s="611"/>
      <c r="T547" s="611"/>
      <c r="U547" s="611"/>
      <c r="V547" s="611"/>
      <c r="W547" s="611"/>
      <c r="X547" s="611"/>
      <c r="Y547" s="611"/>
      <c r="Z547" s="611"/>
      <c r="AA547" s="611"/>
    </row>
    <row r="548" spans="1:27" ht="12.4" customHeight="1">
      <c r="A548" s="611"/>
      <c r="B548" s="612"/>
      <c r="C548" s="611"/>
      <c r="D548" s="611"/>
      <c r="E548" s="611"/>
      <c r="F548" s="611"/>
      <c r="G548" s="611"/>
      <c r="H548" s="611"/>
      <c r="I548" s="611"/>
      <c r="J548" s="634" t="s">
        <v>685</v>
      </c>
      <c r="K548" s="635"/>
      <c r="L548" s="626"/>
      <c r="M548" s="627"/>
      <c r="N548" s="636" t="s">
        <v>3896</v>
      </c>
      <c r="O548" s="636" t="s">
        <v>2034</v>
      </c>
      <c r="P548" s="627" t="s">
        <v>1122</v>
      </c>
      <c r="Q548" s="611"/>
      <c r="R548" s="611"/>
      <c r="S548" s="611"/>
      <c r="T548" s="611"/>
      <c r="U548" s="611"/>
      <c r="V548" s="611"/>
      <c r="W548" s="611"/>
      <c r="X548" s="611"/>
      <c r="Y548" s="611"/>
      <c r="Z548" s="611"/>
      <c r="AA548" s="611"/>
    </row>
    <row r="549" spans="1:27" ht="12.4" customHeight="1">
      <c r="A549" s="611"/>
      <c r="B549" s="612"/>
      <c r="C549" s="611"/>
      <c r="D549" s="611"/>
      <c r="E549" s="611"/>
      <c r="F549" s="611"/>
      <c r="G549" s="611"/>
      <c r="H549" s="611"/>
      <c r="I549" s="611"/>
      <c r="J549" s="634" t="s">
        <v>1949</v>
      </c>
      <c r="K549" s="635"/>
      <c r="L549" s="626"/>
      <c r="M549" s="627"/>
      <c r="N549" s="636" t="s">
        <v>164</v>
      </c>
      <c r="O549" s="636" t="s">
        <v>1000</v>
      </c>
      <c r="P549" s="627" t="s">
        <v>1123</v>
      </c>
      <c r="Q549" s="611"/>
      <c r="R549" s="611"/>
      <c r="S549" s="611"/>
      <c r="T549" s="611"/>
      <c r="U549" s="611"/>
      <c r="V549" s="611"/>
      <c r="W549" s="611"/>
      <c r="X549" s="611"/>
      <c r="Y549" s="611"/>
      <c r="Z549" s="611"/>
      <c r="AA549" s="611"/>
    </row>
    <row r="550" spans="1:27" ht="12.4" customHeight="1">
      <c r="A550" s="611"/>
      <c r="B550" s="612"/>
      <c r="C550" s="611"/>
      <c r="D550" s="611"/>
      <c r="E550" s="611"/>
      <c r="F550" s="611"/>
      <c r="G550" s="611"/>
      <c r="H550" s="611"/>
      <c r="I550" s="611"/>
      <c r="J550" s="634" t="s">
        <v>1608</v>
      </c>
      <c r="K550" s="635"/>
      <c r="L550" s="626"/>
      <c r="M550" s="627"/>
      <c r="N550" s="636" t="s">
        <v>166</v>
      </c>
      <c r="O550" s="636" t="s">
        <v>3758</v>
      </c>
      <c r="P550" s="627" t="s">
        <v>1124</v>
      </c>
      <c r="Q550" s="611"/>
      <c r="R550" s="611"/>
      <c r="S550" s="611"/>
      <c r="T550" s="611"/>
      <c r="U550" s="611"/>
      <c r="V550" s="611"/>
      <c r="W550" s="611"/>
      <c r="X550" s="611"/>
      <c r="Y550" s="611"/>
      <c r="Z550" s="611"/>
      <c r="AA550" s="611"/>
    </row>
    <row r="551" spans="1:27" ht="12.4" customHeight="1">
      <c r="A551" s="611"/>
      <c r="B551" s="612"/>
      <c r="C551" s="611"/>
      <c r="D551" s="611"/>
      <c r="E551" s="611"/>
      <c r="F551" s="611"/>
      <c r="G551" s="611"/>
      <c r="H551" s="611"/>
      <c r="I551" s="611"/>
      <c r="J551" s="634" t="s">
        <v>1610</v>
      </c>
      <c r="K551" s="635"/>
      <c r="L551" s="626"/>
      <c r="M551" s="627"/>
      <c r="N551" s="636" t="s">
        <v>3907</v>
      </c>
      <c r="O551" s="636" t="s">
        <v>2026</v>
      </c>
      <c r="P551" s="627" t="s">
        <v>1125</v>
      </c>
      <c r="Q551" s="611"/>
      <c r="R551" s="611"/>
      <c r="S551" s="611"/>
      <c r="T551" s="611"/>
      <c r="U551" s="611"/>
      <c r="V551" s="611"/>
      <c r="W551" s="611"/>
      <c r="X551" s="611"/>
      <c r="Y551" s="611"/>
      <c r="Z551" s="611"/>
      <c r="AA551" s="611"/>
    </row>
    <row r="552" spans="1:27" ht="12.4" customHeight="1">
      <c r="A552" s="611"/>
      <c r="B552" s="612"/>
      <c r="C552" s="611"/>
      <c r="D552" s="611"/>
      <c r="E552" s="611"/>
      <c r="F552" s="611"/>
      <c r="G552" s="611"/>
      <c r="H552" s="611"/>
      <c r="I552" s="611"/>
      <c r="J552" s="634" t="s">
        <v>1611</v>
      </c>
      <c r="K552" s="635"/>
      <c r="L552" s="626"/>
      <c r="M552" s="627"/>
      <c r="N552" s="636" t="s">
        <v>3191</v>
      </c>
      <c r="O552" s="636" t="s">
        <v>3764</v>
      </c>
      <c r="P552" s="627" t="s">
        <v>1126</v>
      </c>
      <c r="Q552" s="611"/>
      <c r="R552" s="611"/>
      <c r="S552" s="611"/>
      <c r="T552" s="611"/>
      <c r="U552" s="611"/>
      <c r="V552" s="611"/>
      <c r="W552" s="611"/>
      <c r="X552" s="611"/>
      <c r="Y552" s="611"/>
      <c r="Z552" s="611"/>
      <c r="AA552" s="611"/>
    </row>
    <row r="553" spans="1:27" ht="12.4" customHeight="1">
      <c r="A553" s="611"/>
      <c r="B553" s="612"/>
      <c r="C553" s="611"/>
      <c r="D553" s="611"/>
      <c r="E553" s="611"/>
      <c r="F553" s="611"/>
      <c r="G553" s="611"/>
      <c r="H553" s="611"/>
      <c r="I553" s="611"/>
      <c r="J553" s="634" t="s">
        <v>162</v>
      </c>
      <c r="K553" s="635"/>
      <c r="L553" s="626"/>
      <c r="M553" s="627"/>
      <c r="N553" s="636" t="s">
        <v>1246</v>
      </c>
      <c r="O553" s="636" t="s">
        <v>137</v>
      </c>
      <c r="P553" s="627" t="s">
        <v>1127</v>
      </c>
      <c r="Q553" s="611"/>
      <c r="R553" s="611"/>
      <c r="S553" s="611"/>
      <c r="T553" s="611"/>
      <c r="U553" s="611"/>
      <c r="V553" s="611"/>
      <c r="W553" s="611"/>
      <c r="X553" s="611"/>
      <c r="Y553" s="611"/>
      <c r="Z553" s="611"/>
      <c r="AA553" s="611"/>
    </row>
    <row r="554" spans="1:27" ht="12.4" customHeight="1">
      <c r="A554" s="611"/>
      <c r="B554" s="612"/>
      <c r="C554" s="611"/>
      <c r="D554" s="611"/>
      <c r="E554" s="611"/>
      <c r="F554" s="611"/>
      <c r="G554" s="611"/>
      <c r="H554" s="611"/>
      <c r="I554" s="611"/>
      <c r="J554" s="634" t="s">
        <v>163</v>
      </c>
      <c r="K554" s="635"/>
      <c r="L554" s="626"/>
      <c r="M554" s="627"/>
      <c r="N554" s="636" t="s">
        <v>1247</v>
      </c>
      <c r="O554" s="636" t="s">
        <v>241</v>
      </c>
      <c r="P554" s="627" t="s">
        <v>1128</v>
      </c>
      <c r="Q554" s="611"/>
      <c r="R554" s="611"/>
      <c r="S554" s="611"/>
      <c r="T554" s="611"/>
      <c r="U554" s="611"/>
      <c r="V554" s="611"/>
      <c r="W554" s="611"/>
      <c r="X554" s="611"/>
      <c r="Y554" s="611"/>
      <c r="Z554" s="611"/>
      <c r="AA554" s="611"/>
    </row>
    <row r="555" spans="1:27" ht="12.4" customHeight="1">
      <c r="A555" s="611"/>
      <c r="B555" s="612"/>
      <c r="C555" s="611"/>
      <c r="D555" s="611"/>
      <c r="E555" s="611"/>
      <c r="F555" s="611"/>
      <c r="G555" s="611"/>
      <c r="H555" s="611"/>
      <c r="I555" s="611"/>
      <c r="J555" s="634" t="s">
        <v>165</v>
      </c>
      <c r="K555" s="635"/>
      <c r="L555" s="626"/>
      <c r="M555" s="627"/>
      <c r="N555" s="636" t="s">
        <v>1062</v>
      </c>
      <c r="O555" s="636" t="s">
        <v>1223</v>
      </c>
      <c r="P555" s="627" t="s">
        <v>1129</v>
      </c>
      <c r="Q555" s="611"/>
      <c r="R555" s="611"/>
      <c r="S555" s="611"/>
      <c r="T555" s="611"/>
      <c r="U555" s="611"/>
      <c r="V555" s="611"/>
      <c r="W555" s="611"/>
      <c r="X555" s="611"/>
      <c r="Y555" s="611"/>
      <c r="Z555" s="611"/>
      <c r="AA555" s="611"/>
    </row>
    <row r="556" spans="1:27" ht="12.4" customHeight="1">
      <c r="A556" s="611"/>
      <c r="B556" s="612"/>
      <c r="C556" s="611"/>
      <c r="D556" s="611"/>
      <c r="E556" s="611"/>
      <c r="F556" s="611"/>
      <c r="G556" s="611"/>
      <c r="H556" s="611"/>
      <c r="I556" s="611"/>
      <c r="J556" s="634" t="s">
        <v>3906</v>
      </c>
      <c r="K556" s="635"/>
      <c r="L556" s="626"/>
      <c r="M556" s="627"/>
      <c r="N556" s="636" t="s">
        <v>1064</v>
      </c>
      <c r="O556" s="636" t="s">
        <v>1737</v>
      </c>
      <c r="P556" s="627" t="s">
        <v>1064</v>
      </c>
      <c r="Q556" s="611"/>
      <c r="R556" s="611"/>
      <c r="S556" s="611"/>
      <c r="T556" s="611"/>
      <c r="U556" s="611"/>
      <c r="V556" s="611"/>
      <c r="W556" s="611"/>
      <c r="X556" s="611"/>
      <c r="Y556" s="611"/>
      <c r="Z556" s="611"/>
      <c r="AA556" s="611"/>
    </row>
    <row r="557" spans="1:27" ht="12.4" customHeight="1">
      <c r="A557" s="611"/>
      <c r="B557" s="612"/>
      <c r="C557" s="611"/>
      <c r="D557" s="611"/>
      <c r="E557" s="611"/>
      <c r="F557" s="611"/>
      <c r="G557" s="611"/>
      <c r="H557" s="611"/>
      <c r="I557" s="611"/>
      <c r="J557" s="634" t="s">
        <v>3190</v>
      </c>
      <c r="K557" s="635"/>
      <c r="L557" s="626"/>
      <c r="M557" s="627"/>
      <c r="N557" s="636" t="s">
        <v>3418</v>
      </c>
      <c r="O557" s="636" t="s">
        <v>1868</v>
      </c>
      <c r="P557" s="627" t="s">
        <v>1130</v>
      </c>
      <c r="Q557" s="611"/>
      <c r="R557" s="611"/>
      <c r="S557" s="611"/>
      <c r="T557" s="611"/>
      <c r="U557" s="611"/>
      <c r="V557" s="611"/>
      <c r="W557" s="611"/>
      <c r="X557" s="611"/>
      <c r="Y557" s="611"/>
      <c r="Z557" s="611"/>
      <c r="AA557" s="611"/>
    </row>
    <row r="558" spans="1:27" ht="12.4" customHeight="1">
      <c r="A558" s="611"/>
      <c r="B558" s="612"/>
      <c r="C558" s="611"/>
      <c r="D558" s="611"/>
      <c r="E558" s="611"/>
      <c r="F558" s="611"/>
      <c r="G558" s="611"/>
      <c r="H558" s="611"/>
      <c r="I558" s="611"/>
      <c r="J558" s="634" t="s">
        <v>3192</v>
      </c>
      <c r="K558" s="635"/>
      <c r="L558" s="626"/>
      <c r="M558" s="627"/>
      <c r="N558" s="507" t="s">
        <v>3418</v>
      </c>
      <c r="O558" s="507" t="s">
        <v>1868</v>
      </c>
      <c r="P558" s="1580" t="s">
        <v>3242</v>
      </c>
      <c r="Q558" s="611"/>
      <c r="R558" s="611"/>
      <c r="S558" s="611"/>
      <c r="T558" s="611"/>
      <c r="U558" s="611"/>
      <c r="V558" s="611"/>
      <c r="W558" s="611"/>
      <c r="X558" s="611"/>
      <c r="Y558" s="611"/>
      <c r="Z558" s="611"/>
      <c r="AA558" s="611"/>
    </row>
    <row r="559" spans="1:27" ht="12.4" customHeight="1">
      <c r="A559" s="611"/>
      <c r="B559" s="612"/>
      <c r="C559" s="611"/>
      <c r="D559" s="611"/>
      <c r="E559" s="611"/>
      <c r="F559" s="611"/>
      <c r="G559" s="611"/>
      <c r="H559" s="611"/>
      <c r="I559" s="611"/>
      <c r="J559" s="634" t="s">
        <v>904</v>
      </c>
      <c r="K559" s="635"/>
      <c r="L559" s="626"/>
      <c r="M559" s="627"/>
      <c r="N559" s="636" t="s">
        <v>51</v>
      </c>
      <c r="O559" s="636" t="s">
        <v>2025</v>
      </c>
      <c r="P559" s="627" t="s">
        <v>1131</v>
      </c>
      <c r="Q559" s="611"/>
      <c r="R559" s="611"/>
      <c r="S559" s="611"/>
      <c r="T559" s="611"/>
      <c r="U559" s="611"/>
      <c r="V559" s="611"/>
      <c r="W559" s="611"/>
      <c r="X559" s="611"/>
      <c r="Y559" s="611"/>
      <c r="Z559" s="611"/>
      <c r="AA559" s="611"/>
    </row>
    <row r="560" spans="1:27" ht="12.4" customHeight="1">
      <c r="A560" s="611"/>
      <c r="B560" s="612"/>
      <c r="C560" s="611"/>
      <c r="D560" s="611"/>
      <c r="E560" s="611"/>
      <c r="F560" s="611"/>
      <c r="G560" s="611"/>
      <c r="H560" s="611"/>
      <c r="I560" s="611"/>
      <c r="J560" s="634" t="s">
        <v>3490</v>
      </c>
      <c r="K560" s="635"/>
      <c r="L560" s="626"/>
      <c r="M560" s="627"/>
      <c r="N560" s="636" t="s">
        <v>3378</v>
      </c>
      <c r="O560" s="636" t="s">
        <v>2019</v>
      </c>
      <c r="P560" s="627" t="s">
        <v>1132</v>
      </c>
      <c r="Q560" s="611"/>
      <c r="R560" s="611"/>
      <c r="S560" s="611"/>
      <c r="T560" s="611"/>
      <c r="U560" s="611"/>
      <c r="V560" s="611"/>
      <c r="W560" s="611"/>
      <c r="X560" s="611"/>
      <c r="Y560" s="611"/>
      <c r="Z560" s="611"/>
      <c r="AA560" s="611"/>
    </row>
    <row r="561" spans="1:27" ht="12.4" customHeight="1">
      <c r="A561" s="611"/>
      <c r="B561" s="612"/>
      <c r="C561" s="611"/>
      <c r="D561" s="611"/>
      <c r="E561" s="611"/>
      <c r="F561" s="611"/>
      <c r="G561" s="611"/>
      <c r="H561" s="611"/>
      <c r="I561" s="611"/>
      <c r="J561" s="634" t="s">
        <v>1061</v>
      </c>
      <c r="K561" s="635"/>
      <c r="L561" s="626"/>
      <c r="M561" s="627"/>
      <c r="N561" s="636" t="s">
        <v>1419</v>
      </c>
      <c r="O561" s="636" t="s">
        <v>232</v>
      </c>
      <c r="P561" s="1579" t="s">
        <v>1413</v>
      </c>
      <c r="Q561" s="611"/>
      <c r="R561" s="611"/>
      <c r="S561" s="611"/>
      <c r="T561" s="611"/>
      <c r="U561" s="611"/>
      <c r="V561" s="611"/>
      <c r="W561" s="611"/>
      <c r="X561" s="611"/>
      <c r="Y561" s="611"/>
      <c r="Z561" s="611"/>
      <c r="AA561" s="611"/>
    </row>
    <row r="562" spans="1:27" ht="12.4" customHeight="1">
      <c r="A562" s="611"/>
      <c r="B562" s="612"/>
      <c r="C562" s="611"/>
      <c r="D562" s="611"/>
      <c r="E562" s="611"/>
      <c r="F562" s="611"/>
      <c r="G562" s="611"/>
      <c r="H562" s="611"/>
      <c r="I562" s="611"/>
      <c r="J562" s="634" t="s">
        <v>1063</v>
      </c>
      <c r="K562" s="635"/>
      <c r="L562" s="626"/>
      <c r="M562" s="627"/>
      <c r="N562" s="636" t="s">
        <v>1654</v>
      </c>
      <c r="O562" s="636" t="s">
        <v>1725</v>
      </c>
      <c r="P562" s="627" t="s">
        <v>1133</v>
      </c>
      <c r="Q562" s="611"/>
      <c r="R562" s="611"/>
      <c r="S562" s="611"/>
      <c r="T562" s="611"/>
      <c r="U562" s="611"/>
      <c r="V562" s="611"/>
      <c r="W562" s="611"/>
      <c r="X562" s="611"/>
      <c r="Y562" s="611"/>
      <c r="Z562" s="611"/>
      <c r="AA562" s="611"/>
    </row>
    <row r="563" spans="1:27" ht="12.4" customHeight="1">
      <c r="A563" s="611"/>
      <c r="B563" s="612"/>
      <c r="C563" s="611"/>
      <c r="D563" s="611"/>
      <c r="E563" s="611"/>
      <c r="F563" s="611"/>
      <c r="G563" s="611"/>
      <c r="H563" s="611"/>
      <c r="I563" s="611"/>
      <c r="J563" s="634" t="s">
        <v>3417</v>
      </c>
      <c r="K563" s="635"/>
      <c r="L563" s="626"/>
      <c r="M563" s="627"/>
      <c r="N563" s="636" t="s">
        <v>499</v>
      </c>
      <c r="O563" s="636" t="s">
        <v>3901</v>
      </c>
      <c r="P563" s="627" t="s">
        <v>1134</v>
      </c>
      <c r="Q563" s="611"/>
      <c r="R563" s="611"/>
      <c r="S563" s="611"/>
      <c r="T563" s="611"/>
      <c r="U563" s="611"/>
      <c r="V563" s="611"/>
      <c r="W563" s="611"/>
      <c r="X563" s="611"/>
      <c r="Y563" s="611"/>
      <c r="Z563" s="611"/>
      <c r="AA563" s="611"/>
    </row>
    <row r="564" spans="1:27" ht="12.4" customHeight="1">
      <c r="A564" s="611"/>
      <c r="B564" s="612"/>
      <c r="C564" s="611"/>
      <c r="D564" s="611"/>
      <c r="E564" s="611"/>
      <c r="F564" s="611"/>
      <c r="G564" s="611"/>
      <c r="H564" s="611"/>
      <c r="I564" s="611"/>
      <c r="J564" s="634" t="s">
        <v>49</v>
      </c>
      <c r="K564" s="635"/>
      <c r="L564" s="626"/>
      <c r="M564" s="627"/>
      <c r="N564" s="636" t="s">
        <v>501</v>
      </c>
      <c r="O564" s="636" t="s">
        <v>3276</v>
      </c>
      <c r="P564" s="627" t="s">
        <v>1135</v>
      </c>
      <c r="Q564" s="611"/>
      <c r="R564" s="611"/>
      <c r="S564" s="611"/>
      <c r="T564" s="611"/>
      <c r="U564" s="611"/>
      <c r="V564" s="611"/>
      <c r="W564" s="611"/>
      <c r="X564" s="611"/>
      <c r="Y564" s="611"/>
      <c r="Z564" s="611"/>
      <c r="AA564" s="611"/>
    </row>
    <row r="565" spans="1:27" ht="12.4" customHeight="1">
      <c r="A565" s="611"/>
      <c r="B565" s="612"/>
      <c r="C565" s="611"/>
      <c r="D565" s="611"/>
      <c r="E565" s="611"/>
      <c r="F565" s="611"/>
      <c r="G565" s="611"/>
      <c r="H565" s="611"/>
      <c r="I565" s="611"/>
      <c r="J565" s="634" t="s">
        <v>50</v>
      </c>
      <c r="K565" s="635"/>
      <c r="L565" s="626"/>
      <c r="M565" s="627"/>
      <c r="N565" s="636" t="s">
        <v>503</v>
      </c>
      <c r="O565" s="636" t="s">
        <v>3819</v>
      </c>
      <c r="P565" s="627" t="s">
        <v>1136</v>
      </c>
      <c r="Q565" s="611"/>
      <c r="R565" s="611"/>
      <c r="S565" s="611"/>
      <c r="T565" s="611"/>
      <c r="U565" s="611"/>
      <c r="V565" s="611"/>
      <c r="W565" s="611"/>
      <c r="X565" s="611"/>
      <c r="Y565" s="611"/>
      <c r="Z565" s="611"/>
      <c r="AA565" s="611"/>
    </row>
    <row r="566" spans="1:27" ht="12.4" customHeight="1">
      <c r="A566" s="611"/>
      <c r="B566" s="612"/>
      <c r="C566" s="611"/>
      <c r="D566" s="611"/>
      <c r="E566" s="611"/>
      <c r="F566" s="611"/>
      <c r="G566" s="611"/>
      <c r="H566" s="611"/>
      <c r="I566" s="611"/>
      <c r="J566" s="634" t="s">
        <v>3377</v>
      </c>
      <c r="K566" s="635"/>
      <c r="L566" s="626"/>
      <c r="M566" s="627"/>
      <c r="N566" s="636" t="s">
        <v>3901</v>
      </c>
      <c r="O566" s="636" t="s">
        <v>2811</v>
      </c>
      <c r="P566" s="627" t="s">
        <v>1137</v>
      </c>
      <c r="Q566" s="611"/>
      <c r="R566" s="611"/>
      <c r="S566" s="611"/>
      <c r="T566" s="611"/>
      <c r="U566" s="611"/>
      <c r="V566" s="611"/>
      <c r="W566" s="611"/>
      <c r="X566" s="611"/>
      <c r="Y566" s="611"/>
      <c r="Z566" s="611"/>
      <c r="AA566" s="611"/>
    </row>
    <row r="567" spans="1:27" ht="12.4" customHeight="1">
      <c r="A567" s="611"/>
      <c r="B567" s="612"/>
      <c r="C567" s="611"/>
      <c r="D567" s="611"/>
      <c r="E567" s="611"/>
      <c r="F567" s="611"/>
      <c r="G567" s="611"/>
      <c r="H567" s="611"/>
      <c r="I567" s="611"/>
      <c r="J567" s="634" t="s">
        <v>3407</v>
      </c>
      <c r="K567" s="635"/>
      <c r="L567" s="626"/>
      <c r="M567" s="627"/>
      <c r="N567" s="636" t="s">
        <v>2340</v>
      </c>
      <c r="O567" s="636" t="s">
        <v>3762</v>
      </c>
      <c r="P567" s="627" t="s">
        <v>1138</v>
      </c>
      <c r="Q567" s="611"/>
      <c r="R567" s="611"/>
      <c r="S567" s="611"/>
      <c r="T567" s="611"/>
      <c r="U567" s="611"/>
      <c r="V567" s="611"/>
      <c r="W567" s="611"/>
      <c r="X567" s="611"/>
      <c r="Y567" s="611"/>
      <c r="Z567" s="611"/>
      <c r="AA567" s="611"/>
    </row>
    <row r="568" spans="1:27" ht="12.4" customHeight="1">
      <c r="A568" s="611"/>
      <c r="B568" s="612"/>
      <c r="C568" s="611"/>
      <c r="D568" s="611"/>
      <c r="E568" s="611"/>
      <c r="F568" s="611"/>
      <c r="G568" s="611"/>
      <c r="H568" s="611"/>
      <c r="I568" s="611"/>
      <c r="J568" s="634" t="s">
        <v>498</v>
      </c>
      <c r="K568" s="635"/>
      <c r="L568" s="626"/>
      <c r="M568" s="627"/>
      <c r="N568" s="636" t="s">
        <v>2342</v>
      </c>
      <c r="O568" s="636" t="s">
        <v>419</v>
      </c>
      <c r="P568" s="627" t="s">
        <v>1139</v>
      </c>
      <c r="Q568" s="611"/>
      <c r="R568" s="611"/>
      <c r="S568" s="611"/>
      <c r="T568" s="611"/>
      <c r="U568" s="611"/>
      <c r="V568" s="611"/>
      <c r="W568" s="611"/>
      <c r="X568" s="611"/>
      <c r="Y568" s="611"/>
      <c r="Z568" s="611"/>
      <c r="AA568" s="611"/>
    </row>
    <row r="569" spans="1:27" ht="12.4" customHeight="1">
      <c r="A569" s="611"/>
      <c r="B569" s="612"/>
      <c r="C569" s="611"/>
      <c r="D569" s="611"/>
      <c r="E569" s="611"/>
      <c r="F569" s="611"/>
      <c r="G569" s="611"/>
      <c r="H569" s="611"/>
      <c r="I569" s="611"/>
      <c r="J569" s="634" t="s">
        <v>500</v>
      </c>
      <c r="K569" s="635"/>
      <c r="L569" s="626"/>
      <c r="M569" s="627"/>
      <c r="N569" s="636" t="s">
        <v>2162</v>
      </c>
      <c r="O569" s="636" t="s">
        <v>136</v>
      </c>
      <c r="P569" s="627" t="s">
        <v>1140</v>
      </c>
      <c r="Q569" s="611"/>
      <c r="R569" s="611"/>
      <c r="S569" s="611"/>
      <c r="T569" s="611"/>
      <c r="U569" s="611"/>
      <c r="V569" s="611"/>
      <c r="W569" s="611"/>
      <c r="X569" s="611"/>
      <c r="Y569" s="611"/>
      <c r="Z569" s="611"/>
      <c r="AA569" s="611"/>
    </row>
    <row r="570" spans="1:27" ht="12.4" customHeight="1">
      <c r="A570" s="611"/>
      <c r="B570" s="612"/>
      <c r="C570" s="611"/>
      <c r="D570" s="611"/>
      <c r="E570" s="611"/>
      <c r="F570" s="611"/>
      <c r="G570" s="611"/>
      <c r="H570" s="611"/>
      <c r="I570" s="611"/>
      <c r="J570" s="634" t="s">
        <v>502</v>
      </c>
      <c r="K570" s="635"/>
      <c r="L570" s="626"/>
      <c r="M570" s="627"/>
      <c r="N570" s="636" t="s">
        <v>3699</v>
      </c>
      <c r="O570" s="636" t="s">
        <v>3764</v>
      </c>
      <c r="P570" s="627" t="s">
        <v>1141</v>
      </c>
      <c r="Q570" s="611"/>
      <c r="R570" s="611"/>
      <c r="S570" s="611"/>
      <c r="T570" s="611"/>
      <c r="U570" s="611"/>
      <c r="V570" s="611"/>
      <c r="W570" s="611"/>
      <c r="X570" s="611"/>
      <c r="Y570" s="611"/>
      <c r="Z570" s="611"/>
      <c r="AA570" s="611"/>
    </row>
    <row r="571" spans="1:27" ht="12.4" customHeight="1">
      <c r="A571" s="611"/>
      <c r="B571" s="612"/>
      <c r="C571" s="611"/>
      <c r="D571" s="611"/>
      <c r="E571" s="611"/>
      <c r="F571" s="611"/>
      <c r="G571" s="611"/>
      <c r="H571" s="611"/>
      <c r="I571" s="611"/>
      <c r="J571" s="634" t="s">
        <v>504</v>
      </c>
      <c r="K571" s="635"/>
      <c r="L571" s="626"/>
      <c r="M571" s="627"/>
      <c r="N571" s="507" t="s">
        <v>1688</v>
      </c>
      <c r="O571" s="507" t="s">
        <v>965</v>
      </c>
      <c r="P571" s="1580" t="s">
        <v>3242</v>
      </c>
      <c r="Q571" s="611"/>
      <c r="R571" s="611"/>
      <c r="S571" s="611"/>
      <c r="T571" s="611"/>
      <c r="U571" s="611"/>
      <c r="V571" s="611"/>
      <c r="W571" s="611"/>
      <c r="X571" s="611"/>
      <c r="Y571" s="611"/>
      <c r="Z571" s="611"/>
      <c r="AA571" s="611"/>
    </row>
    <row r="572" spans="1:27" ht="12.4" customHeight="1">
      <c r="A572" s="611"/>
      <c r="B572" s="612"/>
      <c r="C572" s="611"/>
      <c r="D572" s="611"/>
      <c r="E572" s="611"/>
      <c r="F572" s="611"/>
      <c r="G572" s="611"/>
      <c r="H572" s="611"/>
      <c r="I572" s="611"/>
      <c r="J572" s="634" t="s">
        <v>2339</v>
      </c>
      <c r="K572" s="635"/>
      <c r="L572" s="626"/>
      <c r="M572" s="627"/>
      <c r="N572" s="507" t="s">
        <v>1689</v>
      </c>
      <c r="O572" s="507" t="s">
        <v>965</v>
      </c>
      <c r="P572" s="1580" t="s">
        <v>3242</v>
      </c>
      <c r="Q572" s="611"/>
      <c r="R572" s="611"/>
      <c r="S572" s="611"/>
      <c r="T572" s="611"/>
      <c r="U572" s="611"/>
      <c r="V572" s="611"/>
      <c r="W572" s="611"/>
      <c r="X572" s="611"/>
      <c r="Y572" s="611"/>
      <c r="Z572" s="611"/>
      <c r="AA572" s="611"/>
    </row>
    <row r="573" spans="1:27" ht="12.4" customHeight="1">
      <c r="A573" s="611"/>
      <c r="B573" s="612"/>
      <c r="C573" s="611"/>
      <c r="D573" s="611"/>
      <c r="E573" s="611"/>
      <c r="F573" s="611"/>
      <c r="G573" s="611"/>
      <c r="H573" s="611"/>
      <c r="I573" s="611"/>
      <c r="J573" s="634" t="s">
        <v>2341</v>
      </c>
      <c r="K573" s="635"/>
      <c r="L573" s="626"/>
      <c r="M573" s="627"/>
      <c r="N573" s="507" t="s">
        <v>1690</v>
      </c>
      <c r="O573" s="507" t="s">
        <v>965</v>
      </c>
      <c r="P573" s="1580" t="s">
        <v>3242</v>
      </c>
      <c r="Q573" s="611"/>
      <c r="R573" s="611"/>
      <c r="S573" s="611"/>
      <c r="T573" s="611"/>
      <c r="U573" s="611"/>
      <c r="V573" s="611"/>
      <c r="W573" s="611"/>
      <c r="X573" s="611"/>
      <c r="Y573" s="611"/>
      <c r="Z573" s="611"/>
      <c r="AA573" s="611"/>
    </row>
    <row r="574" spans="1:27" ht="12.4" customHeight="1">
      <c r="A574" s="611"/>
      <c r="B574" s="612"/>
      <c r="C574" s="611"/>
      <c r="D574" s="611"/>
      <c r="E574" s="611"/>
      <c r="F574" s="611"/>
      <c r="G574" s="611"/>
      <c r="H574" s="611"/>
      <c r="I574" s="611"/>
      <c r="J574" s="634" t="s">
        <v>2343</v>
      </c>
      <c r="K574" s="635"/>
      <c r="L574" s="626"/>
      <c r="M574" s="627"/>
      <c r="N574" s="636" t="s">
        <v>2861</v>
      </c>
      <c r="O574" s="636" t="s">
        <v>3902</v>
      </c>
      <c r="P574" s="627" t="s">
        <v>1142</v>
      </c>
      <c r="Q574" s="611"/>
      <c r="R574" s="611"/>
      <c r="S574" s="611"/>
      <c r="T574" s="611"/>
      <c r="U574" s="611"/>
      <c r="V574" s="611"/>
      <c r="W574" s="611"/>
      <c r="X574" s="611"/>
      <c r="Y574" s="611"/>
      <c r="Z574" s="611"/>
      <c r="AA574" s="611"/>
    </row>
    <row r="575" spans="1:27" ht="12.4" customHeight="1">
      <c r="A575" s="611"/>
      <c r="B575" s="612"/>
      <c r="C575" s="611"/>
      <c r="D575" s="611"/>
      <c r="E575" s="611"/>
      <c r="F575" s="611"/>
      <c r="G575" s="611"/>
      <c r="H575" s="611"/>
      <c r="I575" s="611"/>
      <c r="J575" s="634" t="s">
        <v>3905</v>
      </c>
      <c r="K575" s="635"/>
      <c r="L575" s="626"/>
      <c r="M575" s="627"/>
      <c r="N575" s="636" t="s">
        <v>2874</v>
      </c>
      <c r="O575" s="636" t="s">
        <v>118</v>
      </c>
      <c r="P575" s="627" t="s">
        <v>1143</v>
      </c>
      <c r="Q575" s="611"/>
      <c r="R575" s="611"/>
      <c r="S575" s="611"/>
      <c r="T575" s="611"/>
      <c r="U575" s="611"/>
      <c r="V575" s="611"/>
      <c r="W575" s="611"/>
      <c r="X575" s="611"/>
      <c r="Y575" s="611"/>
      <c r="Z575" s="611"/>
      <c r="AA575" s="611"/>
    </row>
    <row r="576" spans="1:27" ht="12.4" customHeight="1">
      <c r="A576" s="611"/>
      <c r="B576" s="612"/>
      <c r="C576" s="611"/>
      <c r="D576" s="611"/>
      <c r="E576" s="611"/>
      <c r="F576" s="611"/>
      <c r="G576" s="611"/>
      <c r="H576" s="611"/>
      <c r="I576" s="611"/>
      <c r="J576" s="634" t="s">
        <v>3700</v>
      </c>
      <c r="K576" s="635"/>
      <c r="L576" s="626"/>
      <c r="M576" s="627"/>
      <c r="N576" s="636" t="s">
        <v>2876</v>
      </c>
      <c r="O576" s="636" t="s">
        <v>3371</v>
      </c>
      <c r="P576" s="627" t="s">
        <v>1144</v>
      </c>
      <c r="Q576" s="611"/>
      <c r="R576" s="611"/>
      <c r="S576" s="611"/>
      <c r="T576" s="611"/>
      <c r="U576" s="611"/>
      <c r="V576" s="611"/>
      <c r="W576" s="611"/>
      <c r="X576" s="611"/>
      <c r="Y576" s="611"/>
      <c r="Z576" s="611"/>
      <c r="AA576" s="611"/>
    </row>
    <row r="577" spans="1:27" ht="12.4" customHeight="1">
      <c r="A577" s="611"/>
      <c r="B577" s="612"/>
      <c r="C577" s="611"/>
      <c r="D577" s="611"/>
      <c r="E577" s="611"/>
      <c r="F577" s="611"/>
      <c r="G577" s="611"/>
      <c r="H577" s="611"/>
      <c r="I577" s="611"/>
      <c r="J577" s="634" t="s">
        <v>2873</v>
      </c>
      <c r="K577" s="635"/>
      <c r="L577" s="626"/>
      <c r="M577" s="627"/>
      <c r="N577" s="636" t="s">
        <v>2879</v>
      </c>
      <c r="O577" s="636" t="s">
        <v>3371</v>
      </c>
      <c r="P577" s="627" t="s">
        <v>1145</v>
      </c>
      <c r="Q577" s="611"/>
      <c r="R577" s="611"/>
      <c r="S577" s="611"/>
      <c r="T577" s="611"/>
      <c r="U577" s="611"/>
      <c r="V577" s="611"/>
      <c r="W577" s="611"/>
      <c r="X577" s="611"/>
      <c r="Y577" s="611"/>
      <c r="Z577" s="611"/>
      <c r="AA577" s="611"/>
    </row>
    <row r="578" spans="1:27" ht="12.4" customHeight="1">
      <c r="A578" s="611"/>
      <c r="B578" s="612"/>
      <c r="C578" s="611"/>
      <c r="D578" s="611"/>
      <c r="E578" s="611"/>
      <c r="F578" s="611"/>
      <c r="G578" s="611"/>
      <c r="H578" s="611"/>
      <c r="I578" s="611"/>
      <c r="J578" s="634" t="s">
        <v>2875</v>
      </c>
      <c r="K578" s="635"/>
      <c r="L578" s="626"/>
      <c r="M578" s="627"/>
      <c r="N578" s="636" t="s">
        <v>2881</v>
      </c>
      <c r="O578" s="636" t="s">
        <v>407</v>
      </c>
      <c r="P578" s="627" t="s">
        <v>1146</v>
      </c>
      <c r="Q578" s="611"/>
      <c r="R578" s="611"/>
      <c r="S578" s="611"/>
      <c r="T578" s="611"/>
      <c r="U578" s="611"/>
      <c r="V578" s="611"/>
      <c r="W578" s="611"/>
      <c r="X578" s="611"/>
      <c r="Y578" s="611"/>
      <c r="Z578" s="611"/>
      <c r="AA578" s="611"/>
    </row>
    <row r="579" spans="1:27" ht="12.4" customHeight="1">
      <c r="A579" s="611"/>
      <c r="B579" s="612"/>
      <c r="C579" s="611"/>
      <c r="D579" s="611"/>
      <c r="E579" s="611"/>
      <c r="F579" s="611"/>
      <c r="G579" s="611"/>
      <c r="H579" s="611"/>
      <c r="I579" s="611"/>
      <c r="J579" s="634" t="s">
        <v>2877</v>
      </c>
      <c r="K579" s="635"/>
      <c r="L579" s="626"/>
      <c r="M579" s="627"/>
      <c r="N579" s="636" t="s">
        <v>2883</v>
      </c>
      <c r="O579" s="636" t="s">
        <v>2663</v>
      </c>
      <c r="P579" s="627" t="s">
        <v>1147</v>
      </c>
      <c r="Q579" s="611"/>
      <c r="R579" s="611"/>
      <c r="S579" s="611"/>
      <c r="T579" s="611"/>
      <c r="U579" s="611"/>
      <c r="V579" s="611"/>
      <c r="W579" s="611"/>
      <c r="X579" s="611"/>
      <c r="Y579" s="611"/>
      <c r="Z579" s="611"/>
      <c r="AA579" s="611"/>
    </row>
    <row r="580" spans="1:27" ht="12.4" customHeight="1">
      <c r="A580" s="611"/>
      <c r="B580" s="612"/>
      <c r="C580" s="611"/>
      <c r="D580" s="611"/>
      <c r="E580" s="611"/>
      <c r="F580" s="611"/>
      <c r="G580" s="611"/>
      <c r="H580" s="611"/>
      <c r="I580" s="611"/>
      <c r="J580" s="634" t="s">
        <v>2878</v>
      </c>
      <c r="K580" s="635"/>
      <c r="L580" s="626"/>
      <c r="M580" s="627"/>
      <c r="N580" s="636" t="s">
        <v>2885</v>
      </c>
      <c r="O580" s="636" t="s">
        <v>417</v>
      </c>
      <c r="P580" s="627" t="s">
        <v>1148</v>
      </c>
      <c r="Q580" s="611"/>
      <c r="R580" s="611"/>
      <c r="S580" s="611"/>
      <c r="T580" s="611"/>
      <c r="U580" s="611"/>
      <c r="V580" s="611"/>
      <c r="W580" s="611"/>
      <c r="X580" s="611"/>
      <c r="Y580" s="611"/>
      <c r="Z580" s="611"/>
      <c r="AA580" s="611"/>
    </row>
    <row r="581" spans="1:27" ht="12.4" customHeight="1">
      <c r="A581" s="611"/>
      <c r="B581" s="612"/>
      <c r="C581" s="611"/>
      <c r="D581" s="611"/>
      <c r="E581" s="611"/>
      <c r="F581" s="611"/>
      <c r="G581" s="611"/>
      <c r="H581" s="611"/>
      <c r="I581" s="611"/>
      <c r="J581" s="634" t="s">
        <v>2880</v>
      </c>
      <c r="K581" s="635"/>
      <c r="L581" s="626"/>
      <c r="M581" s="627"/>
      <c r="N581" s="636" t="s">
        <v>3902</v>
      </c>
      <c r="O581" s="636" t="s">
        <v>120</v>
      </c>
      <c r="P581" s="627" t="s">
        <v>1149</v>
      </c>
      <c r="Q581" s="611"/>
      <c r="R581" s="611"/>
      <c r="S581" s="611"/>
      <c r="T581" s="611"/>
      <c r="U581" s="611"/>
      <c r="V581" s="611"/>
      <c r="W581" s="611"/>
      <c r="X581" s="611"/>
      <c r="Y581" s="611"/>
      <c r="Z581" s="611"/>
      <c r="AA581" s="611"/>
    </row>
    <row r="582" spans="1:27" ht="12.4" customHeight="1">
      <c r="A582" s="611"/>
      <c r="B582" s="612"/>
      <c r="C582" s="611"/>
      <c r="D582" s="611"/>
      <c r="E582" s="611"/>
      <c r="F582" s="611"/>
      <c r="G582" s="611"/>
      <c r="H582" s="611"/>
      <c r="I582" s="611"/>
      <c r="J582" s="634" t="s">
        <v>2882</v>
      </c>
      <c r="K582" s="635"/>
      <c r="L582" s="626"/>
      <c r="M582" s="627"/>
      <c r="N582" s="636" t="s">
        <v>3019</v>
      </c>
      <c r="O582" s="636" t="s">
        <v>122</v>
      </c>
      <c r="P582" s="627" t="s">
        <v>1150</v>
      </c>
      <c r="Q582" s="611"/>
      <c r="R582" s="611"/>
      <c r="S582" s="611"/>
      <c r="T582" s="611"/>
      <c r="U582" s="611"/>
      <c r="V582" s="611"/>
      <c r="W582" s="611"/>
      <c r="X582" s="611"/>
      <c r="Y582" s="611"/>
      <c r="Z582" s="611"/>
      <c r="AA582" s="611"/>
    </row>
    <row r="583" spans="1:27" ht="12.4" customHeight="1">
      <c r="A583" s="611"/>
      <c r="B583" s="612"/>
      <c r="C583" s="611"/>
      <c r="D583" s="611"/>
      <c r="E583" s="611"/>
      <c r="F583" s="611"/>
      <c r="G583" s="611"/>
      <c r="H583" s="611"/>
      <c r="I583" s="611"/>
      <c r="J583" s="634" t="s">
        <v>2884</v>
      </c>
      <c r="K583" s="635"/>
      <c r="L583" s="626"/>
      <c r="M583" s="627"/>
      <c r="N583" s="636" t="s">
        <v>2848</v>
      </c>
      <c r="O583" s="636" t="s">
        <v>1726</v>
      </c>
      <c r="P583" s="627" t="s">
        <v>1151</v>
      </c>
      <c r="Q583" s="611"/>
      <c r="R583" s="611"/>
      <c r="S583" s="611"/>
      <c r="T583" s="611"/>
      <c r="U583" s="611"/>
      <c r="V583" s="611"/>
      <c r="W583" s="611"/>
      <c r="X583" s="611"/>
      <c r="Y583" s="611"/>
      <c r="Z583" s="611"/>
      <c r="AA583" s="611"/>
    </row>
    <row r="584" spans="1:27" ht="12.4" customHeight="1">
      <c r="A584" s="611"/>
      <c r="B584" s="612"/>
      <c r="C584" s="611"/>
      <c r="D584" s="611"/>
      <c r="E584" s="611"/>
      <c r="F584" s="611"/>
      <c r="G584" s="611"/>
      <c r="H584" s="611"/>
      <c r="I584" s="611"/>
      <c r="J584" s="634" t="s">
        <v>2886</v>
      </c>
      <c r="K584" s="635"/>
      <c r="L584" s="626"/>
      <c r="M584" s="627"/>
      <c r="N584" s="636" t="s">
        <v>3903</v>
      </c>
      <c r="O584" s="636" t="s">
        <v>2022</v>
      </c>
      <c r="P584" s="627" t="s">
        <v>1152</v>
      </c>
      <c r="Q584" s="611"/>
      <c r="R584" s="611"/>
      <c r="S584" s="611"/>
      <c r="T584" s="611"/>
      <c r="U584" s="611"/>
      <c r="V584" s="611"/>
      <c r="W584" s="611"/>
      <c r="X584" s="611"/>
      <c r="Y584" s="611"/>
      <c r="Z584" s="611"/>
      <c r="AA584" s="611"/>
    </row>
    <row r="585" spans="1:27" ht="12.4" customHeight="1">
      <c r="A585" s="611"/>
      <c r="B585" s="612"/>
      <c r="C585" s="611"/>
      <c r="D585" s="611"/>
      <c r="E585" s="611"/>
      <c r="F585" s="611"/>
      <c r="G585" s="611"/>
      <c r="H585" s="611"/>
      <c r="I585" s="611"/>
      <c r="J585" s="634" t="s">
        <v>2887</v>
      </c>
      <c r="K585" s="635"/>
      <c r="L585" s="626"/>
      <c r="M585" s="627"/>
      <c r="N585" s="636" t="s">
        <v>2629</v>
      </c>
      <c r="O585" s="636" t="s">
        <v>3276</v>
      </c>
      <c r="P585" s="627" t="s">
        <v>1153</v>
      </c>
      <c r="Q585" s="611"/>
      <c r="R585" s="611"/>
      <c r="S585" s="611"/>
      <c r="T585" s="611"/>
      <c r="U585" s="611"/>
      <c r="V585" s="611"/>
      <c r="W585" s="611"/>
      <c r="X585" s="611"/>
      <c r="Y585" s="611"/>
      <c r="Z585" s="611"/>
      <c r="AA585" s="611"/>
    </row>
    <row r="586" spans="1:27" ht="12.4" customHeight="1">
      <c r="A586" s="611"/>
      <c r="B586" s="612"/>
      <c r="C586" s="611"/>
      <c r="D586" s="611"/>
      <c r="E586" s="611"/>
      <c r="F586" s="611"/>
      <c r="G586" s="611"/>
      <c r="H586" s="611"/>
      <c r="I586" s="611"/>
      <c r="J586" s="634" t="s">
        <v>2847</v>
      </c>
      <c r="K586" s="635"/>
      <c r="L586" s="626"/>
      <c r="M586" s="627"/>
      <c r="N586" s="636" t="s">
        <v>1420</v>
      </c>
      <c r="O586" s="636" t="s">
        <v>3283</v>
      </c>
      <c r="P586" s="1579" t="s">
        <v>1413</v>
      </c>
      <c r="Q586" s="611"/>
      <c r="R586" s="611"/>
      <c r="S586" s="611"/>
      <c r="T586" s="611"/>
      <c r="U586" s="611"/>
      <c r="V586" s="611"/>
      <c r="W586" s="611"/>
      <c r="X586" s="611"/>
      <c r="Y586" s="611"/>
      <c r="Z586" s="611"/>
      <c r="AA586" s="611"/>
    </row>
    <row r="587" spans="1:27" ht="12.4" customHeight="1">
      <c r="A587" s="611"/>
      <c r="B587" s="612"/>
      <c r="C587" s="611"/>
      <c r="D587" s="611"/>
      <c r="E587" s="611"/>
      <c r="F587" s="611"/>
      <c r="G587" s="611"/>
      <c r="H587" s="611"/>
      <c r="I587" s="611"/>
      <c r="J587" s="634" t="s">
        <v>2627</v>
      </c>
      <c r="K587" s="635"/>
      <c r="L587" s="626"/>
      <c r="M587" s="627"/>
      <c r="N587" s="636" t="s">
        <v>3404</v>
      </c>
      <c r="O587" s="636" t="s">
        <v>2665</v>
      </c>
      <c r="P587" s="627" t="s">
        <v>1154</v>
      </c>
      <c r="Q587" s="611"/>
      <c r="R587" s="611"/>
      <c r="S587" s="611"/>
      <c r="T587" s="611"/>
      <c r="U587" s="611"/>
      <c r="V587" s="611"/>
      <c r="W587" s="611"/>
      <c r="X587" s="611"/>
      <c r="Y587" s="611"/>
      <c r="Z587" s="611"/>
      <c r="AA587" s="611"/>
    </row>
    <row r="588" spans="1:27" ht="12.4" customHeight="1">
      <c r="A588" s="611"/>
      <c r="B588" s="612"/>
      <c r="C588" s="611"/>
      <c r="D588" s="611"/>
      <c r="E588" s="611"/>
      <c r="F588" s="611"/>
      <c r="G588" s="611"/>
      <c r="H588" s="611"/>
      <c r="I588" s="611"/>
      <c r="J588" s="634" t="s">
        <v>2628</v>
      </c>
      <c r="K588" s="635"/>
      <c r="L588" s="626"/>
      <c r="M588" s="627"/>
      <c r="N588" s="636" t="s">
        <v>3406</v>
      </c>
      <c r="O588" s="636" t="s">
        <v>3280</v>
      </c>
      <c r="P588" s="627" t="s">
        <v>1155</v>
      </c>
      <c r="Q588" s="611"/>
      <c r="R588" s="611"/>
      <c r="S588" s="611"/>
      <c r="T588" s="611"/>
      <c r="U588" s="611"/>
      <c r="V588" s="611"/>
      <c r="W588" s="611"/>
      <c r="X588" s="611"/>
      <c r="Y588" s="611"/>
      <c r="Z588" s="611"/>
      <c r="AA588" s="611"/>
    </row>
    <row r="589" spans="1:27" ht="12.4" customHeight="1">
      <c r="A589" s="611"/>
      <c r="B589" s="612"/>
      <c r="C589" s="611"/>
      <c r="D589" s="611"/>
      <c r="E589" s="611"/>
      <c r="F589" s="611"/>
      <c r="G589" s="611"/>
      <c r="H589" s="611"/>
      <c r="I589" s="611"/>
      <c r="J589" s="634" t="s">
        <v>2630</v>
      </c>
      <c r="K589" s="635"/>
      <c r="L589" s="626"/>
      <c r="M589" s="627"/>
      <c r="N589" s="636" t="s">
        <v>858</v>
      </c>
      <c r="O589" s="636" t="s">
        <v>3901</v>
      </c>
      <c r="P589" s="627" t="s">
        <v>1156</v>
      </c>
      <c r="Q589" s="611"/>
      <c r="R589" s="611"/>
      <c r="S589" s="611"/>
      <c r="T589" s="611"/>
      <c r="U589" s="611"/>
      <c r="V589" s="611"/>
      <c r="W589" s="611"/>
      <c r="X589" s="611"/>
      <c r="Y589" s="611"/>
      <c r="Z589" s="611"/>
      <c r="AA589" s="611"/>
    </row>
    <row r="590" spans="1:27" ht="12.4" customHeight="1">
      <c r="A590" s="611"/>
      <c r="B590" s="612"/>
      <c r="C590" s="611"/>
      <c r="D590" s="611"/>
      <c r="E590" s="611"/>
      <c r="F590" s="611"/>
      <c r="G590" s="611"/>
      <c r="H590" s="611"/>
      <c r="I590" s="611"/>
      <c r="J590" s="634" t="s">
        <v>3405</v>
      </c>
      <c r="K590" s="635"/>
      <c r="L590" s="626"/>
      <c r="M590" s="627"/>
      <c r="N590" s="636" t="s">
        <v>860</v>
      </c>
      <c r="O590" s="636" t="s">
        <v>1868</v>
      </c>
      <c r="P590" s="627" t="s">
        <v>1157</v>
      </c>
      <c r="Q590" s="611"/>
      <c r="R590" s="611"/>
      <c r="S590" s="611"/>
      <c r="T590" s="611"/>
      <c r="U590" s="611"/>
      <c r="V590" s="611"/>
      <c r="W590" s="611"/>
      <c r="X590" s="611"/>
      <c r="Y590" s="611"/>
      <c r="Z590" s="611"/>
      <c r="AA590" s="611"/>
    </row>
    <row r="591" spans="1:27" ht="12.4" customHeight="1">
      <c r="A591" s="611"/>
      <c r="B591" s="612"/>
      <c r="C591" s="611"/>
      <c r="D591" s="611"/>
      <c r="E591" s="611"/>
      <c r="F591" s="611"/>
      <c r="G591" s="611"/>
      <c r="H591" s="611"/>
      <c r="I591" s="611"/>
      <c r="J591" s="634" t="s">
        <v>857</v>
      </c>
      <c r="K591" s="635"/>
      <c r="L591" s="626"/>
      <c r="M591" s="627"/>
      <c r="N591" s="507" t="s">
        <v>1691</v>
      </c>
      <c r="O591" s="507" t="s">
        <v>965</v>
      </c>
      <c r="P591" s="1580" t="s">
        <v>3242</v>
      </c>
      <c r="Q591" s="611"/>
      <c r="R591" s="611"/>
      <c r="S591" s="611"/>
      <c r="T591" s="611"/>
      <c r="U591" s="611"/>
      <c r="V591" s="611"/>
      <c r="W591" s="611"/>
      <c r="X591" s="611"/>
      <c r="Y591" s="611"/>
      <c r="Z591" s="611"/>
      <c r="AA591" s="611"/>
    </row>
    <row r="592" spans="1:27" ht="12.4" customHeight="1">
      <c r="A592" s="611"/>
      <c r="B592" s="612"/>
      <c r="C592" s="611"/>
      <c r="D592" s="611"/>
      <c r="E592" s="611"/>
      <c r="F592" s="611"/>
      <c r="G592" s="611"/>
      <c r="H592" s="611"/>
      <c r="I592" s="611"/>
      <c r="J592" s="634" t="s">
        <v>859</v>
      </c>
      <c r="K592" s="635"/>
      <c r="L592" s="626"/>
      <c r="M592" s="627"/>
      <c r="N592" s="636" t="s">
        <v>862</v>
      </c>
      <c r="O592" s="636" t="s">
        <v>2662</v>
      </c>
      <c r="P592" s="627" t="s">
        <v>1158</v>
      </c>
      <c r="Q592" s="611"/>
      <c r="R592" s="611"/>
      <c r="S592" s="611"/>
      <c r="T592" s="611"/>
      <c r="U592" s="611"/>
      <c r="V592" s="611"/>
      <c r="W592" s="611"/>
      <c r="X592" s="611"/>
      <c r="Y592" s="611"/>
      <c r="Z592" s="611"/>
      <c r="AA592" s="611"/>
    </row>
    <row r="593" spans="1:27" ht="12.4" customHeight="1">
      <c r="A593" s="611"/>
      <c r="B593" s="612"/>
      <c r="C593" s="611"/>
      <c r="D593" s="611"/>
      <c r="E593" s="611"/>
      <c r="F593" s="611"/>
      <c r="G593" s="611"/>
      <c r="H593" s="611"/>
      <c r="I593" s="611"/>
      <c r="J593" s="634" t="s">
        <v>861</v>
      </c>
      <c r="K593" s="635"/>
      <c r="L593" s="626"/>
      <c r="M593" s="627"/>
      <c r="N593" s="636" t="s">
        <v>1824</v>
      </c>
      <c r="O593" s="636" t="s">
        <v>1726</v>
      </c>
      <c r="P593" s="627" t="s">
        <v>1159</v>
      </c>
      <c r="Q593" s="611"/>
      <c r="R593" s="611"/>
      <c r="S593" s="611"/>
      <c r="T593" s="611"/>
      <c r="U593" s="611"/>
      <c r="V593" s="611"/>
      <c r="W593" s="611"/>
      <c r="X593" s="611"/>
      <c r="Y593" s="611"/>
      <c r="Z593" s="611"/>
      <c r="AA593" s="611"/>
    </row>
    <row r="594" spans="1:27" ht="12.4" customHeight="1">
      <c r="A594" s="611"/>
      <c r="B594" s="612"/>
      <c r="C594" s="611"/>
      <c r="D594" s="611"/>
      <c r="E594" s="611"/>
      <c r="F594" s="611"/>
      <c r="G594" s="611"/>
      <c r="H594" s="611"/>
      <c r="I594" s="611"/>
      <c r="J594" s="634" t="s">
        <v>3149</v>
      </c>
      <c r="K594" s="635"/>
      <c r="L594" s="626"/>
      <c r="M594" s="627"/>
      <c r="N594" s="636" t="s">
        <v>2173</v>
      </c>
      <c r="O594" s="636" t="s">
        <v>2663</v>
      </c>
      <c r="P594" s="627" t="s">
        <v>1160</v>
      </c>
      <c r="Q594" s="611"/>
      <c r="R594" s="611"/>
      <c r="S594" s="611"/>
      <c r="T594" s="611"/>
      <c r="U594" s="611"/>
      <c r="V594" s="611"/>
      <c r="W594" s="611"/>
      <c r="X594" s="611"/>
      <c r="Y594" s="611"/>
      <c r="Z594" s="611"/>
      <c r="AA594" s="611"/>
    </row>
    <row r="595" spans="1:27" ht="12.4" customHeight="1">
      <c r="A595" s="611"/>
      <c r="B595" s="612"/>
      <c r="C595" s="611"/>
      <c r="D595" s="611"/>
      <c r="E595" s="611"/>
      <c r="F595" s="611"/>
      <c r="G595" s="611"/>
      <c r="H595" s="611"/>
      <c r="I595" s="611"/>
      <c r="J595" s="634" t="s">
        <v>2172</v>
      </c>
      <c r="K595" s="635"/>
      <c r="L595" s="626"/>
      <c r="M595" s="627"/>
      <c r="N595" s="636" t="s">
        <v>2175</v>
      </c>
      <c r="O595" s="636" t="s">
        <v>2021</v>
      </c>
      <c r="P595" s="627" t="s">
        <v>2175</v>
      </c>
      <c r="Q595" s="611"/>
      <c r="R595" s="611"/>
      <c r="S595" s="611"/>
      <c r="T595" s="611"/>
      <c r="U595" s="611"/>
      <c r="V595" s="611"/>
      <c r="W595" s="611"/>
      <c r="X595" s="611"/>
      <c r="Y595" s="611"/>
      <c r="Z595" s="611"/>
      <c r="AA595" s="611"/>
    </row>
    <row r="596" spans="1:27" ht="12.4" customHeight="1">
      <c r="A596" s="611"/>
      <c r="B596" s="612"/>
      <c r="C596" s="611"/>
      <c r="D596" s="611"/>
      <c r="E596" s="611"/>
      <c r="F596" s="611"/>
      <c r="G596" s="611"/>
      <c r="H596" s="611"/>
      <c r="I596" s="611"/>
      <c r="J596" s="634" t="s">
        <v>2174</v>
      </c>
      <c r="K596" s="635"/>
      <c r="L596" s="626"/>
      <c r="M596" s="627"/>
      <c r="N596" s="636" t="s">
        <v>2177</v>
      </c>
      <c r="O596" s="636" t="s">
        <v>1002</v>
      </c>
      <c r="P596" s="627" t="s">
        <v>2177</v>
      </c>
      <c r="Q596" s="611"/>
      <c r="R596" s="611"/>
      <c r="S596" s="611"/>
      <c r="T596" s="611"/>
      <c r="U596" s="611"/>
      <c r="V596" s="611"/>
      <c r="W596" s="611"/>
      <c r="X596" s="611"/>
      <c r="Y596" s="611"/>
      <c r="Z596" s="611"/>
      <c r="AA596" s="611"/>
    </row>
    <row r="597" spans="1:27" ht="12.4" customHeight="1">
      <c r="A597" s="611"/>
      <c r="B597" s="612"/>
      <c r="C597" s="611"/>
      <c r="D597" s="611"/>
      <c r="E597" s="611"/>
      <c r="F597" s="611"/>
      <c r="G597" s="611"/>
      <c r="H597" s="611"/>
      <c r="I597" s="611"/>
      <c r="J597" s="634" t="s">
        <v>2176</v>
      </c>
      <c r="K597" s="635"/>
      <c r="L597" s="626"/>
      <c r="M597" s="627"/>
      <c r="N597" s="636" t="s">
        <v>2338</v>
      </c>
      <c r="O597" s="636" t="s">
        <v>2807</v>
      </c>
      <c r="P597" s="627" t="s">
        <v>1161</v>
      </c>
      <c r="Q597" s="611"/>
      <c r="R597" s="611"/>
      <c r="S597" s="611"/>
      <c r="T597" s="611"/>
      <c r="U597" s="611"/>
      <c r="V597" s="611"/>
      <c r="W597" s="611"/>
      <c r="X597" s="611"/>
      <c r="Y597" s="611"/>
      <c r="Z597" s="611"/>
      <c r="AA597" s="611"/>
    </row>
    <row r="598" spans="1:27" ht="12.4" customHeight="1">
      <c r="A598" s="611"/>
      <c r="B598" s="612"/>
      <c r="C598" s="611"/>
      <c r="D598" s="611"/>
      <c r="E598" s="611"/>
      <c r="F598" s="611"/>
      <c r="G598" s="611"/>
      <c r="H598" s="611"/>
      <c r="I598" s="611"/>
      <c r="J598" s="634" t="s">
        <v>2337</v>
      </c>
      <c r="K598" s="635"/>
      <c r="L598" s="626"/>
      <c r="M598" s="627"/>
      <c r="N598" s="636" t="s">
        <v>3217</v>
      </c>
      <c r="O598" s="636" t="s">
        <v>2541</v>
      </c>
      <c r="P598" s="627" t="s">
        <v>1162</v>
      </c>
      <c r="Q598" s="611"/>
      <c r="R598" s="611"/>
      <c r="S598" s="611"/>
      <c r="T598" s="611"/>
      <c r="U598" s="611"/>
      <c r="V598" s="611"/>
      <c r="W598" s="611"/>
      <c r="X598" s="611"/>
      <c r="Y598" s="611"/>
      <c r="Z598" s="611"/>
      <c r="AA598" s="611"/>
    </row>
    <row r="599" spans="1:27" ht="12.4" customHeight="1">
      <c r="A599" s="611"/>
      <c r="B599" s="612"/>
      <c r="C599" s="611"/>
      <c r="D599" s="611"/>
      <c r="E599" s="611"/>
      <c r="F599" s="611"/>
      <c r="G599" s="611"/>
      <c r="H599" s="611"/>
      <c r="I599" s="611"/>
      <c r="J599" s="634" t="s">
        <v>3216</v>
      </c>
      <c r="K599" s="635"/>
      <c r="L599" s="626"/>
      <c r="M599" s="627"/>
      <c r="N599" s="636" t="s">
        <v>3219</v>
      </c>
      <c r="O599" s="636" t="s">
        <v>2027</v>
      </c>
      <c r="P599" s="627" t="s">
        <v>1163</v>
      </c>
      <c r="Q599" s="611"/>
      <c r="R599" s="611"/>
      <c r="S599" s="611"/>
      <c r="T599" s="611"/>
      <c r="U599" s="611"/>
      <c r="V599" s="611"/>
      <c r="W599" s="611"/>
      <c r="X599" s="611"/>
      <c r="Y599" s="611"/>
      <c r="Z599" s="611"/>
      <c r="AA599" s="611"/>
    </row>
    <row r="600" spans="1:27" ht="12.4" customHeight="1">
      <c r="A600" s="611"/>
      <c r="B600" s="612"/>
      <c r="C600" s="611"/>
      <c r="D600" s="611"/>
      <c r="E600" s="611"/>
      <c r="F600" s="611"/>
      <c r="G600" s="611"/>
      <c r="H600" s="611"/>
      <c r="I600" s="611"/>
      <c r="J600" s="634" t="s">
        <v>3218</v>
      </c>
      <c r="K600" s="635"/>
      <c r="L600" s="626"/>
      <c r="M600" s="627"/>
      <c r="N600" s="636" t="s">
        <v>2163</v>
      </c>
      <c r="O600" s="636" t="s">
        <v>419</v>
      </c>
      <c r="P600" s="627" t="s">
        <v>1164</v>
      </c>
      <c r="Q600" s="611"/>
      <c r="R600" s="507" t="s">
        <v>106</v>
      </c>
      <c r="S600" s="507" t="s">
        <v>108</v>
      </c>
      <c r="T600" s="507" t="s">
        <v>107</v>
      </c>
      <c r="U600" s="611"/>
      <c r="V600" s="611"/>
      <c r="W600" s="611"/>
      <c r="X600" s="611"/>
      <c r="Y600" s="611"/>
      <c r="Z600" s="611"/>
      <c r="AA600" s="611"/>
    </row>
    <row r="601" spans="1:27" ht="12.4" customHeight="1">
      <c r="A601" s="611"/>
      <c r="B601" s="612"/>
      <c r="C601" s="611"/>
      <c r="D601" s="611"/>
      <c r="E601" s="611"/>
      <c r="F601" s="611"/>
      <c r="G601" s="611"/>
      <c r="H601" s="611"/>
      <c r="I601" s="611"/>
      <c r="J601" s="634" t="s">
        <v>3220</v>
      </c>
      <c r="K601" s="635"/>
      <c r="L601" s="626"/>
      <c r="M601" s="627"/>
      <c r="N601" s="636" t="s">
        <v>2165</v>
      </c>
      <c r="O601" s="636" t="s">
        <v>416</v>
      </c>
      <c r="P601" s="627" t="s">
        <v>1165</v>
      </c>
      <c r="Q601" s="611"/>
      <c r="R601" s="507" t="s">
        <v>3865</v>
      </c>
      <c r="S601" s="507" t="s">
        <v>965</v>
      </c>
      <c r="T601" s="1580" t="s">
        <v>3242</v>
      </c>
      <c r="U601" s="611"/>
      <c r="V601" s="611"/>
      <c r="W601" s="611"/>
      <c r="X601" s="611"/>
      <c r="Y601" s="611"/>
      <c r="Z601" s="611"/>
      <c r="AA601" s="611"/>
    </row>
    <row r="602" spans="1:27" ht="12.4" customHeight="1">
      <c r="A602" s="611"/>
      <c r="B602" s="612"/>
      <c r="C602" s="611"/>
      <c r="D602" s="611"/>
      <c r="E602" s="611"/>
      <c r="F602" s="611"/>
      <c r="G602" s="611"/>
      <c r="H602" s="611"/>
      <c r="I602" s="611"/>
      <c r="J602" s="634" t="s">
        <v>2164</v>
      </c>
      <c r="K602" s="635"/>
      <c r="L602" s="626"/>
      <c r="M602" s="627"/>
      <c r="N602" s="507" t="s">
        <v>1692</v>
      </c>
      <c r="O602" s="507" t="s">
        <v>2665</v>
      </c>
      <c r="P602" s="1580" t="s">
        <v>3242</v>
      </c>
      <c r="Q602" s="611"/>
      <c r="R602" s="507" t="s">
        <v>3866</v>
      </c>
      <c r="S602" s="507" t="s">
        <v>415</v>
      </c>
      <c r="T602" s="1580" t="s">
        <v>3242</v>
      </c>
      <c r="U602" s="611"/>
      <c r="V602" s="611"/>
      <c r="W602" s="611"/>
      <c r="X602" s="611"/>
      <c r="Y602" s="611"/>
      <c r="Z602" s="611"/>
      <c r="AA602" s="611"/>
    </row>
    <row r="603" spans="1:27" ht="12.4" customHeight="1">
      <c r="A603" s="611"/>
      <c r="B603" s="612"/>
      <c r="C603" s="611"/>
      <c r="D603" s="611"/>
      <c r="E603" s="611"/>
      <c r="F603" s="611"/>
      <c r="G603" s="611"/>
      <c r="H603" s="611"/>
      <c r="I603" s="611"/>
      <c r="J603" s="634" t="s">
        <v>2166</v>
      </c>
      <c r="K603" s="635"/>
      <c r="L603" s="626"/>
      <c r="M603" s="627"/>
      <c r="N603" s="636" t="s">
        <v>2167</v>
      </c>
      <c r="O603" s="636" t="s">
        <v>965</v>
      </c>
      <c r="P603" s="627" t="s">
        <v>1166</v>
      </c>
      <c r="Q603" s="611"/>
      <c r="R603" s="507" t="s">
        <v>3867</v>
      </c>
      <c r="S603" s="507" t="s">
        <v>3758</v>
      </c>
      <c r="T603" s="1580" t="s">
        <v>3242</v>
      </c>
      <c r="U603" s="611"/>
      <c r="V603" s="611"/>
      <c r="W603" s="611"/>
      <c r="X603" s="611"/>
      <c r="Y603" s="611"/>
      <c r="Z603" s="611"/>
      <c r="AA603" s="611"/>
    </row>
    <row r="604" spans="1:27" ht="12.4" customHeight="1">
      <c r="A604" s="611"/>
      <c r="B604" s="612"/>
      <c r="C604" s="611"/>
      <c r="D604" s="611"/>
      <c r="E604" s="611"/>
      <c r="F604" s="611"/>
      <c r="G604" s="611"/>
      <c r="H604" s="611"/>
      <c r="I604" s="611"/>
      <c r="J604" s="634" t="s">
        <v>2311</v>
      </c>
      <c r="K604" s="635"/>
      <c r="L604" s="626"/>
      <c r="M604" s="627"/>
      <c r="N604" s="636" t="s">
        <v>2312</v>
      </c>
      <c r="O604" s="636" t="s">
        <v>411</v>
      </c>
      <c r="P604" s="627" t="s">
        <v>1167</v>
      </c>
      <c r="Q604" s="611"/>
      <c r="R604" s="507" t="s">
        <v>3868</v>
      </c>
      <c r="S604" s="507"/>
      <c r="T604" s="1580" t="s">
        <v>3242</v>
      </c>
      <c r="U604" s="611"/>
      <c r="V604" s="611"/>
      <c r="W604" s="611"/>
      <c r="X604" s="611"/>
      <c r="Y604" s="611"/>
      <c r="Z604" s="611"/>
      <c r="AA604" s="611"/>
    </row>
    <row r="605" spans="1:27" ht="12.4" customHeight="1">
      <c r="A605" s="611"/>
      <c r="B605" s="612"/>
      <c r="C605" s="611"/>
      <c r="D605" s="611"/>
      <c r="E605" s="611"/>
      <c r="F605" s="611"/>
      <c r="G605" s="611"/>
      <c r="H605" s="611"/>
      <c r="I605" s="611"/>
      <c r="J605" s="634" t="s">
        <v>2313</v>
      </c>
      <c r="K605" s="635"/>
      <c r="L605" s="626"/>
      <c r="M605" s="627"/>
      <c r="N605" s="636" t="s">
        <v>3148</v>
      </c>
      <c r="O605" s="636" t="s">
        <v>1550</v>
      </c>
      <c r="P605" s="627" t="s">
        <v>1168</v>
      </c>
      <c r="Q605" s="611"/>
      <c r="R605" s="507" t="s">
        <v>3869</v>
      </c>
      <c r="S605" s="507" t="s">
        <v>3087</v>
      </c>
      <c r="T605" s="1580" t="s">
        <v>3242</v>
      </c>
      <c r="U605" s="611"/>
      <c r="V605" s="611"/>
      <c r="W605" s="611"/>
      <c r="X605" s="611"/>
      <c r="Y605" s="611"/>
      <c r="Z605" s="611"/>
      <c r="AA605" s="611"/>
    </row>
    <row r="606" spans="1:27" ht="12.4" customHeight="1">
      <c r="A606" s="611"/>
      <c r="B606" s="612"/>
      <c r="C606" s="611"/>
      <c r="D606" s="611"/>
      <c r="E606" s="611"/>
      <c r="F606" s="611"/>
      <c r="G606" s="611"/>
      <c r="H606" s="611"/>
      <c r="I606" s="611"/>
      <c r="J606" s="634" t="s">
        <v>3147</v>
      </c>
      <c r="K606" s="635"/>
      <c r="L606" s="626"/>
      <c r="M606" s="627"/>
      <c r="N606" s="636" t="s">
        <v>2929</v>
      </c>
      <c r="O606" s="636" t="s">
        <v>3027</v>
      </c>
      <c r="P606" s="627" t="s">
        <v>1169</v>
      </c>
      <c r="Q606" s="611"/>
      <c r="R606" s="507" t="s">
        <v>3870</v>
      </c>
      <c r="S606" s="507" t="s">
        <v>3758</v>
      </c>
      <c r="T606" s="1580" t="s">
        <v>3242</v>
      </c>
      <c r="U606" s="611"/>
      <c r="V606" s="611"/>
      <c r="W606" s="611"/>
      <c r="X606" s="611"/>
      <c r="Y606" s="611"/>
      <c r="Z606" s="611"/>
      <c r="AA606" s="611"/>
    </row>
    <row r="607" spans="1:27" ht="12.4" customHeight="1">
      <c r="A607" s="611"/>
      <c r="B607" s="612"/>
      <c r="C607" s="611"/>
      <c r="D607" s="611"/>
      <c r="E607" s="611"/>
      <c r="F607" s="611"/>
      <c r="G607" s="611"/>
      <c r="H607" s="611"/>
      <c r="I607" s="611"/>
      <c r="J607" s="634" t="s">
        <v>2928</v>
      </c>
      <c r="K607" s="635"/>
      <c r="L607" s="626"/>
      <c r="M607" s="627"/>
      <c r="N607" s="636" t="s">
        <v>370</v>
      </c>
      <c r="O607" s="636" t="s">
        <v>3027</v>
      </c>
      <c r="P607" s="627" t="s">
        <v>1170</v>
      </c>
      <c r="Q607" s="611"/>
      <c r="R607" s="507" t="s">
        <v>3871</v>
      </c>
      <c r="S607" s="507" t="s">
        <v>2029</v>
      </c>
      <c r="T607" s="1580" t="s">
        <v>3242</v>
      </c>
      <c r="U607" s="611"/>
      <c r="V607" s="611"/>
      <c r="W607" s="611"/>
      <c r="X607" s="611"/>
      <c r="Y607" s="611"/>
      <c r="Z607" s="611"/>
      <c r="AA607" s="611"/>
    </row>
    <row r="608" spans="1:27" ht="12.4" customHeight="1">
      <c r="A608" s="611"/>
      <c r="B608" s="612"/>
      <c r="C608" s="611"/>
      <c r="D608" s="611"/>
      <c r="E608" s="611"/>
      <c r="F608" s="611"/>
      <c r="G608" s="611"/>
      <c r="H608" s="611"/>
      <c r="I608" s="611"/>
      <c r="J608" s="634" t="s">
        <v>369</v>
      </c>
      <c r="K608" s="635"/>
      <c r="L608" s="626"/>
      <c r="M608" s="627"/>
      <c r="N608" s="636" t="s">
        <v>2703</v>
      </c>
      <c r="O608" s="636" t="s">
        <v>3285</v>
      </c>
      <c r="P608" s="627" t="s">
        <v>1171</v>
      </c>
      <c r="Q608" s="611"/>
      <c r="R608" s="507" t="s">
        <v>3872</v>
      </c>
      <c r="S608" s="507" t="s">
        <v>3089</v>
      </c>
      <c r="T608" s="1580" t="s">
        <v>3242</v>
      </c>
      <c r="U608" s="611"/>
      <c r="V608" s="611"/>
      <c r="W608" s="611"/>
      <c r="X608" s="611"/>
      <c r="Y608" s="611"/>
      <c r="Z608" s="611"/>
      <c r="AA608" s="611"/>
    </row>
    <row r="609" spans="1:27" ht="12.4" customHeight="1">
      <c r="A609" s="611"/>
      <c r="B609" s="612"/>
      <c r="C609" s="611"/>
      <c r="D609" s="611"/>
      <c r="E609" s="611"/>
      <c r="F609" s="611"/>
      <c r="G609" s="611"/>
      <c r="H609" s="611"/>
      <c r="I609" s="611"/>
      <c r="J609" s="634" t="s">
        <v>2702</v>
      </c>
      <c r="K609" s="635"/>
      <c r="L609" s="626"/>
      <c r="M609" s="627"/>
      <c r="N609" s="636" t="s">
        <v>340</v>
      </c>
      <c r="O609" s="636" t="s">
        <v>1012</v>
      </c>
      <c r="P609" s="627" t="s">
        <v>1172</v>
      </c>
      <c r="Q609" s="611"/>
      <c r="R609" s="507" t="s">
        <v>3873</v>
      </c>
      <c r="S609" s="507" t="s">
        <v>1011</v>
      </c>
      <c r="T609" s="1580" t="s">
        <v>3242</v>
      </c>
      <c r="U609" s="611"/>
      <c r="V609" s="611"/>
      <c r="W609" s="611"/>
      <c r="X609" s="611"/>
      <c r="Y609" s="611"/>
      <c r="Z609" s="611"/>
      <c r="AA609" s="611"/>
    </row>
    <row r="610" spans="1:27" ht="12.4" customHeight="1">
      <c r="A610" s="611"/>
      <c r="B610" s="612"/>
      <c r="C610" s="611"/>
      <c r="D610" s="611"/>
      <c r="E610" s="611"/>
      <c r="F610" s="611"/>
      <c r="G610" s="611"/>
      <c r="H610" s="611"/>
      <c r="I610" s="611"/>
      <c r="J610" s="634" t="s">
        <v>339</v>
      </c>
      <c r="K610" s="635"/>
      <c r="L610" s="626"/>
      <c r="M610" s="627"/>
      <c r="N610" s="636" t="s">
        <v>1829</v>
      </c>
      <c r="O610" s="636" t="s">
        <v>215</v>
      </c>
      <c r="P610" s="627" t="s">
        <v>1173</v>
      </c>
      <c r="Q610" s="611"/>
      <c r="R610" s="507" t="s">
        <v>3874</v>
      </c>
      <c r="S610" s="507" t="s">
        <v>965</v>
      </c>
      <c r="T610" s="1580" t="s">
        <v>3242</v>
      </c>
      <c r="U610" s="611"/>
      <c r="V610" s="611"/>
      <c r="W610" s="611"/>
      <c r="X610" s="611"/>
      <c r="Y610" s="611"/>
      <c r="Z610" s="611"/>
      <c r="AA610" s="611"/>
    </row>
    <row r="611" spans="1:27" ht="12.4" customHeight="1">
      <c r="A611" s="611"/>
      <c r="B611" s="612"/>
      <c r="C611" s="611"/>
      <c r="D611" s="611"/>
      <c r="E611" s="611"/>
      <c r="F611" s="611"/>
      <c r="G611" s="611"/>
      <c r="H611" s="611"/>
      <c r="I611" s="611"/>
      <c r="J611" s="634" t="s">
        <v>363</v>
      </c>
      <c r="K611" s="635"/>
      <c r="L611" s="626"/>
      <c r="M611" s="627"/>
      <c r="N611" s="636" t="s">
        <v>1831</v>
      </c>
      <c r="O611" s="636" t="s">
        <v>215</v>
      </c>
      <c r="P611" s="627" t="s">
        <v>1174</v>
      </c>
      <c r="Q611" s="611"/>
      <c r="R611" s="507" t="s">
        <v>3875</v>
      </c>
      <c r="S611" s="507" t="s">
        <v>3280</v>
      </c>
      <c r="T611" s="1580" t="s">
        <v>3242</v>
      </c>
      <c r="U611" s="611"/>
      <c r="V611" s="611"/>
      <c r="W611" s="611"/>
      <c r="X611" s="611"/>
      <c r="Y611" s="611"/>
      <c r="Z611" s="611"/>
      <c r="AA611" s="611"/>
    </row>
    <row r="612" spans="1:27" ht="12.4" customHeight="1">
      <c r="A612" s="611"/>
      <c r="B612" s="612"/>
      <c r="C612" s="611"/>
      <c r="D612" s="611"/>
      <c r="E612" s="611"/>
      <c r="F612" s="611"/>
      <c r="G612" s="611"/>
      <c r="H612" s="611"/>
      <c r="I612" s="611"/>
      <c r="J612" s="634" t="s">
        <v>1830</v>
      </c>
      <c r="K612" s="635"/>
      <c r="L612" s="626"/>
      <c r="M612" s="627"/>
      <c r="N612" s="636" t="s">
        <v>1234</v>
      </c>
      <c r="O612" s="636" t="s">
        <v>2029</v>
      </c>
      <c r="P612" s="627" t="s">
        <v>1175</v>
      </c>
      <c r="Q612" s="611"/>
      <c r="R612" s="507" t="s">
        <v>3876</v>
      </c>
      <c r="S612" s="507" t="s">
        <v>3819</v>
      </c>
      <c r="T612" s="1580" t="s">
        <v>3242</v>
      </c>
      <c r="U612" s="611"/>
      <c r="V612" s="611"/>
      <c r="W612" s="611"/>
      <c r="X612" s="611"/>
      <c r="Y612" s="611"/>
      <c r="Z612" s="611"/>
      <c r="AA612" s="611"/>
    </row>
    <row r="613" spans="1:27" ht="12.4" customHeight="1">
      <c r="A613" s="611"/>
      <c r="B613" s="612"/>
      <c r="C613" s="611"/>
      <c r="D613" s="611"/>
      <c r="E613" s="611"/>
      <c r="F613" s="611"/>
      <c r="G613" s="611"/>
      <c r="H613" s="611"/>
      <c r="I613" s="611"/>
      <c r="J613" s="634" t="s">
        <v>1233</v>
      </c>
      <c r="K613" s="635"/>
      <c r="L613" s="626"/>
      <c r="M613" s="627"/>
      <c r="N613" s="636" t="s">
        <v>314</v>
      </c>
      <c r="O613" s="636" t="s">
        <v>3901</v>
      </c>
      <c r="P613" s="627" t="s">
        <v>1176</v>
      </c>
      <c r="Q613" s="611"/>
      <c r="R613" s="507" t="s">
        <v>3373</v>
      </c>
      <c r="S613" s="507" t="s">
        <v>3816</v>
      </c>
      <c r="T613" s="1580" t="s">
        <v>3242</v>
      </c>
      <c r="U613" s="611"/>
      <c r="V613" s="611"/>
      <c r="W613" s="611"/>
      <c r="X613" s="611"/>
      <c r="Y613" s="611"/>
      <c r="Z613" s="611"/>
      <c r="AA613" s="611"/>
    </row>
    <row r="614" spans="1:27" ht="12.4" customHeight="1">
      <c r="A614" s="611"/>
      <c r="B614" s="612"/>
      <c r="C614" s="611"/>
      <c r="D614" s="611"/>
      <c r="E614" s="611"/>
      <c r="F614" s="611"/>
      <c r="G614" s="611"/>
      <c r="H614" s="611"/>
      <c r="I614" s="611"/>
      <c r="J614" s="634" t="s">
        <v>1235</v>
      </c>
      <c r="K614" s="635"/>
      <c r="L614" s="626"/>
      <c r="M614" s="627"/>
      <c r="N614" s="636" t="s">
        <v>1649</v>
      </c>
      <c r="O614" s="636" t="s">
        <v>3636</v>
      </c>
      <c r="P614" s="627" t="s">
        <v>1177</v>
      </c>
      <c r="Q614" s="611"/>
      <c r="R614" s="507" t="s">
        <v>3877</v>
      </c>
      <c r="S614" s="507" t="s">
        <v>3280</v>
      </c>
      <c r="T614" s="1580" t="s">
        <v>3242</v>
      </c>
      <c r="U614" s="611"/>
      <c r="V614" s="611"/>
      <c r="W614" s="611"/>
      <c r="X614" s="611"/>
      <c r="Y614" s="611"/>
      <c r="Z614" s="611"/>
      <c r="AA614" s="611"/>
    </row>
    <row r="615" spans="1:27" ht="12.4" customHeight="1">
      <c r="A615" s="611"/>
      <c r="B615" s="612"/>
      <c r="C615" s="611"/>
      <c r="D615" s="611"/>
      <c r="E615" s="611"/>
      <c r="F615" s="611"/>
      <c r="G615" s="611"/>
      <c r="H615" s="611"/>
      <c r="I615" s="611"/>
      <c r="J615" s="634" t="s">
        <v>1648</v>
      </c>
      <c r="K615" s="635"/>
      <c r="L615" s="626"/>
      <c r="M615" s="627"/>
      <c r="N615" s="636" t="s">
        <v>2779</v>
      </c>
      <c r="O615" s="636" t="s">
        <v>3761</v>
      </c>
      <c r="P615" s="627" t="s">
        <v>1178</v>
      </c>
      <c r="Q615" s="611"/>
      <c r="R615" s="507" t="s">
        <v>3878</v>
      </c>
      <c r="S615" s="507" t="s">
        <v>3761</v>
      </c>
      <c r="T615" s="1580" t="s">
        <v>3242</v>
      </c>
      <c r="U615" s="611"/>
      <c r="V615" s="611"/>
      <c r="W615" s="611"/>
      <c r="X615" s="611"/>
      <c r="Y615" s="611"/>
      <c r="Z615" s="611"/>
      <c r="AA615" s="611"/>
    </row>
    <row r="616" spans="1:27" ht="12.4" customHeight="1">
      <c r="A616" s="611"/>
      <c r="B616" s="612"/>
      <c r="C616" s="611"/>
      <c r="D616" s="611"/>
      <c r="E616" s="611"/>
      <c r="F616" s="611"/>
      <c r="G616" s="611"/>
      <c r="H616" s="611"/>
      <c r="I616" s="611"/>
      <c r="J616" s="634" t="s">
        <v>1650</v>
      </c>
      <c r="K616" s="635"/>
      <c r="L616" s="626"/>
      <c r="M616" s="627"/>
      <c r="N616" s="636" t="s">
        <v>2853</v>
      </c>
      <c r="O616" s="636" t="s">
        <v>124</v>
      </c>
      <c r="P616" s="1579" t="s">
        <v>1413</v>
      </c>
      <c r="Q616" s="611"/>
      <c r="R616" s="507" t="s">
        <v>3879</v>
      </c>
      <c r="S616" s="507" t="s">
        <v>3087</v>
      </c>
      <c r="T616" s="1580" t="s">
        <v>3242</v>
      </c>
      <c r="U616" s="611"/>
      <c r="V616" s="611"/>
      <c r="W616" s="611"/>
      <c r="X616" s="611"/>
      <c r="Y616" s="611"/>
      <c r="Z616" s="611"/>
      <c r="AA616" s="611"/>
    </row>
    <row r="617" spans="1:27" ht="12.4" customHeight="1">
      <c r="A617" s="611"/>
      <c r="B617" s="612"/>
      <c r="C617" s="611"/>
      <c r="D617" s="611"/>
      <c r="E617" s="611"/>
      <c r="F617" s="611"/>
      <c r="G617" s="611"/>
      <c r="H617" s="611"/>
      <c r="I617" s="611"/>
      <c r="J617" s="634" t="s">
        <v>2852</v>
      </c>
      <c r="K617" s="635"/>
      <c r="L617" s="626"/>
      <c r="M617" s="627"/>
      <c r="N617" s="636" t="s">
        <v>1731</v>
      </c>
      <c r="O617" s="636" t="s">
        <v>1221</v>
      </c>
      <c r="P617" s="627" t="s">
        <v>1179</v>
      </c>
      <c r="Q617" s="611"/>
      <c r="R617" s="507" t="s">
        <v>1673</v>
      </c>
      <c r="S617" s="507" t="s">
        <v>2182</v>
      </c>
      <c r="T617" s="1580" t="s">
        <v>3242</v>
      </c>
      <c r="U617" s="611"/>
      <c r="V617" s="611"/>
      <c r="W617" s="611"/>
      <c r="X617" s="611"/>
      <c r="Y617" s="611"/>
      <c r="Z617" s="611"/>
      <c r="AA617" s="611"/>
    </row>
    <row r="618" spans="1:27" ht="12.4" customHeight="1">
      <c r="A618" s="611"/>
      <c r="B618" s="612"/>
      <c r="C618" s="611"/>
      <c r="D618" s="611"/>
      <c r="E618" s="611"/>
      <c r="F618" s="611"/>
      <c r="G618" s="611"/>
      <c r="H618" s="611"/>
      <c r="I618" s="611"/>
      <c r="J618" s="634" t="s">
        <v>2854</v>
      </c>
      <c r="K618" s="635"/>
      <c r="L618" s="626"/>
      <c r="M618" s="627"/>
      <c r="N618" s="507" t="s">
        <v>1693</v>
      </c>
      <c r="O618" s="507" t="s">
        <v>1552</v>
      </c>
      <c r="P618" s="1580" t="s">
        <v>3242</v>
      </c>
      <c r="Q618" s="611"/>
      <c r="R618" s="507" t="s">
        <v>1499</v>
      </c>
      <c r="S618" s="507" t="s">
        <v>1735</v>
      </c>
      <c r="T618" s="1580" t="s">
        <v>3242</v>
      </c>
      <c r="U618" s="611"/>
      <c r="V618" s="611"/>
      <c r="W618" s="611"/>
      <c r="X618" s="611"/>
      <c r="Y618" s="611"/>
      <c r="Z618" s="611"/>
      <c r="AA618" s="611"/>
    </row>
    <row r="619" spans="1:27" ht="12.4" customHeight="1">
      <c r="A619" s="611"/>
      <c r="B619" s="612"/>
      <c r="C619" s="611"/>
      <c r="D619" s="611"/>
      <c r="E619" s="611"/>
      <c r="F619" s="611"/>
      <c r="G619" s="611"/>
      <c r="H619" s="611"/>
      <c r="I619" s="611"/>
      <c r="J619" s="634" t="s">
        <v>2855</v>
      </c>
      <c r="K619" s="635"/>
      <c r="L619" s="626"/>
      <c r="M619" s="627"/>
      <c r="N619" s="636" t="s">
        <v>1735</v>
      </c>
      <c r="O619" s="636" t="s">
        <v>2026</v>
      </c>
      <c r="P619" s="627" t="s">
        <v>1180</v>
      </c>
      <c r="Q619" s="611"/>
      <c r="R619" s="507" t="s">
        <v>1674</v>
      </c>
      <c r="S619" s="507" t="s">
        <v>965</v>
      </c>
      <c r="T619" s="1580" t="s">
        <v>3242</v>
      </c>
      <c r="U619" s="611"/>
      <c r="V619" s="611"/>
      <c r="W619" s="611"/>
      <c r="X619" s="611"/>
      <c r="Y619" s="611"/>
      <c r="Z619" s="611"/>
      <c r="AA619" s="611"/>
    </row>
    <row r="620" spans="1:27" ht="12.4" customHeight="1">
      <c r="A620" s="611"/>
      <c r="B620" s="612"/>
      <c r="C620" s="611"/>
      <c r="D620" s="611"/>
      <c r="E620" s="611"/>
      <c r="F620" s="611"/>
      <c r="G620" s="611"/>
      <c r="H620" s="611"/>
      <c r="I620" s="611"/>
      <c r="J620" s="634" t="s">
        <v>1775</v>
      </c>
      <c r="K620" s="635"/>
      <c r="L620" s="626"/>
      <c r="M620" s="627"/>
      <c r="N620" s="636" t="s">
        <v>508</v>
      </c>
      <c r="O620" s="636" t="s">
        <v>1012</v>
      </c>
      <c r="P620" s="627" t="s">
        <v>1181</v>
      </c>
      <c r="Q620" s="611"/>
      <c r="R620" s="507" t="s">
        <v>1675</v>
      </c>
      <c r="S620" s="507" t="s">
        <v>2982</v>
      </c>
      <c r="T620" s="1580" t="s">
        <v>3242</v>
      </c>
      <c r="U620" s="611"/>
      <c r="V620" s="611"/>
      <c r="W620" s="611"/>
      <c r="X620" s="611"/>
      <c r="Y620" s="611"/>
      <c r="Z620" s="611"/>
      <c r="AA620" s="611"/>
    </row>
    <row r="621" spans="1:27" ht="12.4" customHeight="1">
      <c r="A621" s="611"/>
      <c r="B621" s="612"/>
      <c r="C621" s="611"/>
      <c r="D621" s="611"/>
      <c r="E621" s="611"/>
      <c r="F621" s="611"/>
      <c r="G621" s="611"/>
      <c r="H621" s="611"/>
      <c r="I621" s="611"/>
      <c r="J621" s="634" t="s">
        <v>507</v>
      </c>
      <c r="K621" s="635"/>
      <c r="L621" s="626"/>
      <c r="M621" s="627"/>
      <c r="N621" s="507" t="s">
        <v>1694</v>
      </c>
      <c r="O621" s="507" t="s">
        <v>137</v>
      </c>
      <c r="P621" s="1580" t="s">
        <v>3242</v>
      </c>
      <c r="Q621" s="611"/>
      <c r="R621" s="507" t="s">
        <v>1676</v>
      </c>
      <c r="S621" s="507" t="s">
        <v>3085</v>
      </c>
      <c r="T621" s="1580" t="s">
        <v>3242</v>
      </c>
      <c r="U621" s="611"/>
      <c r="V621" s="611"/>
      <c r="W621" s="611"/>
      <c r="X621" s="611"/>
      <c r="Y621" s="611"/>
      <c r="Z621" s="611"/>
      <c r="AA621" s="611"/>
    </row>
    <row r="622" spans="1:27" ht="12.4" customHeight="1">
      <c r="A622" s="611"/>
      <c r="B622" s="612"/>
      <c r="C622" s="611"/>
      <c r="D622" s="611"/>
      <c r="E622" s="611"/>
      <c r="F622" s="611"/>
      <c r="G622" s="611"/>
      <c r="H622" s="611"/>
      <c r="I622" s="611"/>
      <c r="J622" s="634" t="s">
        <v>5</v>
      </c>
      <c r="K622" s="635"/>
      <c r="L622" s="626"/>
      <c r="M622" s="627"/>
      <c r="N622" s="636" t="s">
        <v>6</v>
      </c>
      <c r="O622" s="636" t="s">
        <v>2019</v>
      </c>
      <c r="P622" s="627" t="s">
        <v>6</v>
      </c>
      <c r="Q622" s="611"/>
      <c r="R622" s="507" t="s">
        <v>1677</v>
      </c>
      <c r="S622" s="507" t="s">
        <v>1728</v>
      </c>
      <c r="T622" s="1580" t="s">
        <v>3242</v>
      </c>
      <c r="U622" s="611"/>
      <c r="V622" s="611"/>
      <c r="W622" s="611"/>
      <c r="X622" s="611"/>
      <c r="Y622" s="611"/>
      <c r="Z622" s="611"/>
      <c r="AA622" s="611"/>
    </row>
    <row r="623" spans="1:27" ht="12.4" customHeight="1">
      <c r="A623" s="611"/>
      <c r="B623" s="612"/>
      <c r="C623" s="611"/>
      <c r="D623" s="611"/>
      <c r="E623" s="611"/>
      <c r="F623" s="611"/>
      <c r="G623" s="611"/>
      <c r="H623" s="611"/>
      <c r="I623" s="611"/>
      <c r="J623" s="634" t="s">
        <v>7</v>
      </c>
      <c r="K623" s="635"/>
      <c r="L623" s="626"/>
      <c r="M623" s="627"/>
      <c r="N623" s="636" t="s">
        <v>8</v>
      </c>
      <c r="O623" s="636" t="s">
        <v>3632</v>
      </c>
      <c r="P623" s="627" t="s">
        <v>1182</v>
      </c>
      <c r="Q623" s="1581"/>
      <c r="R623" s="507" t="s">
        <v>1678</v>
      </c>
      <c r="S623" s="507" t="s">
        <v>2271</v>
      </c>
      <c r="T623" s="1580" t="s">
        <v>3242</v>
      </c>
      <c r="U623" s="611"/>
      <c r="V623" s="611"/>
      <c r="W623" s="611"/>
      <c r="X623" s="611"/>
      <c r="Y623" s="611"/>
      <c r="Z623" s="611"/>
      <c r="AA623" s="611"/>
    </row>
    <row r="624" spans="1:27" ht="12.4" customHeight="1">
      <c r="A624" s="611"/>
      <c r="B624" s="612"/>
      <c r="C624" s="611"/>
      <c r="D624" s="611"/>
      <c r="E624" s="611"/>
      <c r="F624" s="611"/>
      <c r="G624" s="611"/>
      <c r="H624" s="611"/>
      <c r="I624" s="611"/>
      <c r="J624" s="634" t="s">
        <v>9</v>
      </c>
      <c r="K624" s="635"/>
      <c r="L624" s="626"/>
      <c r="M624" s="627"/>
      <c r="N624" s="636" t="s">
        <v>10</v>
      </c>
      <c r="O624" s="636" t="s">
        <v>2988</v>
      </c>
      <c r="P624" s="627" t="s">
        <v>1183</v>
      </c>
      <c r="Q624" s="611"/>
      <c r="R624" s="507" t="s">
        <v>1679</v>
      </c>
      <c r="S624" s="507" t="s">
        <v>3758</v>
      </c>
      <c r="T624" s="1580" t="s">
        <v>3242</v>
      </c>
      <c r="U624" s="611"/>
      <c r="V624" s="611"/>
      <c r="W624" s="611"/>
      <c r="X624" s="611"/>
      <c r="Y624" s="611"/>
      <c r="Z624" s="611"/>
      <c r="AA624" s="611"/>
    </row>
    <row r="625" spans="1:27" ht="12.4" customHeight="1">
      <c r="A625" s="611"/>
      <c r="B625" s="612"/>
      <c r="C625" s="611"/>
      <c r="D625" s="611"/>
      <c r="E625" s="611"/>
      <c r="F625" s="611"/>
      <c r="G625" s="611"/>
      <c r="H625" s="611"/>
      <c r="I625" s="611"/>
      <c r="J625" s="634" t="s">
        <v>11</v>
      </c>
      <c r="K625" s="635"/>
      <c r="L625" s="626"/>
      <c r="M625" s="627"/>
      <c r="N625" s="507" t="s">
        <v>1695</v>
      </c>
      <c r="O625" s="507" t="s">
        <v>965</v>
      </c>
      <c r="P625" s="1580" t="s">
        <v>3242</v>
      </c>
      <c r="Q625" s="611"/>
      <c r="R625" s="507" t="s">
        <v>1680</v>
      </c>
      <c r="S625" s="507" t="s">
        <v>215</v>
      </c>
      <c r="T625" s="1580" t="s">
        <v>3242</v>
      </c>
      <c r="U625" s="611"/>
      <c r="V625" s="611"/>
      <c r="W625" s="611"/>
      <c r="X625" s="611"/>
      <c r="Y625" s="611"/>
      <c r="Z625" s="611"/>
      <c r="AA625" s="611"/>
    </row>
    <row r="626" spans="1:27" ht="12.4" customHeight="1">
      <c r="A626" s="611"/>
      <c r="B626" s="612"/>
      <c r="C626" s="611"/>
      <c r="D626" s="611"/>
      <c r="E626" s="611"/>
      <c r="F626" s="611"/>
      <c r="G626" s="611"/>
      <c r="H626" s="611"/>
      <c r="I626" s="611"/>
      <c r="J626" s="634" t="s">
        <v>3247</v>
      </c>
      <c r="K626" s="635"/>
      <c r="L626" s="626"/>
      <c r="M626" s="627"/>
      <c r="N626" s="507" t="s">
        <v>1696</v>
      </c>
      <c r="O626" s="507" t="s">
        <v>412</v>
      </c>
      <c r="P626" s="1580" t="s">
        <v>3242</v>
      </c>
      <c r="Q626" s="611"/>
      <c r="R626" s="507" t="s">
        <v>1681</v>
      </c>
      <c r="S626" s="507" t="s">
        <v>2036</v>
      </c>
      <c r="T626" s="1580" t="s">
        <v>3242</v>
      </c>
      <c r="U626" s="611"/>
      <c r="V626" s="611"/>
      <c r="W626" s="611"/>
      <c r="X626" s="611"/>
      <c r="Y626" s="611"/>
      <c r="Z626" s="611"/>
      <c r="AA626" s="611"/>
    </row>
    <row r="627" spans="1:27" ht="12.4" customHeight="1">
      <c r="A627" s="611"/>
      <c r="B627" s="612"/>
      <c r="C627" s="611"/>
      <c r="D627" s="611"/>
      <c r="E627" s="611"/>
      <c r="F627" s="611"/>
      <c r="G627" s="611"/>
      <c r="H627" s="611"/>
      <c r="I627" s="611"/>
      <c r="J627" s="634" t="s">
        <v>3249</v>
      </c>
      <c r="K627" s="635"/>
      <c r="L627" s="626"/>
      <c r="M627" s="627"/>
      <c r="N627" s="636" t="s">
        <v>3246</v>
      </c>
      <c r="O627" s="636" t="s">
        <v>2029</v>
      </c>
      <c r="P627" s="627" t="s">
        <v>1184</v>
      </c>
      <c r="Q627" s="611"/>
      <c r="R627" s="507" t="s">
        <v>1682</v>
      </c>
      <c r="S627" s="507" t="s">
        <v>2271</v>
      </c>
      <c r="T627" s="1580" t="s">
        <v>3242</v>
      </c>
      <c r="U627" s="611"/>
      <c r="V627" s="611"/>
      <c r="W627" s="611"/>
      <c r="X627" s="611"/>
      <c r="Y627" s="611"/>
      <c r="Z627" s="611"/>
      <c r="AA627" s="611"/>
    </row>
    <row r="628" spans="1:27" ht="12.4" customHeight="1">
      <c r="A628" s="611"/>
      <c r="B628" s="612"/>
      <c r="C628" s="611"/>
      <c r="D628" s="611"/>
      <c r="E628" s="611"/>
      <c r="F628" s="611"/>
      <c r="G628" s="611"/>
      <c r="H628" s="611"/>
      <c r="I628" s="611"/>
      <c r="J628" s="634" t="s">
        <v>3251</v>
      </c>
      <c r="K628" s="635"/>
      <c r="L628" s="626"/>
      <c r="M628" s="627"/>
      <c r="N628" s="636" t="s">
        <v>3248</v>
      </c>
      <c r="O628" s="636" t="s">
        <v>3291</v>
      </c>
      <c r="P628" s="627" t="s">
        <v>1185</v>
      </c>
      <c r="Q628" s="611"/>
      <c r="R628" s="507" t="s">
        <v>1683</v>
      </c>
      <c r="S628" s="507" t="s">
        <v>1742</v>
      </c>
      <c r="T628" s="1580" t="s">
        <v>3242</v>
      </c>
      <c r="U628" s="611"/>
      <c r="V628" s="611"/>
      <c r="W628" s="611"/>
      <c r="X628" s="611"/>
      <c r="Y628" s="611"/>
      <c r="Z628" s="611"/>
      <c r="AA628" s="611"/>
    </row>
    <row r="629" spans="1:27" ht="12.4" customHeight="1">
      <c r="A629" s="611"/>
      <c r="B629" s="612"/>
      <c r="C629" s="611"/>
      <c r="D629" s="611"/>
      <c r="E629" s="611"/>
      <c r="F629" s="611"/>
      <c r="G629" s="611"/>
      <c r="H629" s="611"/>
      <c r="I629" s="611"/>
      <c r="J629" s="634" t="s">
        <v>3253</v>
      </c>
      <c r="K629" s="635"/>
      <c r="L629" s="626"/>
      <c r="M629" s="627"/>
      <c r="N629" s="636" t="s">
        <v>3250</v>
      </c>
      <c r="O629" s="636" t="s">
        <v>232</v>
      </c>
      <c r="P629" s="627" t="s">
        <v>1186</v>
      </c>
      <c r="Q629" s="611"/>
      <c r="R629" s="507" t="s">
        <v>1684</v>
      </c>
      <c r="S629" s="507" t="s">
        <v>3085</v>
      </c>
      <c r="T629" s="1580" t="s">
        <v>3242</v>
      </c>
      <c r="U629" s="611"/>
      <c r="V629" s="611"/>
      <c r="W629" s="611"/>
      <c r="X629" s="611"/>
      <c r="Y629" s="611"/>
      <c r="Z629" s="611"/>
      <c r="AA629" s="611"/>
    </row>
    <row r="630" spans="1:27" ht="12.4" customHeight="1">
      <c r="A630" s="611"/>
      <c r="B630" s="612"/>
      <c r="C630" s="611"/>
      <c r="D630" s="611"/>
      <c r="E630" s="611"/>
      <c r="F630" s="611"/>
      <c r="G630" s="611"/>
      <c r="H630" s="611"/>
      <c r="I630" s="611"/>
      <c r="J630" s="634" t="s">
        <v>3255</v>
      </c>
      <c r="K630" s="635"/>
      <c r="L630" s="626"/>
      <c r="M630" s="627"/>
      <c r="N630" s="636" t="s">
        <v>3252</v>
      </c>
      <c r="O630" s="636" t="s">
        <v>2179</v>
      </c>
      <c r="P630" s="627" t="s">
        <v>1187</v>
      </c>
      <c r="Q630" s="611"/>
      <c r="R630" s="636" t="s">
        <v>1417</v>
      </c>
      <c r="S630" s="636" t="s">
        <v>1465</v>
      </c>
      <c r="T630" s="1580" t="s">
        <v>3242</v>
      </c>
      <c r="U630" s="611"/>
      <c r="V630" s="611"/>
      <c r="W630" s="611"/>
      <c r="X630" s="611"/>
      <c r="Y630" s="611"/>
      <c r="Z630" s="611"/>
      <c r="AA630" s="611"/>
    </row>
    <row r="631" spans="1:27" ht="12.4" customHeight="1">
      <c r="A631" s="611"/>
      <c r="B631" s="612"/>
      <c r="C631" s="611"/>
      <c r="D631" s="611"/>
      <c r="E631" s="611"/>
      <c r="F631" s="611"/>
      <c r="G631" s="611"/>
      <c r="H631" s="611"/>
      <c r="I631" s="611"/>
      <c r="J631" s="634" t="s">
        <v>98</v>
      </c>
      <c r="K631" s="635"/>
      <c r="L631" s="626"/>
      <c r="M631" s="627"/>
      <c r="N631" s="636" t="s">
        <v>3254</v>
      </c>
      <c r="O631" s="636" t="s">
        <v>1012</v>
      </c>
      <c r="P631" s="627" t="s">
        <v>1188</v>
      </c>
      <c r="Q631" s="611"/>
      <c r="R631" s="507" t="s">
        <v>1685</v>
      </c>
      <c r="S631" s="507" t="s">
        <v>3761</v>
      </c>
      <c r="T631" s="1580" t="s">
        <v>3242</v>
      </c>
      <c r="U631" s="611"/>
      <c r="V631" s="611"/>
      <c r="W631" s="611"/>
      <c r="X631" s="611"/>
      <c r="Y631" s="611"/>
      <c r="Z631" s="611"/>
      <c r="AA631" s="611"/>
    </row>
    <row r="632" spans="1:27" ht="12.4" customHeight="1">
      <c r="A632" s="611"/>
      <c r="B632" s="612"/>
      <c r="C632" s="611"/>
      <c r="D632" s="611"/>
      <c r="E632" s="611"/>
      <c r="F632" s="611"/>
      <c r="G632" s="611"/>
      <c r="H632" s="611"/>
      <c r="I632" s="611"/>
      <c r="J632" s="634" t="s">
        <v>3098</v>
      </c>
      <c r="K632" s="635"/>
      <c r="L632" s="626"/>
      <c r="M632" s="627"/>
      <c r="N632" s="636" t="s">
        <v>99</v>
      </c>
      <c r="O632" s="636" t="s">
        <v>136</v>
      </c>
      <c r="P632" s="627" t="s">
        <v>1189</v>
      </c>
      <c r="Q632" s="611"/>
      <c r="R632" s="507" t="s">
        <v>2370</v>
      </c>
      <c r="S632" s="507" t="s">
        <v>3816</v>
      </c>
      <c r="T632" s="1580" t="s">
        <v>3242</v>
      </c>
      <c r="U632" s="611"/>
      <c r="V632" s="611"/>
      <c r="W632" s="611"/>
      <c r="X632" s="611"/>
      <c r="Y632" s="611"/>
      <c r="Z632" s="611"/>
      <c r="AA632" s="611"/>
    </row>
    <row r="633" spans="1:27" ht="12.4" customHeight="1">
      <c r="A633" s="611"/>
      <c r="B633" s="612"/>
      <c r="C633" s="611"/>
      <c r="D633" s="611"/>
      <c r="E633" s="611"/>
      <c r="F633" s="611"/>
      <c r="G633" s="611"/>
      <c r="H633" s="611"/>
      <c r="I633" s="611"/>
      <c r="J633" s="634" t="s">
        <v>2265</v>
      </c>
      <c r="K633" s="635"/>
      <c r="L633" s="626"/>
      <c r="M633" s="627"/>
      <c r="N633" s="636" t="s">
        <v>2264</v>
      </c>
      <c r="O633" s="636" t="s">
        <v>3293</v>
      </c>
      <c r="P633" s="627" t="s">
        <v>1190</v>
      </c>
      <c r="Q633" s="611"/>
      <c r="R633" s="507" t="s">
        <v>1686</v>
      </c>
      <c r="S633" s="507"/>
      <c r="T633" s="1580" t="s">
        <v>3242</v>
      </c>
      <c r="U633" s="611"/>
      <c r="V633" s="611"/>
      <c r="W633" s="611"/>
      <c r="X633" s="611"/>
      <c r="Y633" s="611"/>
      <c r="Z633" s="611"/>
      <c r="AA633" s="611"/>
    </row>
    <row r="634" spans="1:27" ht="12.4" customHeight="1">
      <c r="A634" s="611"/>
      <c r="B634" s="612"/>
      <c r="C634" s="611"/>
      <c r="D634" s="611"/>
      <c r="E634" s="611"/>
      <c r="F634" s="611"/>
      <c r="G634" s="611"/>
      <c r="H634" s="611"/>
      <c r="I634" s="611"/>
      <c r="J634" s="634" t="s">
        <v>2267</v>
      </c>
      <c r="K634" s="635"/>
      <c r="L634" s="626"/>
      <c r="M634" s="627"/>
      <c r="N634" s="636" t="s">
        <v>2266</v>
      </c>
      <c r="O634" s="636" t="s">
        <v>257</v>
      </c>
      <c r="P634" s="627" t="s">
        <v>1191</v>
      </c>
      <c r="Q634" s="611"/>
      <c r="R634" s="507" t="s">
        <v>241</v>
      </c>
      <c r="S634" s="507" t="s">
        <v>215</v>
      </c>
      <c r="T634" s="1580" t="s">
        <v>3242</v>
      </c>
      <c r="U634" s="611"/>
      <c r="V634" s="611"/>
      <c r="W634" s="611"/>
      <c r="X634" s="611"/>
      <c r="Y634" s="611"/>
      <c r="Z634" s="611"/>
      <c r="AA634" s="611"/>
    </row>
    <row r="635" spans="1:27" ht="12.4" customHeight="1">
      <c r="A635" s="611"/>
      <c r="B635" s="612"/>
      <c r="C635" s="611"/>
      <c r="D635" s="611"/>
      <c r="E635" s="611"/>
      <c r="F635" s="611"/>
      <c r="G635" s="611"/>
      <c r="H635" s="611"/>
      <c r="I635" s="611"/>
      <c r="J635" s="634" t="s">
        <v>2269</v>
      </c>
      <c r="K635" s="635"/>
      <c r="L635" s="626"/>
      <c r="M635" s="627"/>
      <c r="N635" s="636" t="s">
        <v>2268</v>
      </c>
      <c r="O635" s="636" t="s">
        <v>2182</v>
      </c>
      <c r="P635" s="627" t="s">
        <v>1192</v>
      </c>
      <c r="Q635" s="611"/>
      <c r="R635" s="507" t="s">
        <v>1687</v>
      </c>
      <c r="S635" s="507" t="s">
        <v>232</v>
      </c>
      <c r="T635" s="1580" t="s">
        <v>3242</v>
      </c>
      <c r="U635" s="611"/>
      <c r="V635" s="611"/>
      <c r="W635" s="611"/>
      <c r="X635" s="611"/>
      <c r="Y635" s="611"/>
      <c r="Z635" s="611"/>
      <c r="AA635" s="611"/>
    </row>
    <row r="636" spans="1:27" ht="12.4" customHeight="1">
      <c r="A636" s="611"/>
      <c r="B636" s="612"/>
      <c r="C636" s="611"/>
      <c r="D636" s="611"/>
      <c r="E636" s="611"/>
      <c r="F636" s="611"/>
      <c r="G636" s="611"/>
      <c r="H636" s="611"/>
      <c r="I636" s="611"/>
      <c r="J636" s="634" t="s">
        <v>72</v>
      </c>
      <c r="K636" s="635"/>
      <c r="L636" s="626"/>
      <c r="M636" s="627"/>
      <c r="N636" s="636" t="s">
        <v>2270</v>
      </c>
      <c r="O636" s="636" t="s">
        <v>3283</v>
      </c>
      <c r="P636" s="627" t="s">
        <v>1193</v>
      </c>
      <c r="Q636" s="611"/>
      <c r="R636" s="507" t="s">
        <v>3418</v>
      </c>
      <c r="S636" s="507" t="s">
        <v>1868</v>
      </c>
      <c r="T636" s="1580" t="s">
        <v>3242</v>
      </c>
      <c r="U636" s="611"/>
      <c r="V636" s="611"/>
      <c r="W636" s="611"/>
      <c r="X636" s="611"/>
      <c r="Y636" s="611"/>
      <c r="Z636" s="611"/>
      <c r="AA636" s="611"/>
    </row>
    <row r="637" spans="1:27" ht="12.4" customHeight="1">
      <c r="A637" s="611"/>
      <c r="B637" s="612"/>
      <c r="C637" s="611"/>
      <c r="D637" s="611"/>
      <c r="E637" s="611"/>
      <c r="F637" s="611"/>
      <c r="G637" s="611"/>
      <c r="H637" s="611"/>
      <c r="I637" s="611"/>
      <c r="J637" s="634" t="s">
        <v>74</v>
      </c>
      <c r="K637" s="635"/>
      <c r="L637" s="626"/>
      <c r="M637" s="627"/>
      <c r="N637" s="636" t="s">
        <v>73</v>
      </c>
      <c r="O637" s="636" t="s">
        <v>2027</v>
      </c>
      <c r="P637" s="627" t="s">
        <v>1194</v>
      </c>
      <c r="Q637" s="611"/>
      <c r="R637" s="507" t="s">
        <v>1688</v>
      </c>
      <c r="S637" s="507" t="s">
        <v>965</v>
      </c>
      <c r="T637" s="1580" t="s">
        <v>3242</v>
      </c>
      <c r="U637" s="611"/>
      <c r="V637" s="611"/>
      <c r="W637" s="611"/>
      <c r="X637" s="611"/>
      <c r="Y637" s="611"/>
      <c r="Z637" s="611"/>
      <c r="AA637" s="611"/>
    </row>
    <row r="638" spans="1:27" ht="12.4" customHeight="1">
      <c r="A638" s="611"/>
      <c r="B638" s="612"/>
      <c r="C638" s="611"/>
      <c r="D638" s="611"/>
      <c r="E638" s="611"/>
      <c r="F638" s="611"/>
      <c r="G638" s="611"/>
      <c r="H638" s="611"/>
      <c r="I638" s="611"/>
      <c r="J638" s="634" t="s">
        <v>76</v>
      </c>
      <c r="K638" s="635"/>
      <c r="L638" s="626"/>
      <c r="M638" s="627"/>
      <c r="N638" s="636" t="s">
        <v>75</v>
      </c>
      <c r="O638" s="636" t="s">
        <v>120</v>
      </c>
      <c r="P638" s="627" t="s">
        <v>1195</v>
      </c>
      <c r="Q638" s="611"/>
      <c r="R638" s="507" t="s">
        <v>1689</v>
      </c>
      <c r="S638" s="507" t="s">
        <v>965</v>
      </c>
      <c r="T638" s="1580" t="s">
        <v>3242</v>
      </c>
      <c r="U638" s="611"/>
      <c r="V638" s="611"/>
      <c r="W638" s="611"/>
      <c r="X638" s="611"/>
      <c r="Y638" s="611"/>
      <c r="Z638" s="611"/>
      <c r="AA638" s="611"/>
    </row>
    <row r="639" spans="1:27" ht="12.4" customHeight="1">
      <c r="A639" s="611"/>
      <c r="B639" s="612"/>
      <c r="C639" s="611"/>
      <c r="D639" s="611"/>
      <c r="E639" s="611"/>
      <c r="F639" s="611"/>
      <c r="G639" s="611"/>
      <c r="H639" s="611"/>
      <c r="I639" s="611"/>
      <c r="J639" s="634" t="s">
        <v>78</v>
      </c>
      <c r="K639" s="635"/>
      <c r="L639" s="626"/>
      <c r="M639" s="627"/>
      <c r="N639" s="636" t="s">
        <v>77</v>
      </c>
      <c r="O639" s="636" t="s">
        <v>1469</v>
      </c>
      <c r="P639" s="627" t="s">
        <v>1196</v>
      </c>
      <c r="Q639" s="611"/>
      <c r="R639" s="507" t="s">
        <v>1690</v>
      </c>
      <c r="S639" s="507" t="s">
        <v>965</v>
      </c>
      <c r="T639" s="1580" t="s">
        <v>3242</v>
      </c>
      <c r="U639" s="611"/>
      <c r="V639" s="611"/>
      <c r="W639" s="611"/>
      <c r="X639" s="611"/>
      <c r="Y639" s="611"/>
      <c r="Z639" s="611"/>
      <c r="AA639" s="611"/>
    </row>
    <row r="640" spans="1:27" ht="12.4" customHeight="1">
      <c r="A640" s="611"/>
      <c r="B640" s="612"/>
      <c r="C640" s="611"/>
      <c r="D640" s="611"/>
      <c r="E640" s="611"/>
      <c r="F640" s="611"/>
      <c r="G640" s="611"/>
      <c r="H640" s="611"/>
      <c r="I640" s="611"/>
      <c r="J640" s="634" t="s">
        <v>80</v>
      </c>
      <c r="K640" s="635"/>
      <c r="L640" s="626"/>
      <c r="M640" s="627"/>
      <c r="N640" s="636" t="s">
        <v>79</v>
      </c>
      <c r="O640" s="636" t="s">
        <v>2271</v>
      </c>
      <c r="P640" s="627" t="s">
        <v>1197</v>
      </c>
      <c r="Q640" s="611"/>
      <c r="R640" s="507" t="s">
        <v>1691</v>
      </c>
      <c r="S640" s="507" t="s">
        <v>965</v>
      </c>
      <c r="T640" s="1580" t="s">
        <v>3242</v>
      </c>
      <c r="U640" s="611"/>
      <c r="V640" s="611"/>
      <c r="W640" s="611"/>
      <c r="X640" s="611"/>
      <c r="Y640" s="611"/>
      <c r="Z640" s="611"/>
      <c r="AA640" s="611"/>
    </row>
    <row r="641" spans="1:27" ht="12.4" customHeight="1">
      <c r="A641" s="611"/>
      <c r="B641" s="612"/>
      <c r="C641" s="611"/>
      <c r="D641" s="611"/>
      <c r="E641" s="611"/>
      <c r="F641" s="611"/>
      <c r="G641" s="611"/>
      <c r="H641" s="611"/>
      <c r="I641" s="611"/>
      <c r="J641" s="634" t="s">
        <v>1356</v>
      </c>
      <c r="K641" s="635"/>
      <c r="L641" s="626"/>
      <c r="M641" s="627"/>
      <c r="N641" s="636" t="s">
        <v>1357</v>
      </c>
      <c r="O641" s="636" t="s">
        <v>3758</v>
      </c>
      <c r="P641" s="627" t="s">
        <v>1198</v>
      </c>
      <c r="Q641" s="611"/>
      <c r="R641" s="507" t="s">
        <v>1692</v>
      </c>
      <c r="S641" s="507" t="s">
        <v>2665</v>
      </c>
      <c r="T641" s="1580" t="s">
        <v>3242</v>
      </c>
      <c r="U641" s="611"/>
      <c r="V641" s="611"/>
      <c r="W641" s="611"/>
      <c r="X641" s="611"/>
      <c r="Y641" s="611"/>
      <c r="Z641" s="611"/>
      <c r="AA641" s="611"/>
    </row>
    <row r="642" spans="1:27" ht="12.4" customHeight="1">
      <c r="A642" s="611"/>
      <c r="B642" s="612"/>
      <c r="C642" s="611"/>
      <c r="D642" s="611"/>
      <c r="E642" s="611"/>
      <c r="F642" s="611"/>
      <c r="G642" s="611"/>
      <c r="H642" s="611"/>
      <c r="I642" s="611"/>
      <c r="J642" s="634" t="s">
        <v>1217</v>
      </c>
      <c r="K642" s="635"/>
      <c r="L642" s="626"/>
      <c r="M642" s="627"/>
      <c r="N642" s="636" t="s">
        <v>1218</v>
      </c>
      <c r="O642" s="636" t="s">
        <v>3764</v>
      </c>
      <c r="P642" s="627" t="s">
        <v>1199</v>
      </c>
      <c r="Q642" s="611"/>
      <c r="R642" s="507" t="s">
        <v>1693</v>
      </c>
      <c r="S642" s="507" t="s">
        <v>1552</v>
      </c>
      <c r="T642" s="1580" t="s">
        <v>3242</v>
      </c>
      <c r="U642" s="611"/>
      <c r="V642" s="611"/>
      <c r="W642" s="611"/>
      <c r="X642" s="611"/>
      <c r="Y642" s="611"/>
      <c r="Z642" s="611"/>
      <c r="AA642" s="611"/>
    </row>
    <row r="643" spans="1:27" ht="12.4" customHeight="1">
      <c r="A643" s="611"/>
      <c r="B643" s="612"/>
      <c r="C643" s="611"/>
      <c r="D643" s="611"/>
      <c r="E643" s="611"/>
      <c r="F643" s="611"/>
      <c r="G643" s="611"/>
      <c r="H643" s="611"/>
      <c r="I643" s="611"/>
      <c r="J643" s="634" t="s">
        <v>1219</v>
      </c>
      <c r="K643" s="635"/>
      <c r="L643" s="626"/>
      <c r="M643" s="627"/>
      <c r="N643" s="636" t="s">
        <v>1537</v>
      </c>
      <c r="O643" s="636" t="s">
        <v>3820</v>
      </c>
      <c r="P643" s="627" t="s">
        <v>1200</v>
      </c>
      <c r="Q643" s="611"/>
      <c r="R643" s="507" t="s">
        <v>1694</v>
      </c>
      <c r="S643" s="507" t="s">
        <v>137</v>
      </c>
      <c r="T643" s="1580" t="s">
        <v>3242</v>
      </c>
      <c r="U643" s="611"/>
      <c r="V643" s="611"/>
      <c r="W643" s="611"/>
      <c r="X643" s="611"/>
      <c r="Y643" s="611"/>
      <c r="Z643" s="611"/>
      <c r="AA643" s="611"/>
    </row>
    <row r="644" spans="1:27" ht="12.4" customHeight="1">
      <c r="A644" s="611"/>
      <c r="B644" s="612"/>
      <c r="C644" s="611"/>
      <c r="D644" s="611"/>
      <c r="E644" s="611"/>
      <c r="F644" s="611"/>
      <c r="G644" s="611"/>
      <c r="H644" s="611"/>
      <c r="I644" s="611"/>
      <c r="J644" s="634" t="s">
        <v>1825</v>
      </c>
      <c r="K644" s="635"/>
      <c r="L644" s="626"/>
      <c r="M644" s="627"/>
      <c r="N644" s="507" t="s">
        <v>1697</v>
      </c>
      <c r="O644" s="507" t="s">
        <v>416</v>
      </c>
      <c r="P644" s="1580" t="s">
        <v>3242</v>
      </c>
      <c r="Q644" s="611"/>
      <c r="R644" s="507" t="s">
        <v>1695</v>
      </c>
      <c r="S644" s="507" t="s">
        <v>965</v>
      </c>
      <c r="T644" s="1580" t="s">
        <v>3242</v>
      </c>
      <c r="U644" s="611"/>
      <c r="V644" s="611"/>
      <c r="W644" s="611"/>
      <c r="X644" s="611"/>
      <c r="Y644" s="611"/>
      <c r="Z644" s="611"/>
      <c r="AA644" s="611"/>
    </row>
    <row r="645" spans="1:27" ht="12.4" customHeight="1">
      <c r="A645" s="611"/>
      <c r="B645" s="612"/>
      <c r="C645" s="611"/>
      <c r="D645" s="611"/>
      <c r="E645" s="611"/>
      <c r="F645" s="611"/>
      <c r="G645" s="611"/>
      <c r="H645" s="611"/>
      <c r="I645" s="611"/>
      <c r="J645" s="634" t="s">
        <v>1667</v>
      </c>
      <c r="K645" s="635"/>
      <c r="L645" s="626"/>
      <c r="M645" s="627"/>
      <c r="N645" s="636" t="s">
        <v>1826</v>
      </c>
      <c r="O645" s="636" t="s">
        <v>3027</v>
      </c>
      <c r="P645" s="627" t="s">
        <v>1201</v>
      </c>
      <c r="Q645" s="611"/>
      <c r="R645" s="507" t="s">
        <v>1696</v>
      </c>
      <c r="S645" s="507" t="s">
        <v>412</v>
      </c>
      <c r="T645" s="1580" t="s">
        <v>3242</v>
      </c>
      <c r="U645" s="611"/>
      <c r="V645" s="611"/>
      <c r="W645" s="611"/>
      <c r="X645" s="611"/>
      <c r="Y645" s="611"/>
      <c r="Z645" s="611"/>
      <c r="AA645" s="611"/>
    </row>
    <row r="646" spans="1:27" ht="12.4" customHeight="1">
      <c r="A646" s="611"/>
      <c r="B646" s="612"/>
      <c r="C646" s="611"/>
      <c r="D646" s="611"/>
      <c r="E646" s="611"/>
      <c r="F646" s="611"/>
      <c r="G646" s="611"/>
      <c r="H646" s="611"/>
      <c r="I646" s="611"/>
      <c r="J646" s="634" t="s">
        <v>1668</v>
      </c>
      <c r="K646" s="635"/>
      <c r="L646" s="626"/>
      <c r="M646" s="627"/>
      <c r="N646" s="636" t="s">
        <v>1669</v>
      </c>
      <c r="O646" s="636" t="s">
        <v>1729</v>
      </c>
      <c r="P646" s="627" t="s">
        <v>1202</v>
      </c>
      <c r="Q646" s="611"/>
      <c r="R646" s="507" t="s">
        <v>1697</v>
      </c>
      <c r="S646" s="507" t="s">
        <v>416</v>
      </c>
      <c r="T646" s="1580" t="s">
        <v>3242</v>
      </c>
      <c r="U646" s="611"/>
      <c r="V646" s="611"/>
      <c r="W646" s="611"/>
      <c r="X646" s="611"/>
      <c r="Y646" s="611"/>
      <c r="Z646" s="611"/>
      <c r="AA646" s="611"/>
    </row>
    <row r="647" spans="1:27" ht="12.4" customHeight="1">
      <c r="A647" s="611"/>
      <c r="B647" s="612"/>
      <c r="C647" s="611"/>
      <c r="D647" s="611"/>
      <c r="E647" s="611"/>
      <c r="F647" s="611"/>
      <c r="G647" s="611"/>
      <c r="H647" s="611"/>
      <c r="I647" s="611"/>
      <c r="J647" s="634" t="s">
        <v>1670</v>
      </c>
      <c r="K647" s="635"/>
      <c r="L647" s="626"/>
      <c r="M647" s="627"/>
      <c r="N647" s="636" t="s">
        <v>3398</v>
      </c>
      <c r="O647" s="636" t="s">
        <v>3276</v>
      </c>
      <c r="P647" s="627" t="s">
        <v>1203</v>
      </c>
      <c r="Q647" s="611"/>
      <c r="R647" s="507" t="s">
        <v>1421</v>
      </c>
      <c r="S647" s="507" t="s">
        <v>2015</v>
      </c>
      <c r="T647" s="1580" t="s">
        <v>3242</v>
      </c>
      <c r="U647" s="611"/>
      <c r="V647" s="611"/>
      <c r="W647" s="611"/>
      <c r="X647" s="611"/>
      <c r="Y647" s="611"/>
      <c r="Z647" s="611"/>
      <c r="AA647" s="611"/>
    </row>
    <row r="648" spans="1:27" ht="12.4" customHeight="1">
      <c r="A648" s="611"/>
      <c r="B648" s="612"/>
      <c r="C648" s="611"/>
      <c r="D648" s="611"/>
      <c r="E648" s="611"/>
      <c r="F648" s="611"/>
      <c r="G648" s="611"/>
      <c r="H648" s="611"/>
      <c r="I648" s="611"/>
      <c r="J648" s="634" t="s">
        <v>3397</v>
      </c>
      <c r="K648" s="635"/>
      <c r="L648" s="626"/>
      <c r="M648" s="627"/>
      <c r="N648" s="636" t="s">
        <v>3400</v>
      </c>
      <c r="O648" s="636" t="s">
        <v>1003</v>
      </c>
      <c r="P648" s="627" t="s">
        <v>1204</v>
      </c>
      <c r="Q648" s="611"/>
      <c r="R648" s="507" t="s">
        <v>1698</v>
      </c>
      <c r="S648" s="507" t="s">
        <v>1011</v>
      </c>
      <c r="T648" s="1580" t="s">
        <v>3242</v>
      </c>
      <c r="U648" s="611"/>
      <c r="V648" s="611"/>
      <c r="W648" s="611"/>
      <c r="X648" s="611"/>
      <c r="Y648" s="611"/>
      <c r="Z648" s="611"/>
      <c r="AA648" s="611"/>
    </row>
    <row r="649" spans="1:27" ht="12.4" customHeight="1">
      <c r="A649" s="611"/>
      <c r="B649" s="612"/>
      <c r="C649" s="611"/>
      <c r="D649" s="611"/>
      <c r="E649" s="611"/>
      <c r="F649" s="611"/>
      <c r="G649" s="611"/>
      <c r="H649" s="611"/>
      <c r="I649" s="611"/>
      <c r="J649" s="634" t="s">
        <v>3399</v>
      </c>
      <c r="K649" s="635"/>
      <c r="L649" s="626"/>
      <c r="M649" s="627"/>
      <c r="N649" s="636" t="s">
        <v>2800</v>
      </c>
      <c r="O649" s="636" t="s">
        <v>1223</v>
      </c>
      <c r="P649" s="627" t="s">
        <v>1205</v>
      </c>
      <c r="Q649" s="611"/>
      <c r="R649" s="507" t="s">
        <v>1699</v>
      </c>
      <c r="S649" s="507" t="s">
        <v>2271</v>
      </c>
      <c r="T649" s="1580" t="s">
        <v>3242</v>
      </c>
      <c r="U649" s="611"/>
      <c r="V649" s="611"/>
      <c r="W649" s="611"/>
      <c r="X649" s="611"/>
      <c r="Y649" s="611"/>
      <c r="Z649" s="611"/>
      <c r="AA649" s="611"/>
    </row>
    <row r="650" spans="1:27" ht="12.4" customHeight="1">
      <c r="A650" s="611"/>
      <c r="B650" s="612"/>
      <c r="C650" s="611"/>
      <c r="D650" s="611"/>
      <c r="E650" s="611"/>
      <c r="F650" s="611"/>
      <c r="G650" s="611"/>
      <c r="H650" s="611"/>
      <c r="I650" s="611"/>
      <c r="J650" s="634" t="s">
        <v>2799</v>
      </c>
      <c r="K650" s="635"/>
      <c r="L650" s="626"/>
      <c r="M650" s="627"/>
      <c r="N650" s="636" t="s">
        <v>3807</v>
      </c>
      <c r="O650" s="636" t="s">
        <v>3087</v>
      </c>
      <c r="P650" s="627" t="s">
        <v>1206</v>
      </c>
      <c r="Q650" s="611"/>
      <c r="R650" s="507" t="s">
        <v>1700</v>
      </c>
      <c r="S650" s="507" t="s">
        <v>965</v>
      </c>
      <c r="T650" s="1580" t="s">
        <v>3242</v>
      </c>
      <c r="U650" s="611"/>
      <c r="V650" s="611"/>
      <c r="W650" s="611"/>
      <c r="X650" s="611"/>
      <c r="Y650" s="611"/>
      <c r="Z650" s="611"/>
      <c r="AA650" s="611"/>
    </row>
    <row r="651" spans="1:27" ht="12.4" customHeight="1">
      <c r="A651" s="611"/>
      <c r="B651" s="612"/>
      <c r="C651" s="611"/>
      <c r="D651" s="611"/>
      <c r="E651" s="611"/>
      <c r="F651" s="611"/>
      <c r="G651" s="611"/>
      <c r="H651" s="611"/>
      <c r="I651" s="611"/>
      <c r="J651" s="634" t="s">
        <v>3806</v>
      </c>
      <c r="K651" s="635"/>
      <c r="L651" s="626"/>
      <c r="M651" s="627"/>
      <c r="N651" s="636" t="s">
        <v>3269</v>
      </c>
      <c r="O651" s="636" t="s">
        <v>1868</v>
      </c>
      <c r="P651" s="627" t="s">
        <v>1207</v>
      </c>
      <c r="Q651" s="611"/>
      <c r="R651" s="507" t="s">
        <v>1701</v>
      </c>
      <c r="S651" s="507" t="s">
        <v>1003</v>
      </c>
      <c r="T651" s="1580" t="s">
        <v>3242</v>
      </c>
      <c r="U651" s="611"/>
      <c r="V651" s="611"/>
      <c r="W651" s="611"/>
      <c r="X651" s="611"/>
      <c r="Y651" s="611"/>
      <c r="Z651" s="611"/>
      <c r="AA651" s="611"/>
    </row>
    <row r="652" spans="1:27" ht="12.4" customHeight="1">
      <c r="A652" s="611"/>
      <c r="B652" s="612"/>
      <c r="C652" s="611"/>
      <c r="D652" s="611"/>
      <c r="E652" s="611"/>
      <c r="F652" s="611"/>
      <c r="G652" s="611"/>
      <c r="H652" s="611"/>
      <c r="I652" s="611"/>
      <c r="J652" s="634" t="s">
        <v>3268</v>
      </c>
      <c r="K652" s="635"/>
      <c r="L652" s="626"/>
      <c r="M652" s="627"/>
      <c r="N652" s="636" t="s">
        <v>2516</v>
      </c>
      <c r="O652" s="636" t="s">
        <v>1005</v>
      </c>
      <c r="P652" s="627" t="s">
        <v>748</v>
      </c>
      <c r="Q652" s="611"/>
      <c r="R652" s="507" t="s">
        <v>1702</v>
      </c>
      <c r="S652" s="507" t="s">
        <v>215</v>
      </c>
      <c r="T652" s="1580" t="s">
        <v>3242</v>
      </c>
      <c r="U652" s="611"/>
      <c r="V652" s="611"/>
      <c r="W652" s="611"/>
      <c r="X652" s="611"/>
      <c r="Y652" s="611"/>
      <c r="Z652" s="611"/>
      <c r="AA652" s="611"/>
    </row>
    <row r="653" spans="1:27" ht="12.4" customHeight="1">
      <c r="A653" s="611"/>
      <c r="B653" s="612"/>
      <c r="C653" s="611"/>
      <c r="D653" s="611"/>
      <c r="E653" s="611"/>
      <c r="F653" s="611"/>
      <c r="G653" s="611"/>
      <c r="H653" s="611"/>
      <c r="I653" s="611"/>
      <c r="J653" s="634" t="s">
        <v>2514</v>
      </c>
      <c r="K653" s="635"/>
      <c r="L653" s="626"/>
      <c r="M653" s="627"/>
      <c r="N653" s="636" t="s">
        <v>1421</v>
      </c>
      <c r="O653" s="636" t="s">
        <v>2015</v>
      </c>
      <c r="P653" s="1579" t="s">
        <v>1413</v>
      </c>
      <c r="Q653" s="611"/>
      <c r="R653" s="507" t="s">
        <v>1703</v>
      </c>
      <c r="S653" s="507" t="s">
        <v>2982</v>
      </c>
      <c r="T653" s="1580" t="s">
        <v>3242</v>
      </c>
      <c r="U653" s="611"/>
      <c r="V653" s="611"/>
      <c r="W653" s="611"/>
      <c r="X653" s="611"/>
      <c r="Y653" s="611"/>
      <c r="Z653" s="611"/>
      <c r="AA653" s="611"/>
    </row>
    <row r="654" spans="1:27" ht="12.4" customHeight="1">
      <c r="A654" s="611"/>
      <c r="B654" s="612"/>
      <c r="C654" s="611"/>
      <c r="D654" s="611"/>
      <c r="E654" s="611"/>
      <c r="F654" s="611"/>
      <c r="G654" s="611"/>
      <c r="H654" s="611"/>
      <c r="I654" s="611"/>
      <c r="J654" s="634" t="s">
        <v>2515</v>
      </c>
      <c r="K654" s="635"/>
      <c r="L654" s="626"/>
      <c r="M654" s="627"/>
      <c r="N654" s="507" t="s">
        <v>1421</v>
      </c>
      <c r="O654" s="507" t="s">
        <v>2015</v>
      </c>
      <c r="P654" s="1580" t="s">
        <v>3242</v>
      </c>
      <c r="Q654" s="611"/>
      <c r="R654" s="507" t="s">
        <v>1704</v>
      </c>
      <c r="S654" s="507" t="s">
        <v>3085</v>
      </c>
      <c r="T654" s="1580" t="s">
        <v>3242</v>
      </c>
      <c r="U654" s="611"/>
      <c r="V654" s="611"/>
      <c r="W654" s="611"/>
      <c r="X654" s="611"/>
      <c r="Y654" s="611"/>
      <c r="Z654" s="611"/>
      <c r="AA654" s="611"/>
    </row>
    <row r="655" spans="1:27" ht="12.4" customHeight="1">
      <c r="A655" s="611"/>
      <c r="B655" s="612"/>
      <c r="C655" s="611"/>
      <c r="D655" s="611"/>
      <c r="E655" s="611"/>
      <c r="F655" s="611"/>
      <c r="G655" s="611"/>
      <c r="H655" s="611"/>
      <c r="I655" s="611"/>
      <c r="J655" s="634" t="s">
        <v>2517</v>
      </c>
      <c r="K655" s="635"/>
      <c r="L655" s="626"/>
      <c r="M655" s="627"/>
      <c r="N655" s="636" t="s">
        <v>2519</v>
      </c>
      <c r="O655" s="636" t="s">
        <v>3896</v>
      </c>
      <c r="P655" s="627" t="s">
        <v>749</v>
      </c>
      <c r="Q655" s="611"/>
      <c r="R655" s="507" t="s">
        <v>1705</v>
      </c>
      <c r="S655" s="507" t="s">
        <v>965</v>
      </c>
      <c r="T655" s="1580" t="s">
        <v>3242</v>
      </c>
      <c r="U655" s="611"/>
      <c r="V655" s="611"/>
      <c r="W655" s="611"/>
      <c r="X655" s="611"/>
      <c r="Y655" s="611"/>
      <c r="Z655" s="611"/>
      <c r="AA655" s="611"/>
    </row>
    <row r="656" spans="1:27" ht="12.4" customHeight="1">
      <c r="A656" s="611"/>
      <c r="B656" s="612"/>
      <c r="C656" s="611"/>
      <c r="D656" s="611"/>
      <c r="E656" s="611"/>
      <c r="F656" s="611"/>
      <c r="G656" s="611"/>
      <c r="H656" s="611"/>
      <c r="I656" s="611"/>
      <c r="J656" s="634" t="s">
        <v>2518</v>
      </c>
      <c r="K656" s="635"/>
      <c r="L656" s="626"/>
      <c r="M656" s="627"/>
      <c r="N656" s="636" t="s">
        <v>2522</v>
      </c>
      <c r="O656" s="636" t="s">
        <v>2541</v>
      </c>
      <c r="P656" s="627" t="s">
        <v>2522</v>
      </c>
      <c r="Q656" s="611"/>
      <c r="R656" s="507" t="s">
        <v>1706</v>
      </c>
      <c r="S656" s="507" t="s">
        <v>2665</v>
      </c>
      <c r="T656" s="1580" t="s">
        <v>3242</v>
      </c>
      <c r="U656" s="611"/>
      <c r="V656" s="611"/>
      <c r="W656" s="611"/>
      <c r="X656" s="611"/>
      <c r="Y656" s="611"/>
      <c r="Z656" s="611"/>
      <c r="AA656" s="611"/>
    </row>
    <row r="657" spans="1:27" ht="12.4" customHeight="1">
      <c r="A657" s="611"/>
      <c r="B657" s="612"/>
      <c r="C657" s="611"/>
      <c r="D657" s="611"/>
      <c r="E657" s="611"/>
      <c r="F657" s="611"/>
      <c r="G657" s="611"/>
      <c r="H657" s="611"/>
      <c r="I657" s="611"/>
      <c r="J657" s="634" t="s">
        <v>2520</v>
      </c>
      <c r="K657" s="635"/>
      <c r="L657" s="626"/>
      <c r="M657" s="627"/>
      <c r="N657" s="507" t="s">
        <v>1699</v>
      </c>
      <c r="O657" s="507" t="s">
        <v>2271</v>
      </c>
      <c r="P657" s="1580" t="s">
        <v>3242</v>
      </c>
      <c r="Q657" s="611"/>
      <c r="R657" s="507" t="s">
        <v>1707</v>
      </c>
      <c r="S657" s="507" t="s">
        <v>3761</v>
      </c>
      <c r="T657" s="1580" t="s">
        <v>3242</v>
      </c>
      <c r="U657" s="611"/>
      <c r="V657" s="611"/>
      <c r="W657" s="611"/>
      <c r="X657" s="611"/>
      <c r="Y657" s="611"/>
      <c r="Z657" s="611"/>
      <c r="AA657" s="611"/>
    </row>
    <row r="658" spans="1:27" ht="12.4" customHeight="1">
      <c r="A658" s="611"/>
      <c r="B658" s="612"/>
      <c r="C658" s="611"/>
      <c r="D658" s="611"/>
      <c r="E658" s="611"/>
      <c r="F658" s="611"/>
      <c r="G658" s="611"/>
      <c r="H658" s="611"/>
      <c r="I658" s="611"/>
      <c r="J658" s="634" t="s">
        <v>2521</v>
      </c>
      <c r="K658" s="635"/>
      <c r="L658" s="626"/>
      <c r="M658" s="627"/>
      <c r="N658" s="636" t="s">
        <v>3660</v>
      </c>
      <c r="O658" s="636" t="s">
        <v>120</v>
      </c>
      <c r="P658" s="627" t="s">
        <v>750</v>
      </c>
      <c r="Q658" s="611"/>
      <c r="R658" s="507" t="s">
        <v>1708</v>
      </c>
      <c r="S658" s="507" t="s">
        <v>215</v>
      </c>
      <c r="T658" s="1580" t="s">
        <v>3242</v>
      </c>
      <c r="U658" s="611"/>
      <c r="V658" s="611"/>
      <c r="W658" s="611"/>
      <c r="X658" s="611"/>
      <c r="Y658" s="611"/>
      <c r="Z658" s="611"/>
      <c r="AA658" s="611"/>
    </row>
    <row r="659" spans="1:27" ht="12.4" customHeight="1">
      <c r="A659" s="611"/>
      <c r="B659" s="612"/>
      <c r="C659" s="611"/>
      <c r="D659" s="611"/>
      <c r="E659" s="611"/>
      <c r="F659" s="611"/>
      <c r="G659" s="611"/>
      <c r="H659" s="611"/>
      <c r="I659" s="611"/>
      <c r="J659" s="634" t="s">
        <v>2523</v>
      </c>
      <c r="K659" s="635"/>
      <c r="L659" s="626"/>
      <c r="M659" s="627"/>
      <c r="N659" s="636" t="s">
        <v>1398</v>
      </c>
      <c r="O659" s="636" t="s">
        <v>1868</v>
      </c>
      <c r="P659" s="627" t="s">
        <v>751</v>
      </c>
      <c r="Q659" s="611"/>
      <c r="R659" s="507" t="s">
        <v>1709</v>
      </c>
      <c r="S659" s="507" t="s">
        <v>215</v>
      </c>
      <c r="T659" s="1580" t="s">
        <v>3242</v>
      </c>
      <c r="U659" s="611"/>
      <c r="V659" s="611"/>
      <c r="W659" s="611"/>
      <c r="X659" s="611"/>
      <c r="Y659" s="611"/>
      <c r="Z659" s="611"/>
      <c r="AA659" s="611"/>
    </row>
    <row r="660" spans="1:27" ht="12.4" customHeight="1">
      <c r="A660" s="611"/>
      <c r="B660" s="612"/>
      <c r="C660" s="611"/>
      <c r="D660" s="611"/>
      <c r="E660" s="611"/>
      <c r="F660" s="611"/>
      <c r="G660" s="611"/>
      <c r="H660" s="611"/>
      <c r="I660" s="611"/>
      <c r="J660" s="634" t="s">
        <v>3661</v>
      </c>
      <c r="K660" s="635"/>
      <c r="L660" s="626"/>
      <c r="M660" s="627"/>
      <c r="N660" s="636" t="s">
        <v>2004</v>
      </c>
      <c r="O660" s="636" t="s">
        <v>2980</v>
      </c>
      <c r="P660" s="627" t="s">
        <v>752</v>
      </c>
      <c r="Q660" s="611"/>
      <c r="R660" s="611"/>
      <c r="S660" s="611"/>
      <c r="T660" s="611"/>
      <c r="U660" s="611"/>
      <c r="V660" s="611"/>
      <c r="W660" s="611"/>
      <c r="X660" s="611"/>
      <c r="Y660" s="611"/>
      <c r="Z660" s="611"/>
      <c r="AA660" s="611"/>
    </row>
    <row r="661" spans="1:27" ht="12.4" customHeight="1">
      <c r="A661" s="611"/>
      <c r="B661" s="612"/>
      <c r="C661" s="611"/>
      <c r="D661" s="611"/>
      <c r="E661" s="611"/>
      <c r="F661" s="611"/>
      <c r="G661" s="611"/>
      <c r="H661" s="611"/>
      <c r="I661" s="611"/>
      <c r="J661" s="634" t="s">
        <v>223</v>
      </c>
      <c r="K661" s="635"/>
      <c r="L661" s="626"/>
      <c r="M661" s="627"/>
      <c r="N661" s="636" t="s">
        <v>224</v>
      </c>
      <c r="O661" s="636" t="s">
        <v>2031</v>
      </c>
      <c r="P661" s="627" t="s">
        <v>753</v>
      </c>
      <c r="Q661" s="611"/>
      <c r="R661" s="611"/>
      <c r="S661" s="611"/>
      <c r="T661" s="611"/>
      <c r="U661" s="611"/>
      <c r="V661" s="611"/>
      <c r="W661" s="611"/>
      <c r="X661" s="611"/>
      <c r="Y661" s="611"/>
      <c r="Z661" s="611"/>
      <c r="AA661" s="611"/>
    </row>
    <row r="662" spans="1:27" ht="12.4" customHeight="1">
      <c r="A662" s="611"/>
      <c r="B662" s="612"/>
      <c r="C662" s="611"/>
      <c r="D662" s="611"/>
      <c r="E662" s="611"/>
      <c r="F662" s="611"/>
      <c r="G662" s="611"/>
      <c r="H662" s="611"/>
      <c r="I662" s="611"/>
      <c r="J662" s="634" t="s">
        <v>1602</v>
      </c>
      <c r="K662" s="635"/>
      <c r="L662" s="626"/>
      <c r="M662" s="627"/>
      <c r="N662" s="636" t="s">
        <v>1604</v>
      </c>
      <c r="O662" s="636" t="s">
        <v>2662</v>
      </c>
      <c r="P662" s="627" t="s">
        <v>754</v>
      </c>
      <c r="Q662" s="611"/>
      <c r="R662" s="611"/>
      <c r="S662" s="611"/>
      <c r="T662" s="611"/>
      <c r="U662" s="611"/>
      <c r="V662" s="611"/>
      <c r="W662" s="611"/>
      <c r="X662" s="611"/>
      <c r="Y662" s="611"/>
      <c r="Z662" s="611"/>
      <c r="AA662" s="611"/>
    </row>
    <row r="663" spans="1:27" ht="12.4" customHeight="1">
      <c r="A663" s="611"/>
      <c r="B663" s="612"/>
      <c r="C663" s="611"/>
      <c r="D663" s="611"/>
      <c r="E663" s="611"/>
      <c r="F663" s="611"/>
      <c r="G663" s="611"/>
      <c r="H663" s="611"/>
      <c r="I663" s="611"/>
      <c r="J663" s="634" t="s">
        <v>1603</v>
      </c>
      <c r="K663" s="635"/>
      <c r="L663" s="626"/>
      <c r="M663" s="627"/>
      <c r="N663" s="636" t="s">
        <v>2028</v>
      </c>
      <c r="O663" s="636" t="s">
        <v>215</v>
      </c>
      <c r="P663" s="627" t="s">
        <v>755</v>
      </c>
      <c r="Q663" s="611"/>
      <c r="R663" s="611"/>
      <c r="S663" s="611"/>
      <c r="T663" s="611"/>
      <c r="U663" s="611"/>
      <c r="V663" s="611"/>
      <c r="W663" s="611"/>
      <c r="X663" s="611"/>
      <c r="Y663" s="611"/>
      <c r="Z663" s="611"/>
      <c r="AA663" s="611"/>
    </row>
    <row r="664" spans="1:27" ht="12.4" customHeight="1">
      <c r="A664" s="611"/>
      <c r="B664" s="612"/>
      <c r="C664" s="611"/>
      <c r="D664" s="611"/>
      <c r="E664" s="611"/>
      <c r="F664" s="611"/>
      <c r="G664" s="611"/>
      <c r="H664" s="611"/>
      <c r="I664" s="611"/>
      <c r="J664" s="634" t="s">
        <v>1605</v>
      </c>
      <c r="K664" s="635"/>
      <c r="L664" s="626"/>
      <c r="M664" s="627"/>
      <c r="N664" s="636" t="s">
        <v>3814</v>
      </c>
      <c r="O664" s="636" t="s">
        <v>1463</v>
      </c>
      <c r="P664" s="627" t="s">
        <v>756</v>
      </c>
      <c r="Q664" s="611"/>
      <c r="R664" s="611"/>
      <c r="S664" s="611"/>
      <c r="T664" s="611"/>
      <c r="U664" s="611"/>
      <c r="V664" s="611"/>
      <c r="W664" s="611"/>
      <c r="X664" s="611"/>
      <c r="Y664" s="611"/>
      <c r="Z664" s="611"/>
      <c r="AA664" s="611"/>
    </row>
    <row r="665" spans="1:27" ht="12.4" customHeight="1">
      <c r="A665" s="611"/>
      <c r="B665" s="612"/>
      <c r="C665" s="611"/>
      <c r="D665" s="611"/>
      <c r="E665" s="611"/>
      <c r="F665" s="611"/>
      <c r="G665" s="611"/>
      <c r="H665" s="611"/>
      <c r="I665" s="611"/>
      <c r="J665" s="634" t="s">
        <v>3595</v>
      </c>
      <c r="K665" s="635"/>
      <c r="L665" s="626"/>
      <c r="M665" s="627"/>
      <c r="N665" s="507" t="s">
        <v>1700</v>
      </c>
      <c r="O665" s="507" t="s">
        <v>965</v>
      </c>
      <c r="P665" s="1580" t="s">
        <v>3242</v>
      </c>
      <c r="Q665" s="611"/>
      <c r="R665" s="611"/>
      <c r="S665" s="611"/>
      <c r="T665" s="611"/>
      <c r="U665" s="611"/>
      <c r="V665" s="611"/>
      <c r="W665" s="611"/>
      <c r="X665" s="611"/>
      <c r="Y665" s="611"/>
      <c r="Z665" s="611"/>
      <c r="AA665" s="611"/>
    </row>
    <row r="666" spans="1:27" ht="12.4" customHeight="1">
      <c r="A666" s="611"/>
      <c r="B666" s="612"/>
      <c r="C666" s="611"/>
      <c r="D666" s="611"/>
      <c r="E666" s="611"/>
      <c r="F666" s="611"/>
      <c r="G666" s="611"/>
      <c r="H666" s="611"/>
      <c r="I666" s="611"/>
      <c r="J666" s="634" t="s">
        <v>3813</v>
      </c>
      <c r="K666" s="635"/>
      <c r="L666" s="626"/>
      <c r="M666" s="627"/>
      <c r="N666" s="636" t="s">
        <v>3276</v>
      </c>
      <c r="O666" s="636" t="s">
        <v>122</v>
      </c>
      <c r="P666" s="627" t="s">
        <v>757</v>
      </c>
      <c r="Q666" s="611"/>
      <c r="R666" s="611"/>
      <c r="S666" s="611"/>
      <c r="T666" s="611"/>
      <c r="U666" s="611"/>
      <c r="V666" s="611"/>
      <c r="W666" s="611"/>
      <c r="X666" s="611"/>
      <c r="Y666" s="611"/>
      <c r="Z666" s="611"/>
      <c r="AA666" s="611"/>
    </row>
    <row r="667" spans="1:27" ht="12.4" customHeight="1">
      <c r="A667" s="611"/>
      <c r="B667" s="612"/>
      <c r="C667" s="611"/>
      <c r="D667" s="611"/>
      <c r="E667" s="611"/>
      <c r="F667" s="611"/>
      <c r="G667" s="611"/>
      <c r="H667" s="611"/>
      <c r="I667" s="611"/>
      <c r="J667" s="634" t="s">
        <v>3080</v>
      </c>
      <c r="K667" s="635"/>
      <c r="L667" s="626"/>
      <c r="M667" s="627"/>
      <c r="N667" s="636" t="s">
        <v>2372</v>
      </c>
      <c r="O667" s="636" t="s">
        <v>2371</v>
      </c>
      <c r="P667" s="627"/>
      <c r="Q667" s="611"/>
      <c r="R667" s="611"/>
      <c r="S667" s="611"/>
      <c r="T667" s="611"/>
      <c r="U667" s="611"/>
      <c r="V667" s="611"/>
      <c r="W667" s="611"/>
      <c r="X667" s="611"/>
      <c r="Y667" s="611"/>
      <c r="Z667" s="611"/>
      <c r="AA667" s="611"/>
    </row>
    <row r="668" spans="1:27" ht="12.4" customHeight="1">
      <c r="A668" s="611"/>
      <c r="B668" s="612"/>
      <c r="C668" s="611"/>
      <c r="D668" s="611"/>
      <c r="E668" s="611"/>
      <c r="F668" s="611"/>
      <c r="G668" s="611"/>
      <c r="H668" s="611"/>
      <c r="I668" s="611"/>
      <c r="J668" s="634" t="s">
        <v>1540</v>
      </c>
      <c r="K668" s="635"/>
      <c r="L668" s="626"/>
      <c r="M668" s="627"/>
      <c r="N668" s="636" t="s">
        <v>2203</v>
      </c>
      <c r="O668" s="636" t="s">
        <v>3819</v>
      </c>
      <c r="P668" s="627" t="s">
        <v>758</v>
      </c>
      <c r="Q668" s="611"/>
      <c r="R668" s="611"/>
      <c r="S668" s="611"/>
      <c r="T668" s="611"/>
      <c r="U668" s="611"/>
      <c r="V668" s="611"/>
      <c r="W668" s="611"/>
      <c r="X668" s="611"/>
      <c r="Y668" s="611"/>
      <c r="Z668" s="611"/>
      <c r="AA668" s="611"/>
    </row>
    <row r="669" spans="1:27" ht="12.4" customHeight="1">
      <c r="A669" s="611"/>
      <c r="B669" s="612"/>
      <c r="C669" s="611"/>
      <c r="D669" s="611"/>
      <c r="E669" s="611"/>
      <c r="F669" s="611"/>
      <c r="G669" s="611"/>
      <c r="H669" s="611"/>
      <c r="I669" s="611"/>
      <c r="J669" s="634" t="s">
        <v>1347</v>
      </c>
      <c r="K669" s="635"/>
      <c r="L669" s="626"/>
      <c r="M669" s="627"/>
      <c r="N669" s="636" t="s">
        <v>2205</v>
      </c>
      <c r="O669" s="636" t="s">
        <v>421</v>
      </c>
      <c r="P669" s="627" t="s">
        <v>759</v>
      </c>
      <c r="Q669" s="611"/>
      <c r="R669" s="611"/>
      <c r="S669" s="611"/>
      <c r="T669" s="611"/>
      <c r="U669" s="611"/>
      <c r="V669" s="611"/>
      <c r="W669" s="611"/>
      <c r="X669" s="611"/>
      <c r="Y669" s="611"/>
      <c r="Z669" s="611"/>
      <c r="AA669" s="611"/>
    </row>
    <row r="670" spans="1:27" ht="12.4" customHeight="1">
      <c r="A670" s="611"/>
      <c r="B670" s="612"/>
      <c r="C670" s="611"/>
      <c r="D670" s="611"/>
      <c r="E670" s="611"/>
      <c r="F670" s="611"/>
      <c r="G670" s="611"/>
      <c r="H670" s="611"/>
      <c r="I670" s="611"/>
      <c r="J670" s="634" t="s">
        <v>2202</v>
      </c>
      <c r="K670" s="635"/>
      <c r="L670" s="626"/>
      <c r="M670" s="627"/>
      <c r="N670" s="507" t="s">
        <v>1701</v>
      </c>
      <c r="O670" s="507" t="s">
        <v>1003</v>
      </c>
      <c r="P670" s="1580" t="s">
        <v>3242</v>
      </c>
      <c r="Q670" s="611"/>
      <c r="R670" s="611"/>
      <c r="S670" s="611"/>
      <c r="T670" s="611"/>
      <c r="U670" s="611"/>
      <c r="V670" s="611"/>
      <c r="W670" s="611"/>
      <c r="X670" s="611"/>
      <c r="Y670" s="611"/>
      <c r="Z670" s="611"/>
      <c r="AA670" s="611"/>
    </row>
    <row r="671" spans="1:27" ht="12.4" customHeight="1">
      <c r="A671" s="611"/>
      <c r="B671" s="612"/>
      <c r="C671" s="611"/>
      <c r="D671" s="611"/>
      <c r="E671" s="611"/>
      <c r="F671" s="611"/>
      <c r="G671" s="611"/>
      <c r="H671" s="611"/>
      <c r="I671" s="611"/>
      <c r="J671" s="634" t="s">
        <v>2204</v>
      </c>
      <c r="K671" s="635"/>
      <c r="L671" s="626"/>
      <c r="M671" s="627"/>
      <c r="N671" s="636" t="s">
        <v>2008</v>
      </c>
      <c r="O671" s="636" t="s">
        <v>3289</v>
      </c>
      <c r="P671" s="627" t="s">
        <v>760</v>
      </c>
      <c r="Q671" s="611"/>
      <c r="R671" s="611"/>
      <c r="S671" s="611"/>
      <c r="T671" s="611"/>
      <c r="U671" s="611"/>
      <c r="V671" s="611"/>
      <c r="W671" s="611"/>
      <c r="X671" s="611"/>
      <c r="Y671" s="611"/>
      <c r="Z671" s="611"/>
      <c r="AA671" s="611"/>
    </row>
    <row r="672" spans="1:27" ht="12.4" customHeight="1">
      <c r="A672" s="611"/>
      <c r="B672" s="612"/>
      <c r="C672" s="611"/>
      <c r="D672" s="611"/>
      <c r="E672" s="611"/>
      <c r="F672" s="611"/>
      <c r="G672" s="611"/>
      <c r="H672" s="611"/>
      <c r="I672" s="611"/>
      <c r="J672" s="634" t="s">
        <v>2206</v>
      </c>
      <c r="K672" s="635"/>
      <c r="L672" s="626"/>
      <c r="M672" s="627"/>
      <c r="N672" s="636" t="s">
        <v>2010</v>
      </c>
      <c r="O672" s="636" t="s">
        <v>3819</v>
      </c>
      <c r="P672" s="627" t="s">
        <v>761</v>
      </c>
      <c r="Q672" s="611"/>
      <c r="R672" s="611"/>
      <c r="S672" s="611"/>
      <c r="T672" s="611"/>
      <c r="U672" s="611"/>
      <c r="V672" s="611"/>
      <c r="W672" s="611"/>
      <c r="X672" s="611"/>
      <c r="Y672" s="611"/>
      <c r="Z672" s="611"/>
      <c r="AA672" s="611"/>
    </row>
    <row r="673" spans="1:27" ht="12.4" customHeight="1">
      <c r="A673" s="611"/>
      <c r="B673" s="612"/>
      <c r="C673" s="611"/>
      <c r="D673" s="611"/>
      <c r="E673" s="611"/>
      <c r="F673" s="611"/>
      <c r="G673" s="611"/>
      <c r="H673" s="611"/>
      <c r="I673" s="611"/>
      <c r="J673" s="634" t="s">
        <v>2007</v>
      </c>
      <c r="K673" s="635"/>
      <c r="L673" s="626"/>
      <c r="M673" s="627"/>
      <c r="N673" s="636" t="s">
        <v>3070</v>
      </c>
      <c r="O673" s="636" t="s">
        <v>1739</v>
      </c>
      <c r="P673" s="627" t="s">
        <v>762</v>
      </c>
      <c r="Q673" s="611"/>
      <c r="R673" s="611"/>
      <c r="S673" s="611"/>
      <c r="T673" s="611"/>
      <c r="U673" s="611"/>
      <c r="V673" s="611"/>
      <c r="W673" s="611"/>
      <c r="X673" s="611"/>
      <c r="Y673" s="611"/>
      <c r="Z673" s="611"/>
      <c r="AA673" s="611"/>
    </row>
    <row r="674" spans="1:27" ht="12.4" customHeight="1">
      <c r="A674" s="611"/>
      <c r="B674" s="612"/>
      <c r="C674" s="611"/>
      <c r="D674" s="611"/>
      <c r="E674" s="611"/>
      <c r="F674" s="611"/>
      <c r="G674" s="611"/>
      <c r="H674" s="611"/>
      <c r="I674" s="611"/>
      <c r="J674" s="634" t="s">
        <v>2009</v>
      </c>
      <c r="K674" s="635"/>
      <c r="L674" s="626"/>
      <c r="M674" s="627"/>
      <c r="N674" s="636" t="s">
        <v>1225</v>
      </c>
      <c r="O674" s="636" t="s">
        <v>411</v>
      </c>
      <c r="P674" s="627" t="s">
        <v>763</v>
      </c>
      <c r="Q674" s="611"/>
      <c r="R674" s="611"/>
      <c r="S674" s="611"/>
      <c r="T674" s="611"/>
      <c r="U674" s="611"/>
      <c r="V674" s="611"/>
      <c r="W674" s="611"/>
      <c r="X674" s="611"/>
      <c r="Y674" s="611"/>
      <c r="Z674" s="611"/>
      <c r="AA674" s="611"/>
    </row>
    <row r="675" spans="1:27" ht="12.4" customHeight="1">
      <c r="A675" s="611"/>
      <c r="B675" s="612"/>
      <c r="C675" s="611"/>
      <c r="D675" s="611"/>
      <c r="E675" s="611"/>
      <c r="F675" s="611"/>
      <c r="G675" s="611"/>
      <c r="H675" s="611"/>
      <c r="I675" s="611"/>
      <c r="J675" s="634" t="s">
        <v>3069</v>
      </c>
      <c r="K675" s="635"/>
      <c r="L675" s="626"/>
      <c r="M675" s="627"/>
      <c r="N675" s="636" t="s">
        <v>1952</v>
      </c>
      <c r="O675" s="636" t="s">
        <v>1016</v>
      </c>
      <c r="P675" s="627" t="s">
        <v>764</v>
      </c>
      <c r="Q675" s="611"/>
      <c r="R675" s="611"/>
      <c r="S675" s="611"/>
      <c r="T675" s="611"/>
      <c r="U675" s="611"/>
      <c r="V675" s="611"/>
      <c r="W675" s="611"/>
      <c r="X675" s="611"/>
      <c r="Y675" s="611"/>
      <c r="Z675" s="611"/>
      <c r="AA675" s="611"/>
    </row>
    <row r="676" spans="1:27" ht="12.4" customHeight="1">
      <c r="A676" s="611"/>
      <c r="B676" s="612"/>
      <c r="C676" s="611"/>
      <c r="D676" s="611"/>
      <c r="E676" s="611"/>
      <c r="F676" s="611"/>
      <c r="G676" s="611"/>
      <c r="H676" s="611"/>
      <c r="I676" s="611"/>
      <c r="J676" s="634" t="s">
        <v>1224</v>
      </c>
      <c r="K676" s="635"/>
      <c r="L676" s="626"/>
      <c r="M676" s="627"/>
      <c r="N676" s="507" t="s">
        <v>1702</v>
      </c>
      <c r="O676" s="507" t="s">
        <v>215</v>
      </c>
      <c r="P676" s="1580" t="s">
        <v>3242</v>
      </c>
      <c r="Q676" s="611"/>
      <c r="R676" s="611"/>
      <c r="S676" s="611"/>
      <c r="T676" s="611"/>
      <c r="U676" s="611"/>
      <c r="V676" s="611"/>
      <c r="W676" s="611"/>
      <c r="X676" s="611"/>
      <c r="Y676" s="611"/>
      <c r="Z676" s="611"/>
      <c r="AA676" s="611"/>
    </row>
    <row r="677" spans="1:27" ht="12.4" customHeight="1">
      <c r="A677" s="611"/>
      <c r="B677" s="612"/>
      <c r="C677" s="611"/>
      <c r="D677" s="611"/>
      <c r="E677" s="611"/>
      <c r="F677" s="611"/>
      <c r="G677" s="611"/>
      <c r="H677" s="611"/>
      <c r="I677" s="611"/>
      <c r="J677" s="634" t="s">
        <v>1951</v>
      </c>
      <c r="K677" s="635"/>
      <c r="L677" s="626"/>
      <c r="M677" s="627"/>
      <c r="N677" s="636" t="s">
        <v>2947</v>
      </c>
      <c r="O677" s="636" t="s">
        <v>1737</v>
      </c>
      <c r="P677" s="627" t="s">
        <v>765</v>
      </c>
      <c r="Q677" s="611"/>
      <c r="R677" s="611"/>
      <c r="S677" s="611"/>
      <c r="T677" s="611"/>
      <c r="U677" s="611"/>
      <c r="V677" s="611"/>
      <c r="W677" s="611"/>
      <c r="X677" s="611"/>
      <c r="Y677" s="611"/>
      <c r="Z677" s="611"/>
      <c r="AA677" s="611"/>
    </row>
    <row r="678" spans="1:27" ht="12.4" customHeight="1">
      <c r="A678" s="611"/>
      <c r="B678" s="612"/>
      <c r="C678" s="611"/>
      <c r="D678" s="611"/>
      <c r="E678" s="611"/>
      <c r="F678" s="611"/>
      <c r="G678" s="611"/>
      <c r="H678" s="611"/>
      <c r="I678" s="611"/>
      <c r="J678" s="634" t="s">
        <v>2945</v>
      </c>
      <c r="K678" s="635"/>
      <c r="L678" s="626"/>
      <c r="M678" s="627"/>
      <c r="N678" s="636" t="s">
        <v>2949</v>
      </c>
      <c r="O678" s="636" t="s">
        <v>2181</v>
      </c>
      <c r="P678" s="627" t="s">
        <v>766</v>
      </c>
      <c r="Q678" s="611"/>
      <c r="R678" s="611"/>
      <c r="S678" s="611"/>
      <c r="T678" s="611"/>
      <c r="U678" s="611"/>
      <c r="V678" s="611"/>
      <c r="W678" s="611"/>
      <c r="X678" s="611"/>
      <c r="Y678" s="611"/>
      <c r="Z678" s="611"/>
      <c r="AA678" s="611"/>
    </row>
    <row r="679" spans="1:27" ht="12.4" customHeight="1">
      <c r="A679" s="611"/>
      <c r="B679" s="612"/>
      <c r="C679" s="611"/>
      <c r="D679" s="611"/>
      <c r="E679" s="611"/>
      <c r="F679" s="611"/>
      <c r="G679" s="611"/>
      <c r="H679" s="611"/>
      <c r="I679" s="611"/>
      <c r="J679" s="634" t="s">
        <v>2946</v>
      </c>
      <c r="K679" s="635"/>
      <c r="L679" s="626"/>
      <c r="M679" s="627"/>
      <c r="N679" s="636" t="s">
        <v>2951</v>
      </c>
      <c r="O679" s="636" t="s">
        <v>3761</v>
      </c>
      <c r="P679" s="627" t="s">
        <v>767</v>
      </c>
      <c r="Q679" s="611"/>
      <c r="R679" s="611"/>
      <c r="S679" s="611"/>
      <c r="T679" s="611"/>
      <c r="U679" s="611"/>
      <c r="V679" s="611"/>
      <c r="W679" s="611"/>
      <c r="X679" s="611"/>
      <c r="Y679" s="611"/>
      <c r="Z679" s="611"/>
      <c r="AA679" s="611"/>
    </row>
    <row r="680" spans="1:27" ht="12.4" customHeight="1">
      <c r="A680" s="611"/>
      <c r="B680" s="612"/>
      <c r="C680" s="611"/>
      <c r="D680" s="611"/>
      <c r="E680" s="611"/>
      <c r="F680" s="611"/>
      <c r="G680" s="611"/>
      <c r="H680" s="611"/>
      <c r="I680" s="611"/>
      <c r="J680" s="634" t="s">
        <v>2948</v>
      </c>
      <c r="K680" s="635"/>
      <c r="L680" s="626"/>
      <c r="M680" s="627"/>
      <c r="N680" s="636" t="s">
        <v>2953</v>
      </c>
      <c r="O680" s="636" t="s">
        <v>136</v>
      </c>
      <c r="P680" s="627" t="s">
        <v>768</v>
      </c>
      <c r="Q680" s="611"/>
      <c r="R680" s="611"/>
      <c r="S680" s="611"/>
      <c r="T680" s="611"/>
      <c r="U680" s="611"/>
      <c r="V680" s="611"/>
      <c r="W680" s="611"/>
      <c r="X680" s="611"/>
      <c r="Y680" s="611"/>
      <c r="Z680" s="611"/>
      <c r="AA680" s="611"/>
    </row>
    <row r="681" spans="1:27" ht="12.4" customHeight="1">
      <c r="A681" s="611"/>
      <c r="B681" s="612"/>
      <c r="C681" s="611"/>
      <c r="D681" s="611"/>
      <c r="E681" s="611"/>
      <c r="F681" s="611"/>
      <c r="G681" s="611"/>
      <c r="H681" s="611"/>
      <c r="I681" s="611"/>
      <c r="J681" s="634" t="s">
        <v>2950</v>
      </c>
      <c r="K681" s="635"/>
      <c r="L681" s="626"/>
      <c r="M681" s="627"/>
      <c r="N681" s="636" t="s">
        <v>743</v>
      </c>
      <c r="O681" s="636" t="s">
        <v>3088</v>
      </c>
      <c r="P681" s="627" t="s">
        <v>769</v>
      </c>
      <c r="Q681" s="611"/>
      <c r="R681" s="611"/>
      <c r="S681" s="611"/>
      <c r="T681" s="611"/>
      <c r="U681" s="611"/>
      <c r="V681" s="611"/>
      <c r="W681" s="611"/>
      <c r="X681" s="611"/>
      <c r="Y681" s="611"/>
      <c r="Z681" s="611"/>
      <c r="AA681" s="611"/>
    </row>
    <row r="682" spans="1:27" ht="12.4" customHeight="1">
      <c r="A682" s="611"/>
      <c r="B682" s="612"/>
      <c r="C682" s="611"/>
      <c r="D682" s="611"/>
      <c r="E682" s="611"/>
      <c r="F682" s="611"/>
      <c r="G682" s="611"/>
      <c r="H682" s="611"/>
      <c r="I682" s="611"/>
      <c r="J682" s="634" t="s">
        <v>2952</v>
      </c>
      <c r="K682" s="635"/>
      <c r="L682" s="626"/>
      <c r="M682" s="627"/>
      <c r="N682" s="636" t="s">
        <v>3824</v>
      </c>
      <c r="O682" s="636" t="s">
        <v>2984</v>
      </c>
      <c r="P682" s="627" t="s">
        <v>770</v>
      </c>
      <c r="Q682" s="611"/>
      <c r="R682" s="611"/>
      <c r="S682" s="611"/>
      <c r="T682" s="611"/>
      <c r="U682" s="611"/>
      <c r="V682" s="611"/>
      <c r="W682" s="611"/>
      <c r="X682" s="611"/>
      <c r="Y682" s="611"/>
      <c r="Z682" s="611"/>
      <c r="AA682" s="611"/>
    </row>
    <row r="683" spans="1:27" ht="12.4" customHeight="1">
      <c r="A683" s="611"/>
      <c r="B683" s="612"/>
      <c r="C683" s="611"/>
      <c r="D683" s="611"/>
      <c r="E683" s="611"/>
      <c r="F683" s="611"/>
      <c r="G683" s="611"/>
      <c r="H683" s="611"/>
      <c r="I683" s="611"/>
      <c r="J683" s="634" t="s">
        <v>742</v>
      </c>
      <c r="K683" s="635"/>
      <c r="L683" s="626"/>
      <c r="M683" s="627"/>
      <c r="N683" s="636" t="s">
        <v>3826</v>
      </c>
      <c r="O683" s="636" t="s">
        <v>3817</v>
      </c>
      <c r="P683" s="627" t="s">
        <v>771</v>
      </c>
      <c r="Q683" s="611"/>
      <c r="R683" s="611"/>
      <c r="S683" s="611"/>
      <c r="T683" s="611"/>
      <c r="U683" s="611"/>
      <c r="V683" s="611"/>
      <c r="W683" s="611"/>
      <c r="X683" s="611"/>
      <c r="Y683" s="611"/>
      <c r="Z683" s="611"/>
      <c r="AA683" s="611"/>
    </row>
    <row r="684" spans="1:27" ht="12.4" customHeight="1">
      <c r="A684" s="611"/>
      <c r="B684" s="612"/>
      <c r="C684" s="611"/>
      <c r="D684" s="611"/>
      <c r="E684" s="611"/>
      <c r="F684" s="611"/>
      <c r="G684" s="611"/>
      <c r="H684" s="611"/>
      <c r="I684" s="611"/>
      <c r="J684" s="634" t="s">
        <v>3823</v>
      </c>
      <c r="K684" s="635"/>
      <c r="L684" s="626"/>
      <c r="M684" s="627"/>
      <c r="N684" s="636" t="s">
        <v>1799</v>
      </c>
      <c r="O684" s="636" t="s">
        <v>408</v>
      </c>
      <c r="P684" s="627" t="s">
        <v>772</v>
      </c>
      <c r="Q684" s="611"/>
      <c r="R684" s="611"/>
      <c r="S684" s="611"/>
      <c r="T684" s="611"/>
      <c r="U684" s="611"/>
      <c r="V684" s="611"/>
      <c r="W684" s="611"/>
      <c r="X684" s="611"/>
      <c r="Y684" s="611"/>
      <c r="Z684" s="611"/>
      <c r="AA684" s="611"/>
    </row>
    <row r="685" spans="1:27" ht="12.4" customHeight="1">
      <c r="A685" s="611"/>
      <c r="B685" s="612"/>
      <c r="C685" s="611"/>
      <c r="D685" s="611"/>
      <c r="E685" s="611"/>
      <c r="F685" s="611"/>
      <c r="G685" s="611"/>
      <c r="H685" s="611"/>
      <c r="I685" s="611"/>
      <c r="J685" s="634" t="s">
        <v>3825</v>
      </c>
      <c r="K685" s="635"/>
      <c r="L685" s="626"/>
      <c r="M685" s="627"/>
      <c r="N685" s="636" t="s">
        <v>3803</v>
      </c>
      <c r="O685" s="636" t="s">
        <v>1469</v>
      </c>
      <c r="P685" s="627" t="s">
        <v>773</v>
      </c>
      <c r="Q685" s="611"/>
      <c r="R685" s="611"/>
      <c r="S685" s="611"/>
      <c r="T685" s="611"/>
      <c r="U685" s="611"/>
      <c r="V685" s="611"/>
      <c r="W685" s="611"/>
      <c r="X685" s="611"/>
      <c r="Y685" s="611"/>
      <c r="Z685" s="611"/>
      <c r="AA685" s="611"/>
    </row>
    <row r="686" spans="1:27" ht="12.4" customHeight="1">
      <c r="A686" s="611"/>
      <c r="B686" s="612"/>
      <c r="C686" s="611"/>
      <c r="D686" s="611"/>
      <c r="E686" s="611"/>
      <c r="F686" s="611"/>
      <c r="G686" s="611"/>
      <c r="H686" s="611"/>
      <c r="I686" s="611"/>
      <c r="J686" s="634" t="s">
        <v>1798</v>
      </c>
      <c r="K686" s="635"/>
      <c r="L686" s="626"/>
      <c r="M686" s="627"/>
      <c r="N686" s="636" t="s">
        <v>1399</v>
      </c>
      <c r="O686" s="636" t="s">
        <v>2036</v>
      </c>
      <c r="P686" s="627" t="s">
        <v>774</v>
      </c>
      <c r="Q686" s="611"/>
      <c r="R686" s="611"/>
      <c r="S686" s="611"/>
      <c r="T686" s="611"/>
      <c r="U686" s="611"/>
      <c r="V686" s="611"/>
      <c r="W686" s="611"/>
      <c r="X686" s="611"/>
      <c r="Y686" s="611"/>
      <c r="Z686" s="611"/>
      <c r="AA686" s="611"/>
    </row>
    <row r="687" spans="1:27" ht="12.4" customHeight="1">
      <c r="A687" s="611"/>
      <c r="B687" s="612"/>
      <c r="C687" s="611"/>
      <c r="D687" s="611"/>
      <c r="E687" s="611"/>
      <c r="F687" s="611"/>
      <c r="G687" s="611"/>
      <c r="H687" s="611"/>
      <c r="I687" s="611"/>
      <c r="J687" s="634" t="s">
        <v>3802</v>
      </c>
      <c r="K687" s="635"/>
      <c r="L687" s="626"/>
      <c r="M687" s="627"/>
      <c r="N687" s="507" t="s">
        <v>1698</v>
      </c>
      <c r="O687" s="507" t="s">
        <v>1011</v>
      </c>
      <c r="P687" s="1580" t="s">
        <v>3242</v>
      </c>
      <c r="Q687" s="611"/>
      <c r="R687" s="611"/>
      <c r="S687" s="611"/>
      <c r="T687" s="611"/>
      <c r="U687" s="611"/>
      <c r="V687" s="611"/>
      <c r="W687" s="611"/>
      <c r="X687" s="611"/>
      <c r="Y687" s="611"/>
      <c r="Z687" s="611"/>
      <c r="AA687" s="611"/>
    </row>
    <row r="688" spans="1:27" ht="12.4" customHeight="1">
      <c r="A688" s="611"/>
      <c r="B688" s="612"/>
      <c r="C688" s="611"/>
      <c r="D688" s="611"/>
      <c r="E688" s="611"/>
      <c r="F688" s="611"/>
      <c r="G688" s="611"/>
      <c r="H688" s="611"/>
      <c r="I688" s="611"/>
      <c r="J688" s="634" t="s">
        <v>3804</v>
      </c>
      <c r="K688" s="635"/>
      <c r="L688" s="626"/>
      <c r="M688" s="627"/>
      <c r="N688" s="636" t="s">
        <v>2285</v>
      </c>
      <c r="O688" s="636" t="s">
        <v>424</v>
      </c>
      <c r="P688" s="627" t="s">
        <v>775</v>
      </c>
      <c r="Q688" s="611"/>
      <c r="R688" s="611"/>
      <c r="S688" s="611"/>
      <c r="T688" s="611"/>
      <c r="U688" s="611"/>
      <c r="V688" s="611"/>
      <c r="W688" s="611"/>
      <c r="X688" s="611"/>
      <c r="Y688" s="611"/>
      <c r="Z688" s="611"/>
      <c r="AA688" s="611"/>
    </row>
    <row r="689" spans="1:27" ht="12.4" customHeight="1">
      <c r="A689" s="611"/>
      <c r="B689" s="612"/>
      <c r="C689" s="611"/>
      <c r="D689" s="611"/>
      <c r="E689" s="611"/>
      <c r="F689" s="611"/>
      <c r="G689" s="611"/>
      <c r="H689" s="611"/>
      <c r="I689" s="611"/>
      <c r="J689" s="634" t="s">
        <v>2283</v>
      </c>
      <c r="K689" s="635"/>
      <c r="L689" s="626"/>
      <c r="M689" s="627"/>
      <c r="N689" s="636" t="s">
        <v>3198</v>
      </c>
      <c r="O689" s="636" t="s">
        <v>2029</v>
      </c>
      <c r="P689" s="627" t="s">
        <v>776</v>
      </c>
      <c r="Q689" s="611"/>
      <c r="R689" s="611"/>
      <c r="S689" s="611"/>
      <c r="T689" s="611"/>
      <c r="U689" s="611"/>
      <c r="V689" s="611"/>
      <c r="W689" s="611"/>
      <c r="X689" s="611"/>
      <c r="Y689" s="611"/>
      <c r="Z689" s="611"/>
      <c r="AA689" s="611"/>
    </row>
    <row r="690" spans="1:27" ht="12.4" customHeight="1">
      <c r="A690" s="611"/>
      <c r="B690" s="612"/>
      <c r="C690" s="611"/>
      <c r="D690" s="611"/>
      <c r="E690" s="611"/>
      <c r="F690" s="611"/>
      <c r="G690" s="611"/>
      <c r="H690" s="611"/>
      <c r="I690" s="611"/>
      <c r="J690" s="634" t="s">
        <v>2284</v>
      </c>
      <c r="K690" s="635"/>
      <c r="L690" s="626"/>
      <c r="M690" s="627"/>
      <c r="N690" s="636" t="s">
        <v>2526</v>
      </c>
      <c r="O690" s="636" t="s">
        <v>2015</v>
      </c>
      <c r="P690" s="627" t="s">
        <v>777</v>
      </c>
      <c r="Q690" s="611"/>
      <c r="R690" s="611"/>
      <c r="S690" s="611"/>
      <c r="T690" s="611"/>
      <c r="U690" s="611"/>
      <c r="V690" s="611"/>
      <c r="W690" s="611"/>
      <c r="X690" s="611"/>
      <c r="Y690" s="611"/>
      <c r="Z690" s="611"/>
      <c r="AA690" s="611"/>
    </row>
    <row r="691" spans="1:27" ht="12.4" customHeight="1">
      <c r="A691" s="611"/>
      <c r="B691" s="612"/>
      <c r="C691" s="611"/>
      <c r="D691" s="611"/>
      <c r="E691" s="611"/>
      <c r="F691" s="611"/>
      <c r="G691" s="611"/>
      <c r="H691" s="611"/>
      <c r="I691" s="611"/>
      <c r="J691" s="634" t="s">
        <v>3196</v>
      </c>
      <c r="K691" s="635"/>
      <c r="L691" s="626"/>
      <c r="M691" s="627"/>
      <c r="N691" s="636" t="s">
        <v>1533</v>
      </c>
      <c r="O691" s="636" t="s">
        <v>3371</v>
      </c>
      <c r="P691" s="627" t="s">
        <v>778</v>
      </c>
      <c r="Q691" s="611"/>
      <c r="R691" s="611"/>
      <c r="S691" s="611"/>
      <c r="T691" s="611"/>
      <c r="U691" s="611"/>
      <c r="V691" s="611"/>
      <c r="W691" s="611"/>
      <c r="X691" s="611"/>
      <c r="Y691" s="611"/>
      <c r="Z691" s="611"/>
      <c r="AA691" s="611"/>
    </row>
    <row r="692" spans="1:27" ht="12.4" customHeight="1">
      <c r="A692" s="611"/>
      <c r="B692" s="612"/>
      <c r="C692" s="611"/>
      <c r="D692" s="611"/>
      <c r="E692" s="611"/>
      <c r="F692" s="611"/>
      <c r="G692" s="611"/>
      <c r="H692" s="611"/>
      <c r="I692" s="611"/>
      <c r="J692" s="634" t="s">
        <v>3197</v>
      </c>
      <c r="K692" s="635"/>
      <c r="L692" s="626"/>
      <c r="M692" s="627"/>
      <c r="N692" s="636" t="s">
        <v>1535</v>
      </c>
      <c r="O692" s="636" t="s">
        <v>415</v>
      </c>
      <c r="P692" s="627" t="s">
        <v>544</v>
      </c>
      <c r="Q692" s="611"/>
      <c r="R692" s="611"/>
      <c r="S692" s="611"/>
      <c r="T692" s="611"/>
      <c r="U692" s="611"/>
      <c r="V692" s="611"/>
      <c r="W692" s="611"/>
      <c r="X692" s="611"/>
      <c r="Y692" s="611"/>
      <c r="Z692" s="611"/>
      <c r="AA692" s="611"/>
    </row>
    <row r="693" spans="1:27" ht="12.4" customHeight="1">
      <c r="A693" s="611"/>
      <c r="B693" s="612"/>
      <c r="C693" s="611"/>
      <c r="D693" s="611"/>
      <c r="E693" s="611"/>
      <c r="F693" s="611"/>
      <c r="G693" s="611"/>
      <c r="H693" s="611"/>
      <c r="I693" s="611"/>
      <c r="J693" s="634" t="s">
        <v>2525</v>
      </c>
      <c r="K693" s="635"/>
      <c r="L693" s="626"/>
      <c r="M693" s="627"/>
      <c r="N693" s="636" t="s">
        <v>3781</v>
      </c>
      <c r="O693" s="636" t="s">
        <v>965</v>
      </c>
      <c r="P693" s="627" t="s">
        <v>545</v>
      </c>
      <c r="Q693" s="611"/>
      <c r="R693" s="611"/>
      <c r="S693" s="611"/>
      <c r="T693" s="611"/>
      <c r="U693" s="611"/>
      <c r="V693" s="611"/>
      <c r="W693" s="611"/>
      <c r="X693" s="611"/>
      <c r="Y693" s="611"/>
      <c r="Z693" s="611"/>
      <c r="AA693" s="611"/>
    </row>
    <row r="694" spans="1:27" ht="12.4" customHeight="1">
      <c r="A694" s="611"/>
      <c r="B694" s="612"/>
      <c r="C694" s="611"/>
      <c r="D694" s="611"/>
      <c r="E694" s="611"/>
      <c r="F694" s="611"/>
      <c r="G694" s="611"/>
      <c r="H694" s="611"/>
      <c r="I694" s="611"/>
      <c r="J694" s="634" t="s">
        <v>2527</v>
      </c>
      <c r="K694" s="635"/>
      <c r="L694" s="626"/>
      <c r="M694" s="627"/>
      <c r="N694" s="636" t="s">
        <v>2963</v>
      </c>
      <c r="O694" s="636" t="s">
        <v>136</v>
      </c>
      <c r="P694" s="627" t="s">
        <v>546</v>
      </c>
      <c r="Q694" s="611"/>
      <c r="R694" s="611"/>
      <c r="S694" s="611"/>
      <c r="T694" s="611"/>
      <c r="U694" s="611"/>
      <c r="V694" s="611"/>
      <c r="W694" s="611"/>
      <c r="X694" s="611"/>
      <c r="Y694" s="611"/>
      <c r="Z694" s="611"/>
      <c r="AA694" s="611"/>
    </row>
    <row r="695" spans="1:27" ht="12.4" customHeight="1">
      <c r="A695" s="611"/>
      <c r="B695" s="612"/>
      <c r="C695" s="611"/>
      <c r="D695" s="611"/>
      <c r="E695" s="611"/>
      <c r="F695" s="611"/>
      <c r="G695" s="611"/>
      <c r="H695" s="611"/>
      <c r="I695" s="611"/>
      <c r="J695" s="634" t="s">
        <v>1532</v>
      </c>
      <c r="K695" s="635"/>
      <c r="L695" s="626"/>
      <c r="M695" s="627"/>
      <c r="N695" s="636" t="s">
        <v>2966</v>
      </c>
      <c r="O695" s="636" t="s">
        <v>3371</v>
      </c>
      <c r="P695" s="627" t="s">
        <v>547</v>
      </c>
      <c r="Q695" s="611"/>
      <c r="R695" s="611"/>
      <c r="S695" s="611"/>
      <c r="T695" s="611"/>
      <c r="U695" s="611"/>
      <c r="V695" s="611"/>
      <c r="W695" s="611"/>
      <c r="X695" s="611"/>
      <c r="Y695" s="611"/>
      <c r="Z695" s="611"/>
      <c r="AA695" s="611"/>
    </row>
    <row r="696" spans="1:27" ht="12.4" customHeight="1">
      <c r="A696" s="611"/>
      <c r="B696" s="612"/>
      <c r="C696" s="611"/>
      <c r="D696" s="611"/>
      <c r="E696" s="611"/>
      <c r="F696" s="611"/>
      <c r="G696" s="611"/>
      <c r="H696" s="611"/>
      <c r="I696" s="611"/>
      <c r="J696" s="634" t="s">
        <v>1534</v>
      </c>
      <c r="K696" s="635"/>
      <c r="L696" s="626"/>
      <c r="M696" s="627"/>
      <c r="N696" s="636" t="s">
        <v>2968</v>
      </c>
      <c r="O696" s="636" t="s">
        <v>218</v>
      </c>
      <c r="P696" s="627" t="s">
        <v>548</v>
      </c>
      <c r="Q696" s="611"/>
      <c r="R696" s="611"/>
      <c r="S696" s="611"/>
      <c r="T696" s="611"/>
      <c r="U696" s="611"/>
      <c r="V696" s="611"/>
      <c r="W696" s="611"/>
      <c r="X696" s="611"/>
      <c r="Y696" s="611"/>
      <c r="Z696" s="611"/>
      <c r="AA696" s="611"/>
    </row>
    <row r="697" spans="1:27" ht="12.4" customHeight="1">
      <c r="A697" s="611"/>
      <c r="B697" s="612"/>
      <c r="C697" s="611"/>
      <c r="D697" s="611"/>
      <c r="E697" s="611"/>
      <c r="F697" s="611"/>
      <c r="G697" s="611"/>
      <c r="H697" s="611"/>
      <c r="I697" s="611"/>
      <c r="J697" s="634" t="s">
        <v>1536</v>
      </c>
      <c r="K697" s="635"/>
      <c r="L697" s="626"/>
      <c r="M697" s="627"/>
      <c r="N697" s="636" t="s">
        <v>987</v>
      </c>
      <c r="O697" s="636" t="s">
        <v>3636</v>
      </c>
      <c r="P697" s="627" t="s">
        <v>549</v>
      </c>
      <c r="Q697" s="611"/>
      <c r="R697" s="611"/>
      <c r="S697" s="611"/>
      <c r="T697" s="611"/>
      <c r="U697" s="611"/>
      <c r="V697" s="611"/>
      <c r="W697" s="611"/>
      <c r="X697" s="611"/>
      <c r="Y697" s="611"/>
      <c r="Z697" s="611"/>
      <c r="AA697" s="611"/>
    </row>
    <row r="698" spans="1:27" ht="12.4" customHeight="1">
      <c r="A698" s="611"/>
      <c r="B698" s="612"/>
      <c r="C698" s="611"/>
      <c r="D698" s="611"/>
      <c r="E698" s="611"/>
      <c r="F698" s="611"/>
      <c r="G698" s="611"/>
      <c r="H698" s="611"/>
      <c r="I698" s="611"/>
      <c r="J698" s="634" t="s">
        <v>3780</v>
      </c>
      <c r="K698" s="635"/>
      <c r="L698" s="626"/>
      <c r="M698" s="627"/>
      <c r="N698" s="636" t="s">
        <v>1400</v>
      </c>
      <c r="O698" s="636" t="s">
        <v>3280</v>
      </c>
      <c r="P698" s="627" t="s">
        <v>550</v>
      </c>
      <c r="Q698" s="611"/>
      <c r="R698" s="611"/>
      <c r="S698" s="611"/>
      <c r="T698" s="611"/>
      <c r="U698" s="611"/>
      <c r="V698" s="611"/>
      <c r="W698" s="611"/>
      <c r="X698" s="611"/>
      <c r="Y698" s="611"/>
      <c r="Z698" s="611"/>
      <c r="AA698" s="611"/>
    </row>
    <row r="699" spans="1:27" ht="12.4" customHeight="1">
      <c r="A699" s="611"/>
      <c r="B699" s="612"/>
      <c r="C699" s="611"/>
      <c r="D699" s="611"/>
      <c r="E699" s="611"/>
      <c r="F699" s="611"/>
      <c r="G699" s="611"/>
      <c r="H699" s="611"/>
      <c r="I699" s="611"/>
      <c r="J699" s="634" t="s">
        <v>3782</v>
      </c>
      <c r="K699" s="635"/>
      <c r="L699" s="626"/>
      <c r="M699" s="627"/>
      <c r="N699" s="507" t="s">
        <v>1703</v>
      </c>
      <c r="O699" s="507" t="s">
        <v>2982</v>
      </c>
      <c r="P699" s="1580" t="s">
        <v>3242</v>
      </c>
      <c r="Q699" s="611"/>
      <c r="R699" s="611"/>
      <c r="S699" s="611"/>
      <c r="T699" s="611"/>
      <c r="U699" s="611"/>
      <c r="V699" s="611"/>
      <c r="W699" s="611"/>
      <c r="X699" s="611"/>
      <c r="Y699" s="611"/>
      <c r="Z699" s="611"/>
      <c r="AA699" s="611"/>
    </row>
    <row r="700" spans="1:27" ht="12.4" customHeight="1">
      <c r="A700" s="611"/>
      <c r="B700" s="612"/>
      <c r="C700" s="611"/>
      <c r="D700" s="611"/>
      <c r="E700" s="611"/>
      <c r="F700" s="611"/>
      <c r="G700" s="611"/>
      <c r="H700" s="611"/>
      <c r="I700" s="611"/>
      <c r="J700" s="634" t="s">
        <v>3783</v>
      </c>
      <c r="K700" s="635"/>
      <c r="L700" s="626"/>
      <c r="M700" s="627"/>
      <c r="N700" s="507" t="s">
        <v>1704</v>
      </c>
      <c r="O700" s="507" t="s">
        <v>3085</v>
      </c>
      <c r="P700" s="1580" t="s">
        <v>3242</v>
      </c>
      <c r="Q700" s="611"/>
      <c r="R700" s="611"/>
      <c r="S700" s="611"/>
      <c r="T700" s="611"/>
      <c r="U700" s="611"/>
      <c r="V700" s="611"/>
      <c r="W700" s="611"/>
      <c r="X700" s="611"/>
      <c r="Y700" s="611"/>
      <c r="Z700" s="611"/>
      <c r="AA700" s="611"/>
    </row>
    <row r="701" spans="1:27" ht="12.4" customHeight="1">
      <c r="A701" s="611"/>
      <c r="B701" s="612"/>
      <c r="C701" s="611"/>
      <c r="D701" s="611"/>
      <c r="E701" s="611"/>
      <c r="F701" s="611"/>
      <c r="G701" s="611"/>
      <c r="H701" s="611"/>
      <c r="I701" s="611"/>
      <c r="J701" s="634" t="s">
        <v>2964</v>
      </c>
      <c r="K701" s="635"/>
      <c r="L701" s="626"/>
      <c r="M701" s="627"/>
      <c r="N701" s="636" t="s">
        <v>2190</v>
      </c>
      <c r="O701" s="636" t="s">
        <v>1872</v>
      </c>
      <c r="P701" s="627" t="s">
        <v>551</v>
      </c>
      <c r="Q701" s="611"/>
      <c r="R701" s="611"/>
      <c r="S701" s="611"/>
      <c r="T701" s="611"/>
      <c r="U701" s="611"/>
      <c r="V701" s="611"/>
      <c r="W701" s="611"/>
      <c r="X701" s="611"/>
      <c r="Y701" s="611"/>
      <c r="Z701" s="611"/>
      <c r="AA701" s="611"/>
    </row>
    <row r="702" spans="1:27" ht="12.4" customHeight="1">
      <c r="A702" s="611"/>
      <c r="B702" s="612"/>
      <c r="C702" s="611"/>
      <c r="D702" s="611"/>
      <c r="E702" s="611"/>
      <c r="F702" s="611"/>
      <c r="G702" s="611"/>
      <c r="H702" s="611"/>
      <c r="I702" s="611"/>
      <c r="J702" s="634" t="s">
        <v>2965</v>
      </c>
      <c r="K702" s="635"/>
      <c r="L702" s="626"/>
      <c r="M702" s="627"/>
      <c r="N702" s="636" t="s">
        <v>3452</v>
      </c>
      <c r="O702" s="636" t="s">
        <v>136</v>
      </c>
      <c r="P702" s="627" t="s">
        <v>552</v>
      </c>
      <c r="Q702" s="611"/>
      <c r="R702" s="611"/>
      <c r="S702" s="611"/>
      <c r="T702" s="611"/>
      <c r="U702" s="611"/>
      <c r="V702" s="611"/>
      <c r="W702" s="611"/>
      <c r="X702" s="611"/>
      <c r="Y702" s="611"/>
      <c r="Z702" s="611"/>
      <c r="AA702" s="611"/>
    </row>
    <row r="703" spans="1:27" ht="12.4" customHeight="1">
      <c r="A703" s="611"/>
      <c r="B703" s="612"/>
      <c r="C703" s="611"/>
      <c r="D703" s="611"/>
      <c r="E703" s="611"/>
      <c r="F703" s="611"/>
      <c r="G703" s="611"/>
      <c r="H703" s="611"/>
      <c r="I703" s="611"/>
      <c r="J703" s="634" t="s">
        <v>2967</v>
      </c>
      <c r="K703" s="635"/>
      <c r="L703" s="626"/>
      <c r="M703" s="627"/>
      <c r="N703" s="636" t="s">
        <v>2124</v>
      </c>
      <c r="O703" s="636" t="s">
        <v>3371</v>
      </c>
      <c r="P703" s="627" t="s">
        <v>553</v>
      </c>
      <c r="Q703" s="611"/>
      <c r="R703" s="611"/>
      <c r="S703" s="611"/>
      <c r="T703" s="611"/>
      <c r="U703" s="611"/>
      <c r="V703" s="611"/>
      <c r="W703" s="611"/>
      <c r="X703" s="611"/>
      <c r="Y703" s="611"/>
      <c r="Z703" s="611"/>
      <c r="AA703" s="611"/>
    </row>
    <row r="704" spans="1:27" ht="12.4" customHeight="1">
      <c r="A704" s="611"/>
      <c r="B704" s="612"/>
      <c r="C704" s="611"/>
      <c r="D704" s="611"/>
      <c r="E704" s="611"/>
      <c r="F704" s="611"/>
      <c r="G704" s="611"/>
      <c r="H704" s="611"/>
      <c r="I704" s="611"/>
      <c r="J704" s="634" t="s">
        <v>986</v>
      </c>
      <c r="K704" s="635"/>
      <c r="L704" s="626"/>
      <c r="M704" s="627"/>
      <c r="N704" s="636" t="s">
        <v>3387</v>
      </c>
      <c r="O704" s="636" t="s">
        <v>2988</v>
      </c>
      <c r="P704" s="627" t="s">
        <v>554</v>
      </c>
      <c r="Q704" s="611"/>
      <c r="R704" s="611"/>
      <c r="S704" s="611"/>
      <c r="T704" s="611"/>
      <c r="U704" s="611"/>
      <c r="V704" s="611"/>
      <c r="W704" s="611"/>
      <c r="X704" s="611"/>
      <c r="Y704" s="611"/>
      <c r="Z704" s="611"/>
      <c r="AA704" s="611"/>
    </row>
    <row r="705" spans="1:27" ht="12.4" customHeight="1">
      <c r="A705" s="611"/>
      <c r="B705" s="612"/>
      <c r="C705" s="611"/>
      <c r="D705" s="611"/>
      <c r="E705" s="611"/>
      <c r="F705" s="611"/>
      <c r="G705" s="611"/>
      <c r="H705" s="611"/>
      <c r="I705" s="611"/>
      <c r="J705" s="634" t="s">
        <v>988</v>
      </c>
      <c r="K705" s="635"/>
      <c r="L705" s="626"/>
      <c r="M705" s="627"/>
      <c r="N705" s="636" t="s">
        <v>3389</v>
      </c>
      <c r="O705" s="636" t="s">
        <v>3276</v>
      </c>
      <c r="P705" s="627" t="s">
        <v>555</v>
      </c>
      <c r="Q705" s="611"/>
      <c r="R705" s="611"/>
      <c r="S705" s="611"/>
      <c r="T705" s="611"/>
      <c r="U705" s="611"/>
      <c r="V705" s="611"/>
      <c r="W705" s="611"/>
      <c r="X705" s="611"/>
      <c r="Y705" s="611"/>
      <c r="Z705" s="611"/>
      <c r="AA705" s="611"/>
    </row>
    <row r="706" spans="1:27" ht="12.4" customHeight="1">
      <c r="A706" s="611"/>
      <c r="B706" s="612"/>
      <c r="C706" s="611"/>
      <c r="D706" s="611"/>
      <c r="E706" s="611"/>
      <c r="F706" s="611"/>
      <c r="G706" s="611"/>
      <c r="H706" s="611"/>
      <c r="I706" s="611"/>
      <c r="J706" s="634" t="s">
        <v>989</v>
      </c>
      <c r="K706" s="635"/>
      <c r="L706" s="626"/>
      <c r="M706" s="627"/>
      <c r="N706" s="636" t="s">
        <v>3391</v>
      </c>
      <c r="O706" s="636" t="s">
        <v>3636</v>
      </c>
      <c r="P706" s="627" t="s">
        <v>556</v>
      </c>
      <c r="Q706" s="611"/>
      <c r="R706" s="611"/>
      <c r="S706" s="611"/>
      <c r="T706" s="611"/>
      <c r="U706" s="611"/>
      <c r="V706" s="611"/>
      <c r="W706" s="611"/>
      <c r="X706" s="611"/>
      <c r="Y706" s="611"/>
      <c r="Z706" s="611"/>
      <c r="AA706" s="611"/>
    </row>
    <row r="707" spans="1:27" ht="12.4" customHeight="1">
      <c r="A707" s="611"/>
      <c r="B707" s="612"/>
      <c r="C707" s="611"/>
      <c r="D707" s="611"/>
      <c r="E707" s="611"/>
      <c r="F707" s="611"/>
      <c r="G707" s="611"/>
      <c r="H707" s="611"/>
      <c r="I707" s="611"/>
      <c r="J707" s="634" t="s">
        <v>3451</v>
      </c>
      <c r="K707" s="635"/>
      <c r="L707" s="626"/>
      <c r="M707" s="627"/>
      <c r="N707" s="636" t="s">
        <v>1748</v>
      </c>
      <c r="O707" s="636" t="s">
        <v>3287</v>
      </c>
      <c r="P707" s="627" t="s">
        <v>557</v>
      </c>
      <c r="Q707" s="611"/>
      <c r="R707" s="611"/>
      <c r="S707" s="611"/>
      <c r="T707" s="611"/>
      <c r="U707" s="611"/>
      <c r="V707" s="611"/>
      <c r="W707" s="611"/>
      <c r="X707" s="611"/>
      <c r="Y707" s="611"/>
      <c r="Z707" s="611"/>
      <c r="AA707" s="611"/>
    </row>
    <row r="708" spans="1:27" ht="12.4" customHeight="1">
      <c r="A708" s="611"/>
      <c r="B708" s="612"/>
      <c r="C708" s="611"/>
      <c r="D708" s="611"/>
      <c r="E708" s="611"/>
      <c r="F708" s="611"/>
      <c r="G708" s="611"/>
      <c r="H708" s="611"/>
      <c r="I708" s="611"/>
      <c r="J708" s="634" t="s">
        <v>81</v>
      </c>
      <c r="K708" s="635"/>
      <c r="L708" s="626"/>
      <c r="M708" s="627"/>
      <c r="N708" s="636" t="s">
        <v>1750</v>
      </c>
      <c r="O708" s="636" t="s">
        <v>1725</v>
      </c>
      <c r="P708" s="627" t="s">
        <v>558</v>
      </c>
      <c r="Q708" s="611"/>
      <c r="R708" s="611"/>
      <c r="S708" s="611"/>
      <c r="T708" s="611"/>
      <c r="U708" s="611"/>
      <c r="V708" s="611"/>
      <c r="W708" s="611"/>
      <c r="X708" s="611"/>
      <c r="Y708" s="611"/>
      <c r="Z708" s="611"/>
      <c r="AA708" s="611"/>
    </row>
    <row r="709" spans="1:27" ht="12.4" customHeight="1">
      <c r="A709" s="611"/>
      <c r="B709" s="612"/>
      <c r="C709" s="611"/>
      <c r="D709" s="611"/>
      <c r="E709" s="611"/>
      <c r="F709" s="611"/>
      <c r="G709" s="611"/>
      <c r="H709" s="611"/>
      <c r="I709" s="611"/>
      <c r="J709" s="634" t="s">
        <v>2125</v>
      </c>
      <c r="K709" s="635"/>
      <c r="L709" s="626"/>
      <c r="M709" s="627"/>
      <c r="N709" s="636" t="s">
        <v>3140</v>
      </c>
      <c r="O709" s="636" t="s">
        <v>410</v>
      </c>
      <c r="P709" s="627" t="s">
        <v>559</v>
      </c>
      <c r="Q709" s="611"/>
      <c r="R709" s="611"/>
      <c r="S709" s="611"/>
      <c r="T709" s="611"/>
      <c r="U709" s="611"/>
      <c r="V709" s="611"/>
      <c r="W709" s="611"/>
      <c r="X709" s="611"/>
      <c r="Y709" s="611"/>
      <c r="Z709" s="611"/>
      <c r="AA709" s="611"/>
    </row>
    <row r="710" spans="1:27" ht="12.4" customHeight="1">
      <c r="A710" s="611"/>
      <c r="B710" s="612"/>
      <c r="C710" s="611"/>
      <c r="D710" s="611"/>
      <c r="E710" s="611"/>
      <c r="F710" s="611"/>
      <c r="G710" s="611"/>
      <c r="H710" s="611"/>
      <c r="I710" s="611"/>
      <c r="J710" s="634" t="s">
        <v>3388</v>
      </c>
      <c r="K710" s="635"/>
      <c r="L710" s="626"/>
      <c r="M710" s="627"/>
      <c r="N710" s="636" t="s">
        <v>3046</v>
      </c>
      <c r="O710" s="636" t="s">
        <v>137</v>
      </c>
      <c r="P710" s="627" t="s">
        <v>560</v>
      </c>
      <c r="Q710" s="611"/>
      <c r="R710" s="611"/>
      <c r="S710" s="611"/>
      <c r="T710" s="611"/>
      <c r="U710" s="611"/>
      <c r="V710" s="611"/>
      <c r="W710" s="611"/>
      <c r="X710" s="611"/>
      <c r="Y710" s="611"/>
      <c r="Z710" s="611"/>
      <c r="AA710" s="611"/>
    </row>
    <row r="711" spans="1:27" ht="12.4" customHeight="1">
      <c r="A711" s="611"/>
      <c r="B711" s="612"/>
      <c r="C711" s="611"/>
      <c r="D711" s="611"/>
      <c r="E711" s="611"/>
      <c r="F711" s="611"/>
      <c r="G711" s="611"/>
      <c r="H711" s="611"/>
      <c r="I711" s="611"/>
      <c r="J711" s="634" t="s">
        <v>3390</v>
      </c>
      <c r="K711" s="635"/>
      <c r="L711" s="626"/>
      <c r="M711" s="627"/>
      <c r="N711" s="636" t="s">
        <v>3048</v>
      </c>
      <c r="O711" s="636" t="s">
        <v>419</v>
      </c>
      <c r="P711" s="627" t="s">
        <v>561</v>
      </c>
      <c r="Q711" s="1581"/>
      <c r="R711" s="611"/>
      <c r="S711" s="611"/>
      <c r="T711" s="611"/>
      <c r="U711" s="611"/>
      <c r="V711" s="611"/>
      <c r="W711" s="611"/>
      <c r="X711" s="611"/>
      <c r="Y711" s="611"/>
      <c r="Z711" s="611"/>
      <c r="AA711" s="611"/>
    </row>
    <row r="712" spans="1:27" ht="12.4" customHeight="1">
      <c r="A712" s="611"/>
      <c r="B712" s="612"/>
      <c r="C712" s="611"/>
      <c r="D712" s="611"/>
      <c r="E712" s="611"/>
      <c r="F712" s="611"/>
      <c r="G712" s="611"/>
      <c r="H712" s="611"/>
      <c r="I712" s="611"/>
      <c r="J712" s="634" t="s">
        <v>2839</v>
      </c>
      <c r="K712" s="635"/>
      <c r="L712" s="626"/>
      <c r="M712" s="627"/>
      <c r="N712" s="636" t="s">
        <v>3050</v>
      </c>
      <c r="O712" s="636" t="s">
        <v>241</v>
      </c>
      <c r="P712" s="627" t="s">
        <v>562</v>
      </c>
      <c r="Q712" s="611"/>
      <c r="R712" s="611"/>
      <c r="S712" s="611"/>
      <c r="T712" s="611"/>
      <c r="U712" s="611"/>
      <c r="V712" s="611"/>
      <c r="W712" s="611"/>
      <c r="X712" s="611"/>
      <c r="Y712" s="611"/>
      <c r="Z712" s="611"/>
      <c r="AA712" s="611"/>
    </row>
    <row r="713" spans="1:27" ht="12.4" customHeight="1">
      <c r="A713" s="611"/>
      <c r="B713" s="612"/>
      <c r="C713" s="611"/>
      <c r="D713" s="611"/>
      <c r="E713" s="611"/>
      <c r="F713" s="611"/>
      <c r="G713" s="611"/>
      <c r="H713" s="611"/>
      <c r="I713" s="611"/>
      <c r="J713" s="634" t="s">
        <v>1749</v>
      </c>
      <c r="K713" s="635"/>
      <c r="L713" s="626"/>
      <c r="M713" s="627"/>
      <c r="N713" s="636" t="s">
        <v>669</v>
      </c>
      <c r="O713" s="636" t="s">
        <v>2016</v>
      </c>
      <c r="P713" s="627" t="s">
        <v>563</v>
      </c>
      <c r="Q713" s="611"/>
      <c r="R713" s="611"/>
      <c r="S713" s="611"/>
      <c r="T713" s="611"/>
      <c r="U713" s="611"/>
      <c r="V713" s="611"/>
      <c r="W713" s="611"/>
      <c r="X713" s="611"/>
      <c r="Y713" s="611"/>
      <c r="Z713" s="611"/>
      <c r="AA713" s="611"/>
    </row>
    <row r="714" spans="1:27" ht="12.4" customHeight="1">
      <c r="A714" s="611"/>
      <c r="B714" s="612"/>
      <c r="C714" s="611"/>
      <c r="D714" s="611"/>
      <c r="E714" s="611"/>
      <c r="F714" s="611"/>
      <c r="G714" s="611"/>
      <c r="H714" s="611"/>
      <c r="I714" s="611"/>
      <c r="J714" s="634" t="s">
        <v>3139</v>
      </c>
      <c r="K714" s="635"/>
      <c r="L714" s="626"/>
      <c r="M714" s="627"/>
      <c r="N714" s="636" t="s">
        <v>3194</v>
      </c>
      <c r="O714" s="636" t="s">
        <v>1223</v>
      </c>
      <c r="P714" s="627" t="s">
        <v>564</v>
      </c>
      <c r="Q714" s="611"/>
      <c r="R714" s="611"/>
      <c r="S714" s="611"/>
      <c r="T714" s="611"/>
      <c r="U714" s="611"/>
      <c r="V714" s="611"/>
      <c r="W714" s="611"/>
      <c r="X714" s="611"/>
      <c r="Y714" s="611"/>
      <c r="Z714" s="611"/>
      <c r="AA714" s="611"/>
    </row>
    <row r="715" spans="1:27" ht="12.4" customHeight="1">
      <c r="A715" s="611"/>
      <c r="B715" s="612"/>
      <c r="C715" s="611"/>
      <c r="D715" s="611"/>
      <c r="E715" s="611"/>
      <c r="F715" s="611"/>
      <c r="G715" s="611"/>
      <c r="H715" s="611"/>
      <c r="I715" s="611"/>
      <c r="J715" s="634" t="s">
        <v>3045</v>
      </c>
      <c r="K715" s="635"/>
      <c r="L715" s="626"/>
      <c r="M715" s="627"/>
      <c r="N715" s="636" t="s">
        <v>3222</v>
      </c>
      <c r="O715" s="636" t="s">
        <v>120</v>
      </c>
      <c r="P715" s="627" t="s">
        <v>1640</v>
      </c>
      <c r="Q715" s="611"/>
      <c r="R715" s="611"/>
      <c r="S715" s="611"/>
      <c r="T715" s="611"/>
      <c r="U715" s="611"/>
      <c r="V715" s="611"/>
      <c r="W715" s="611"/>
      <c r="X715" s="611"/>
      <c r="Y715" s="611"/>
      <c r="Z715" s="611"/>
      <c r="AA715" s="611"/>
    </row>
    <row r="716" spans="1:27" ht="12.4" customHeight="1">
      <c r="A716" s="611"/>
      <c r="B716" s="612"/>
      <c r="C716" s="611"/>
      <c r="D716" s="611"/>
      <c r="E716" s="611"/>
      <c r="F716" s="611"/>
      <c r="G716" s="611"/>
      <c r="H716" s="611"/>
      <c r="I716" s="611"/>
      <c r="J716" s="634" t="s">
        <v>3047</v>
      </c>
      <c r="K716" s="635"/>
      <c r="L716" s="626"/>
      <c r="M716" s="627"/>
      <c r="N716" s="636" t="s">
        <v>1422</v>
      </c>
      <c r="O716" s="636" t="s">
        <v>3085</v>
      </c>
      <c r="P716" s="1579" t="s">
        <v>1413</v>
      </c>
      <c r="Q716" s="611"/>
      <c r="R716" s="611"/>
      <c r="S716" s="611"/>
      <c r="T716" s="611"/>
      <c r="U716" s="611"/>
      <c r="V716" s="611"/>
      <c r="W716" s="611"/>
      <c r="X716" s="611"/>
      <c r="Y716" s="611"/>
      <c r="Z716" s="611"/>
      <c r="AA716" s="611"/>
    </row>
    <row r="717" spans="1:27" ht="12.4" customHeight="1">
      <c r="A717" s="611"/>
      <c r="B717" s="612"/>
      <c r="C717" s="611"/>
      <c r="D717" s="611"/>
      <c r="E717" s="611"/>
      <c r="F717" s="611"/>
      <c r="G717" s="611"/>
      <c r="H717" s="611"/>
      <c r="I717" s="611"/>
      <c r="J717" s="634" t="s">
        <v>3049</v>
      </c>
      <c r="K717" s="635"/>
      <c r="L717" s="626"/>
      <c r="M717" s="627"/>
      <c r="N717" s="636" t="s">
        <v>3223</v>
      </c>
      <c r="O717" s="636" t="s">
        <v>3085</v>
      </c>
      <c r="P717" s="627" t="s">
        <v>565</v>
      </c>
      <c r="Q717" s="611"/>
      <c r="R717" s="611"/>
      <c r="S717" s="611"/>
      <c r="T717" s="611"/>
      <c r="U717" s="611"/>
      <c r="V717" s="611"/>
      <c r="W717" s="611"/>
      <c r="X717" s="611"/>
      <c r="Y717" s="611"/>
      <c r="Z717" s="611"/>
      <c r="AA717" s="611"/>
    </row>
    <row r="718" spans="1:27" ht="12.4" customHeight="1">
      <c r="A718" s="611"/>
      <c r="B718" s="612"/>
      <c r="C718" s="611"/>
      <c r="D718" s="611"/>
      <c r="E718" s="611"/>
      <c r="F718" s="611"/>
      <c r="G718" s="611"/>
      <c r="H718" s="611"/>
      <c r="I718" s="611"/>
      <c r="J718" s="634" t="s">
        <v>731</v>
      </c>
      <c r="K718" s="635"/>
      <c r="L718" s="626"/>
      <c r="M718" s="627"/>
      <c r="N718" s="636" t="s">
        <v>3224</v>
      </c>
      <c r="O718" s="636" t="s">
        <v>2663</v>
      </c>
      <c r="P718" s="627" t="s">
        <v>566</v>
      </c>
      <c r="Q718" s="611"/>
      <c r="R718" s="611"/>
      <c r="S718" s="611"/>
      <c r="T718" s="611"/>
      <c r="U718" s="611"/>
      <c r="V718" s="611"/>
      <c r="W718" s="611"/>
      <c r="X718" s="611"/>
      <c r="Y718" s="611"/>
      <c r="Z718" s="611"/>
      <c r="AA718" s="611"/>
    </row>
    <row r="719" spans="1:27" ht="12.4" customHeight="1">
      <c r="A719" s="611"/>
      <c r="B719" s="612"/>
      <c r="C719" s="611"/>
      <c r="D719" s="611"/>
      <c r="E719" s="611"/>
      <c r="F719" s="611"/>
      <c r="G719" s="611"/>
      <c r="H719" s="611"/>
      <c r="I719" s="611"/>
      <c r="J719" s="634" t="s">
        <v>668</v>
      </c>
      <c r="K719" s="635"/>
      <c r="L719" s="626"/>
      <c r="M719" s="627"/>
      <c r="N719" s="636" t="s">
        <v>3479</v>
      </c>
      <c r="O719" s="636" t="s">
        <v>2938</v>
      </c>
      <c r="P719" s="627" t="s">
        <v>567</v>
      </c>
      <c r="Q719" s="611"/>
      <c r="R719" s="611"/>
      <c r="S719" s="611"/>
      <c r="T719" s="611"/>
      <c r="U719" s="611"/>
      <c r="V719" s="611"/>
      <c r="W719" s="611"/>
      <c r="X719" s="611"/>
      <c r="Y719" s="611"/>
      <c r="Z719" s="611"/>
      <c r="AA719" s="611"/>
    </row>
    <row r="720" spans="1:27" ht="12.4" customHeight="1">
      <c r="A720" s="611"/>
      <c r="B720" s="612"/>
      <c r="C720" s="611"/>
      <c r="D720" s="611"/>
      <c r="E720" s="611"/>
      <c r="F720" s="611"/>
      <c r="G720" s="611"/>
      <c r="H720" s="611"/>
      <c r="I720" s="611"/>
      <c r="J720" s="634" t="s">
        <v>3193</v>
      </c>
      <c r="K720" s="635"/>
      <c r="L720" s="626"/>
      <c r="M720" s="627"/>
      <c r="N720" s="636" t="s">
        <v>3480</v>
      </c>
      <c r="O720" s="636" t="s">
        <v>215</v>
      </c>
      <c r="P720" s="627" t="s">
        <v>568</v>
      </c>
      <c r="Q720" s="611"/>
      <c r="R720" s="611"/>
      <c r="S720" s="611"/>
      <c r="T720" s="611"/>
      <c r="U720" s="611"/>
      <c r="V720" s="611"/>
      <c r="W720" s="611"/>
      <c r="X720" s="611"/>
      <c r="Y720" s="611"/>
      <c r="Z720" s="611"/>
      <c r="AA720" s="611"/>
    </row>
    <row r="721" spans="1:27" ht="12.4" customHeight="1">
      <c r="A721" s="611"/>
      <c r="B721" s="612"/>
      <c r="C721" s="611"/>
      <c r="D721" s="611"/>
      <c r="E721" s="611"/>
      <c r="F721" s="611"/>
      <c r="G721" s="611"/>
      <c r="H721" s="611"/>
      <c r="I721" s="611"/>
      <c r="J721" s="634" t="s">
        <v>3221</v>
      </c>
      <c r="K721" s="635"/>
      <c r="L721" s="626"/>
      <c r="M721" s="627"/>
      <c r="N721" s="636" t="s">
        <v>3481</v>
      </c>
      <c r="O721" s="636" t="s">
        <v>2665</v>
      </c>
      <c r="P721" s="627" t="s">
        <v>569</v>
      </c>
      <c r="Q721" s="611"/>
      <c r="R721" s="611"/>
      <c r="S721" s="611"/>
      <c r="T721" s="611"/>
      <c r="U721" s="611"/>
      <c r="V721" s="611"/>
      <c r="W721" s="611"/>
      <c r="X721" s="611"/>
      <c r="Y721" s="611"/>
      <c r="Z721" s="611"/>
      <c r="AA721" s="611"/>
    </row>
    <row r="722" spans="1:27" ht="12.4" customHeight="1">
      <c r="A722" s="611"/>
      <c r="B722" s="612"/>
      <c r="C722" s="611"/>
      <c r="D722" s="611"/>
      <c r="E722" s="611"/>
      <c r="F722" s="611"/>
      <c r="G722" s="611"/>
      <c r="H722" s="611"/>
      <c r="I722" s="611"/>
      <c r="J722" s="786"/>
      <c r="K722" s="787"/>
      <c r="L722" s="787"/>
      <c r="M722" s="788"/>
      <c r="N722" s="636" t="s">
        <v>3482</v>
      </c>
      <c r="O722" s="636" t="s">
        <v>1737</v>
      </c>
      <c r="P722" s="627" t="s">
        <v>570</v>
      </c>
      <c r="Q722" s="611"/>
      <c r="R722" s="611"/>
      <c r="S722" s="611"/>
      <c r="T722" s="611"/>
      <c r="U722" s="611"/>
      <c r="V722" s="611"/>
      <c r="W722" s="611"/>
      <c r="X722" s="611"/>
      <c r="Y722" s="611"/>
      <c r="Z722" s="611"/>
      <c r="AA722" s="611"/>
    </row>
    <row r="723" spans="1:27" ht="12.4" customHeight="1">
      <c r="A723" s="611"/>
      <c r="B723" s="612"/>
      <c r="C723" s="611"/>
      <c r="D723" s="611"/>
      <c r="E723" s="611"/>
      <c r="F723" s="611"/>
      <c r="G723" s="611"/>
      <c r="H723" s="611"/>
      <c r="I723" s="611"/>
      <c r="J723" s="613"/>
      <c r="K723" s="614"/>
      <c r="L723" s="615"/>
      <c r="M723" s="611"/>
      <c r="N723" s="636" t="s">
        <v>3483</v>
      </c>
      <c r="O723" s="636" t="s">
        <v>3632</v>
      </c>
      <c r="P723" s="627" t="s">
        <v>571</v>
      </c>
      <c r="Q723" s="611"/>
      <c r="R723" s="611"/>
      <c r="S723" s="611"/>
      <c r="T723" s="611"/>
      <c r="U723" s="611"/>
      <c r="V723" s="611"/>
      <c r="W723" s="611"/>
      <c r="X723" s="611"/>
      <c r="Y723" s="611"/>
      <c r="Z723" s="611"/>
      <c r="AA723" s="611"/>
    </row>
    <row r="724" spans="1:27" ht="12.4" customHeight="1">
      <c r="A724" s="611"/>
      <c r="B724" s="612"/>
      <c r="C724" s="611"/>
      <c r="D724" s="611"/>
      <c r="E724" s="611"/>
      <c r="F724" s="611"/>
      <c r="G724" s="611"/>
      <c r="H724" s="611"/>
      <c r="I724" s="611"/>
      <c r="J724" s="611"/>
      <c r="K724" s="611"/>
      <c r="L724" s="611"/>
      <c r="M724" s="611"/>
      <c r="N724" s="636" t="s">
        <v>3392</v>
      </c>
      <c r="O724" s="636" t="s">
        <v>3281</v>
      </c>
      <c r="P724" s="627" t="s">
        <v>572</v>
      </c>
      <c r="Q724" s="611"/>
      <c r="R724" s="611"/>
      <c r="S724" s="611"/>
      <c r="T724" s="611"/>
      <c r="U724" s="611"/>
      <c r="V724" s="611"/>
      <c r="W724" s="611"/>
      <c r="X724" s="611"/>
      <c r="Y724" s="611"/>
      <c r="Z724" s="611"/>
      <c r="AA724" s="611"/>
    </row>
    <row r="725" spans="1:27" ht="12.4" customHeight="1">
      <c r="A725" s="611"/>
      <c r="B725" s="612"/>
      <c r="C725" s="611"/>
      <c r="D725" s="611"/>
      <c r="E725" s="611"/>
      <c r="F725" s="613"/>
      <c r="G725" s="614"/>
      <c r="H725" s="615"/>
      <c r="I725" s="611"/>
      <c r="J725" s="611"/>
      <c r="K725" s="611"/>
      <c r="L725" s="611"/>
      <c r="M725" s="611"/>
      <c r="N725" s="636" t="s">
        <v>2531</v>
      </c>
      <c r="O725" s="636" t="s">
        <v>3634</v>
      </c>
      <c r="P725" s="627" t="s">
        <v>573</v>
      </c>
      <c r="Q725" s="611"/>
      <c r="R725" s="611"/>
      <c r="S725" s="611"/>
      <c r="T725" s="611"/>
      <c r="U725" s="611"/>
      <c r="V725" s="611"/>
      <c r="W725" s="611"/>
      <c r="X725" s="611"/>
      <c r="Y725" s="611"/>
      <c r="Z725" s="611"/>
      <c r="AA725" s="611"/>
    </row>
    <row r="726" spans="1:27" ht="12.4" customHeight="1">
      <c r="A726" s="611"/>
      <c r="B726" s="612"/>
      <c r="C726" s="611"/>
      <c r="D726" s="611"/>
      <c r="E726" s="611"/>
      <c r="F726" s="613"/>
      <c r="G726" s="614"/>
      <c r="H726" s="615"/>
      <c r="I726" s="611"/>
      <c r="J726" s="611"/>
      <c r="K726" s="611"/>
      <c r="L726" s="611"/>
      <c r="M726" s="611"/>
      <c r="N726" s="636" t="s">
        <v>2532</v>
      </c>
      <c r="O726" s="636" t="s">
        <v>252</v>
      </c>
      <c r="P726" s="627" t="s">
        <v>574</v>
      </c>
      <c r="Q726" s="611"/>
      <c r="R726" s="611"/>
      <c r="S726" s="611"/>
      <c r="T726" s="611"/>
      <c r="U726" s="611"/>
      <c r="V726" s="611"/>
      <c r="W726" s="611"/>
      <c r="X726" s="611"/>
      <c r="Y726" s="611"/>
      <c r="Z726" s="611"/>
      <c r="AA726" s="611"/>
    </row>
    <row r="727" spans="1:27" ht="12.4" customHeight="1">
      <c r="A727" s="611"/>
      <c r="B727" s="612"/>
      <c r="C727" s="611"/>
      <c r="D727" s="611"/>
      <c r="E727" s="611"/>
      <c r="F727" s="613"/>
      <c r="G727" s="614"/>
      <c r="H727" s="615"/>
      <c r="I727" s="611"/>
      <c r="J727" s="611"/>
      <c r="K727" s="611"/>
      <c r="L727" s="611"/>
      <c r="M727" s="611"/>
      <c r="N727" s="636" t="s">
        <v>2704</v>
      </c>
      <c r="O727" s="636" t="s">
        <v>218</v>
      </c>
      <c r="P727" s="627" t="s">
        <v>575</v>
      </c>
      <c r="Q727" s="611"/>
      <c r="R727" s="611"/>
      <c r="S727" s="611"/>
      <c r="T727" s="611"/>
      <c r="U727" s="611"/>
      <c r="V727" s="611"/>
      <c r="W727" s="611"/>
      <c r="X727" s="611"/>
      <c r="Y727" s="611"/>
      <c r="Z727" s="611"/>
      <c r="AA727" s="611"/>
    </row>
    <row r="728" spans="1:27" ht="12.4" customHeight="1">
      <c r="A728" s="611"/>
      <c r="B728" s="612"/>
      <c r="C728" s="611"/>
      <c r="D728" s="611"/>
      <c r="E728" s="611"/>
      <c r="F728" s="613"/>
      <c r="G728" s="614"/>
      <c r="H728" s="615"/>
      <c r="I728" s="611"/>
      <c r="J728" s="611"/>
      <c r="K728" s="611"/>
      <c r="L728" s="611"/>
      <c r="M728" s="611"/>
      <c r="N728" s="507" t="s">
        <v>1705</v>
      </c>
      <c r="O728" s="507" t="s">
        <v>965</v>
      </c>
      <c r="P728" s="1580" t="s">
        <v>3242</v>
      </c>
      <c r="Q728" s="611"/>
      <c r="R728" s="611"/>
      <c r="S728" s="611"/>
      <c r="T728" s="611"/>
      <c r="U728" s="611"/>
      <c r="V728" s="611"/>
      <c r="W728" s="611"/>
      <c r="X728" s="611"/>
      <c r="Y728" s="611"/>
      <c r="Z728" s="611"/>
      <c r="AA728" s="611"/>
    </row>
    <row r="729" spans="1:27" ht="12.4" customHeight="1">
      <c r="A729" s="611"/>
      <c r="B729" s="612"/>
      <c r="C729" s="611"/>
      <c r="D729" s="611"/>
      <c r="E729" s="611"/>
      <c r="F729" s="613"/>
      <c r="G729" s="614"/>
      <c r="H729" s="615"/>
      <c r="I729" s="611"/>
      <c r="J729" s="611"/>
      <c r="K729" s="611"/>
      <c r="L729" s="611"/>
      <c r="M729" s="611"/>
      <c r="N729" s="636" t="s">
        <v>1401</v>
      </c>
      <c r="O729" s="636" t="s">
        <v>3026</v>
      </c>
      <c r="P729" s="627" t="s">
        <v>576</v>
      </c>
      <c r="Q729" s="611"/>
      <c r="R729" s="611"/>
      <c r="S729" s="611"/>
      <c r="T729" s="611"/>
      <c r="U729" s="611"/>
      <c r="V729" s="611"/>
      <c r="W729" s="611"/>
      <c r="X729" s="611"/>
      <c r="Y729" s="611"/>
      <c r="Z729" s="611"/>
      <c r="AA729" s="611"/>
    </row>
    <row r="730" spans="1:27" ht="12.4" customHeight="1">
      <c r="A730" s="611"/>
      <c r="B730" s="612"/>
      <c r="C730" s="611"/>
      <c r="D730" s="611"/>
      <c r="E730" s="611"/>
      <c r="F730" s="613"/>
      <c r="G730" s="614"/>
      <c r="H730" s="615"/>
      <c r="I730" s="611"/>
      <c r="J730" s="611"/>
      <c r="K730" s="611"/>
      <c r="L730" s="611"/>
      <c r="M730" s="611"/>
      <c r="N730" s="636" t="s">
        <v>2705</v>
      </c>
      <c r="O730" s="636" t="s">
        <v>3819</v>
      </c>
      <c r="P730" s="627" t="s">
        <v>577</v>
      </c>
      <c r="Q730" s="611"/>
      <c r="R730" s="611"/>
      <c r="S730" s="611"/>
      <c r="T730" s="611"/>
      <c r="U730" s="611"/>
      <c r="V730" s="611"/>
      <c r="W730" s="611"/>
      <c r="X730" s="611"/>
      <c r="Y730" s="611"/>
      <c r="Z730" s="611"/>
      <c r="AA730" s="611"/>
    </row>
    <row r="731" spans="1:27" ht="12.4" customHeight="1">
      <c r="A731" s="611"/>
      <c r="B731" s="612"/>
      <c r="C731" s="611"/>
      <c r="D731" s="611"/>
      <c r="E731" s="611"/>
      <c r="F731" s="613"/>
      <c r="G731" s="614"/>
      <c r="H731" s="615"/>
      <c r="I731" s="611"/>
      <c r="J731" s="611"/>
      <c r="K731" s="611"/>
      <c r="L731" s="611"/>
      <c r="M731" s="611"/>
      <c r="N731" s="636" t="s">
        <v>2706</v>
      </c>
      <c r="O731" s="636" t="s">
        <v>3371</v>
      </c>
      <c r="P731" s="627" t="s">
        <v>2706</v>
      </c>
      <c r="Q731" s="611"/>
      <c r="R731" s="611"/>
      <c r="S731" s="611"/>
      <c r="T731" s="611"/>
      <c r="U731" s="611"/>
      <c r="V731" s="611"/>
      <c r="W731" s="611"/>
      <c r="X731" s="611"/>
      <c r="Y731" s="611"/>
      <c r="Z731" s="611"/>
      <c r="AA731" s="611"/>
    </row>
    <row r="732" spans="1:27" ht="12.4" customHeight="1">
      <c r="A732" s="611"/>
      <c r="B732" s="612"/>
      <c r="C732" s="611"/>
      <c r="D732" s="611"/>
      <c r="E732" s="611"/>
      <c r="F732" s="613"/>
      <c r="G732" s="614"/>
      <c r="H732" s="615"/>
      <c r="I732" s="611"/>
      <c r="J732" s="611"/>
      <c r="K732" s="611"/>
      <c r="L732" s="611"/>
      <c r="M732" s="611"/>
      <c r="N732" s="636" t="s">
        <v>2707</v>
      </c>
      <c r="O732" s="636" t="s">
        <v>2665</v>
      </c>
      <c r="P732" s="627" t="s">
        <v>578</v>
      </c>
      <c r="Q732" s="611"/>
      <c r="R732" s="611"/>
      <c r="S732" s="611"/>
      <c r="T732" s="611"/>
      <c r="U732" s="611"/>
      <c r="V732" s="611"/>
      <c r="W732" s="611"/>
      <c r="X732" s="611"/>
      <c r="Y732" s="611"/>
      <c r="Z732" s="611"/>
      <c r="AA732" s="611"/>
    </row>
    <row r="733" spans="1:27" ht="12.4" customHeight="1">
      <c r="A733" s="611"/>
      <c r="B733" s="612"/>
      <c r="C733" s="611"/>
      <c r="D733" s="611"/>
      <c r="E733" s="611"/>
      <c r="F733" s="613"/>
      <c r="G733" s="614"/>
      <c r="H733" s="615"/>
      <c r="I733" s="611"/>
      <c r="J733" s="611"/>
      <c r="K733" s="611"/>
      <c r="L733" s="611"/>
      <c r="M733" s="611"/>
      <c r="N733" s="636" t="s">
        <v>2708</v>
      </c>
      <c r="O733" s="636" t="s">
        <v>215</v>
      </c>
      <c r="P733" s="627" t="s">
        <v>579</v>
      </c>
      <c r="Q733" s="611"/>
      <c r="R733" s="611"/>
      <c r="S733" s="611"/>
      <c r="T733" s="611"/>
      <c r="U733" s="611"/>
      <c r="V733" s="611"/>
      <c r="W733" s="611"/>
      <c r="X733" s="611"/>
      <c r="Y733" s="611"/>
      <c r="Z733" s="611"/>
      <c r="AA733" s="611"/>
    </row>
    <row r="734" spans="1:27" ht="12.4" customHeight="1">
      <c r="A734" s="611"/>
      <c r="B734" s="612"/>
      <c r="C734" s="611"/>
      <c r="D734" s="611"/>
      <c r="E734" s="611"/>
      <c r="F734" s="613"/>
      <c r="G734" s="614"/>
      <c r="H734" s="615"/>
      <c r="I734" s="611"/>
      <c r="J734" s="611"/>
      <c r="K734" s="611"/>
      <c r="L734" s="611"/>
      <c r="M734" s="611"/>
      <c r="N734" s="636" t="s">
        <v>2709</v>
      </c>
      <c r="O734" s="636" t="s">
        <v>1002</v>
      </c>
      <c r="P734" s="627" t="s">
        <v>580</v>
      </c>
      <c r="Q734" s="611"/>
      <c r="R734" s="611"/>
      <c r="S734" s="611"/>
      <c r="T734" s="611"/>
      <c r="U734" s="611"/>
      <c r="V734" s="611"/>
      <c r="W734" s="611"/>
      <c r="X734" s="611"/>
      <c r="Y734" s="611"/>
      <c r="Z734" s="611"/>
      <c r="AA734" s="611"/>
    </row>
    <row r="735" spans="1:27" ht="12.4" customHeight="1">
      <c r="A735" s="611"/>
      <c r="B735" s="612"/>
      <c r="C735" s="611"/>
      <c r="D735" s="611"/>
      <c r="E735" s="611"/>
      <c r="F735" s="613"/>
      <c r="G735" s="614"/>
      <c r="H735" s="615"/>
      <c r="I735" s="611"/>
      <c r="J735" s="611"/>
      <c r="K735" s="611"/>
      <c r="L735" s="611"/>
      <c r="M735" s="611"/>
      <c r="N735" s="636" t="s">
        <v>2710</v>
      </c>
      <c r="O735" s="636" t="s">
        <v>1550</v>
      </c>
      <c r="P735" s="627" t="s">
        <v>581</v>
      </c>
      <c r="Q735" s="611"/>
      <c r="R735" s="611"/>
      <c r="S735" s="611"/>
      <c r="T735" s="611"/>
      <c r="U735" s="611"/>
      <c r="V735" s="611"/>
      <c r="W735" s="611"/>
      <c r="X735" s="611"/>
      <c r="Y735" s="611"/>
      <c r="Z735" s="611"/>
      <c r="AA735" s="611"/>
    </row>
    <row r="736" spans="1:27" ht="12.4" customHeight="1">
      <c r="A736" s="611"/>
      <c r="B736" s="612"/>
      <c r="C736" s="611"/>
      <c r="D736" s="611"/>
      <c r="E736" s="611"/>
      <c r="F736" s="613"/>
      <c r="G736" s="614"/>
      <c r="H736" s="615"/>
      <c r="I736" s="611"/>
      <c r="J736" s="611"/>
      <c r="K736" s="611"/>
      <c r="L736" s="611"/>
      <c r="M736" s="611"/>
      <c r="N736" s="636" t="s">
        <v>2711</v>
      </c>
      <c r="O736" s="636" t="s">
        <v>1868</v>
      </c>
      <c r="P736" s="627" t="s">
        <v>2711</v>
      </c>
      <c r="Q736" s="611"/>
      <c r="R736" s="611"/>
      <c r="S736" s="611"/>
      <c r="T736" s="611"/>
      <c r="U736" s="611"/>
      <c r="V736" s="611"/>
      <c r="W736" s="611"/>
      <c r="X736" s="611"/>
      <c r="Y736" s="611"/>
      <c r="Z736" s="611"/>
      <c r="AA736" s="611"/>
    </row>
    <row r="737" spans="1:27" ht="12.4" customHeight="1">
      <c r="A737" s="611"/>
      <c r="B737" s="612"/>
      <c r="C737" s="611"/>
      <c r="D737" s="611"/>
      <c r="E737" s="611"/>
      <c r="F737" s="613"/>
      <c r="G737" s="614"/>
      <c r="H737" s="615"/>
      <c r="I737" s="611"/>
      <c r="J737" s="611"/>
      <c r="K737" s="611"/>
      <c r="L737" s="611"/>
      <c r="M737" s="611"/>
      <c r="N737" s="636" t="s">
        <v>2712</v>
      </c>
      <c r="O737" s="636" t="s">
        <v>1016</v>
      </c>
      <c r="P737" s="627" t="s">
        <v>582</v>
      </c>
      <c r="Q737" s="611"/>
      <c r="R737" s="611"/>
      <c r="S737" s="611"/>
      <c r="T737" s="611"/>
      <c r="U737" s="611"/>
      <c r="V737" s="611"/>
      <c r="W737" s="611"/>
      <c r="X737" s="611"/>
      <c r="Y737" s="611"/>
      <c r="Z737" s="611"/>
      <c r="AA737" s="611"/>
    </row>
    <row r="738" spans="1:27" ht="12.4" customHeight="1">
      <c r="A738" s="611"/>
      <c r="B738" s="612"/>
      <c r="C738" s="611"/>
      <c r="D738" s="611"/>
      <c r="E738" s="611"/>
      <c r="F738" s="613"/>
      <c r="G738" s="614"/>
      <c r="H738" s="615"/>
      <c r="I738" s="611"/>
      <c r="J738" s="611"/>
      <c r="K738" s="611"/>
      <c r="L738" s="611"/>
      <c r="M738" s="611"/>
      <c r="N738" s="507" t="s">
        <v>1706</v>
      </c>
      <c r="O738" s="507" t="s">
        <v>2665</v>
      </c>
      <c r="P738" s="1580" t="s">
        <v>3242</v>
      </c>
      <c r="Q738" s="611"/>
      <c r="R738" s="611"/>
      <c r="S738" s="611"/>
      <c r="T738" s="611"/>
      <c r="U738" s="611"/>
      <c r="V738" s="611"/>
      <c r="W738" s="611"/>
      <c r="X738" s="611"/>
      <c r="Y738" s="611"/>
      <c r="Z738" s="611"/>
      <c r="AA738" s="611"/>
    </row>
    <row r="739" spans="1:27" ht="12.4" customHeight="1">
      <c r="A739" s="611"/>
      <c r="B739" s="612"/>
      <c r="C739" s="611"/>
      <c r="D739" s="611"/>
      <c r="E739" s="611"/>
      <c r="F739" s="613"/>
      <c r="G739" s="614"/>
      <c r="H739" s="615"/>
      <c r="I739" s="611"/>
      <c r="J739" s="611"/>
      <c r="K739" s="611"/>
      <c r="L739" s="611"/>
      <c r="M739" s="611"/>
      <c r="N739" s="636" t="s">
        <v>2713</v>
      </c>
      <c r="O739" s="636" t="s">
        <v>241</v>
      </c>
      <c r="P739" s="627" t="s">
        <v>583</v>
      </c>
      <c r="Q739" s="611"/>
      <c r="R739" s="611"/>
      <c r="S739" s="611"/>
      <c r="T739" s="611"/>
      <c r="U739" s="611"/>
      <c r="V739" s="611"/>
      <c r="W739" s="611"/>
      <c r="X739" s="611"/>
      <c r="Y739" s="611"/>
      <c r="Z739" s="611"/>
      <c r="AA739" s="611"/>
    </row>
    <row r="740" spans="1:27" ht="12.4" customHeight="1">
      <c r="A740" s="611"/>
      <c r="B740" s="612"/>
      <c r="C740" s="611"/>
      <c r="D740" s="611"/>
      <c r="E740" s="611"/>
      <c r="F740" s="613"/>
      <c r="G740" s="614"/>
      <c r="H740" s="615"/>
      <c r="I740" s="611"/>
      <c r="J740" s="611"/>
      <c r="K740" s="611"/>
      <c r="L740" s="611"/>
      <c r="M740" s="611"/>
      <c r="N740" s="636" t="s">
        <v>2714</v>
      </c>
      <c r="O740" s="636" t="s">
        <v>232</v>
      </c>
      <c r="P740" s="627" t="s">
        <v>584</v>
      </c>
      <c r="Q740" s="611"/>
      <c r="R740" s="611"/>
      <c r="S740" s="611"/>
      <c r="T740" s="611"/>
      <c r="U740" s="611"/>
      <c r="V740" s="611"/>
      <c r="W740" s="611"/>
      <c r="X740" s="611"/>
      <c r="Y740" s="611"/>
      <c r="Z740" s="611"/>
      <c r="AA740" s="611"/>
    </row>
    <row r="741" spans="1:27" ht="12.4" customHeight="1">
      <c r="A741" s="611"/>
      <c r="B741" s="612"/>
      <c r="C741" s="611"/>
      <c r="D741" s="611"/>
      <c r="E741" s="611"/>
      <c r="F741" s="613"/>
      <c r="G741" s="614"/>
      <c r="H741" s="615"/>
      <c r="I741" s="611"/>
      <c r="J741" s="611"/>
      <c r="K741" s="611"/>
      <c r="L741" s="611"/>
      <c r="M741" s="611"/>
      <c r="N741" s="636" t="s">
        <v>2715</v>
      </c>
      <c r="O741" s="636" t="s">
        <v>3026</v>
      </c>
      <c r="P741" s="627" t="s">
        <v>585</v>
      </c>
      <c r="Q741" s="611"/>
      <c r="R741" s="611"/>
      <c r="S741" s="611"/>
      <c r="T741" s="611"/>
      <c r="U741" s="611"/>
      <c r="V741" s="611"/>
      <c r="W741" s="611"/>
      <c r="X741" s="611"/>
      <c r="Y741" s="611"/>
      <c r="Z741" s="611"/>
      <c r="AA741" s="611"/>
    </row>
    <row r="742" spans="1:27" ht="12.4" customHeight="1">
      <c r="A742" s="611"/>
      <c r="B742" s="612"/>
      <c r="C742" s="611"/>
      <c r="D742" s="611"/>
      <c r="E742" s="611"/>
      <c r="F742" s="613"/>
      <c r="G742" s="614"/>
      <c r="H742" s="615"/>
      <c r="I742" s="611"/>
      <c r="J742" s="611"/>
      <c r="K742" s="611"/>
      <c r="L742" s="611"/>
      <c r="M742" s="611"/>
      <c r="N742" s="636" t="s">
        <v>2716</v>
      </c>
      <c r="O742" s="636" t="s">
        <v>215</v>
      </c>
      <c r="P742" s="627" t="s">
        <v>586</v>
      </c>
      <c r="Q742" s="611"/>
      <c r="R742" s="611"/>
      <c r="S742" s="611"/>
      <c r="T742" s="611"/>
      <c r="U742" s="611"/>
      <c r="V742" s="611"/>
      <c r="W742" s="611"/>
      <c r="X742" s="611"/>
      <c r="Y742" s="611"/>
      <c r="Z742" s="611"/>
      <c r="AA742" s="611"/>
    </row>
    <row r="743" spans="1:27" ht="12.4" customHeight="1">
      <c r="A743" s="611"/>
      <c r="B743" s="612"/>
      <c r="C743" s="611"/>
      <c r="D743" s="611"/>
      <c r="E743" s="611"/>
      <c r="F743" s="613"/>
      <c r="G743" s="614"/>
      <c r="H743" s="615"/>
      <c r="I743" s="611"/>
      <c r="J743" s="611"/>
      <c r="K743" s="611"/>
      <c r="L743" s="611"/>
      <c r="M743" s="611"/>
      <c r="N743" s="636" t="s">
        <v>2717</v>
      </c>
      <c r="O743" s="636" t="s">
        <v>2980</v>
      </c>
      <c r="P743" s="627" t="s">
        <v>587</v>
      </c>
      <c r="Q743" s="611"/>
      <c r="R743" s="611"/>
      <c r="S743" s="611"/>
      <c r="T743" s="611"/>
      <c r="U743" s="611"/>
      <c r="V743" s="611"/>
      <c r="W743" s="611"/>
      <c r="X743" s="611"/>
      <c r="Y743" s="611"/>
      <c r="Z743" s="611"/>
      <c r="AA743" s="611"/>
    </row>
    <row r="744" spans="1:27" ht="12.4" customHeight="1">
      <c r="A744" s="611"/>
      <c r="B744" s="612"/>
      <c r="C744" s="611"/>
      <c r="D744" s="611"/>
      <c r="E744" s="611"/>
      <c r="F744" s="613"/>
      <c r="G744" s="614"/>
      <c r="H744" s="615"/>
      <c r="I744" s="611"/>
      <c r="J744" s="611"/>
      <c r="K744" s="611"/>
      <c r="L744" s="611"/>
      <c r="M744" s="611"/>
      <c r="N744" s="636" t="s">
        <v>2718</v>
      </c>
      <c r="O744" s="636" t="s">
        <v>2031</v>
      </c>
      <c r="P744" s="1579" t="s">
        <v>1413</v>
      </c>
      <c r="Q744" s="611"/>
      <c r="R744" s="611"/>
      <c r="S744" s="611"/>
      <c r="T744" s="611"/>
      <c r="U744" s="611"/>
      <c r="V744" s="611"/>
      <c r="W744" s="611"/>
      <c r="X744" s="611"/>
      <c r="Y744" s="611"/>
      <c r="Z744" s="611"/>
      <c r="AA744" s="611"/>
    </row>
    <row r="745" spans="1:27" ht="12.4" customHeight="1">
      <c r="A745" s="611"/>
      <c r="B745" s="612"/>
      <c r="C745" s="611"/>
      <c r="D745" s="611"/>
      <c r="E745" s="611"/>
      <c r="F745" s="613"/>
      <c r="G745" s="614"/>
      <c r="H745" s="615"/>
      <c r="I745" s="611"/>
      <c r="J745" s="611"/>
      <c r="K745" s="611"/>
      <c r="L745" s="611"/>
      <c r="M745" s="611"/>
      <c r="N745" s="636" t="s">
        <v>2719</v>
      </c>
      <c r="O745" s="636" t="s">
        <v>1550</v>
      </c>
      <c r="P745" s="627" t="s">
        <v>588</v>
      </c>
      <c r="Q745" s="611"/>
      <c r="R745" s="611"/>
      <c r="S745" s="611"/>
      <c r="T745" s="611"/>
      <c r="U745" s="611"/>
      <c r="V745" s="611"/>
      <c r="W745" s="611"/>
      <c r="X745" s="611"/>
      <c r="Y745" s="611"/>
      <c r="Z745" s="611"/>
      <c r="AA745" s="611"/>
    </row>
    <row r="746" spans="1:27" ht="12.4" customHeight="1">
      <c r="A746" s="611"/>
      <c r="B746" s="612"/>
      <c r="C746" s="611"/>
      <c r="D746" s="611"/>
      <c r="E746" s="611"/>
      <c r="F746" s="613"/>
      <c r="G746" s="614"/>
      <c r="H746" s="615"/>
      <c r="I746" s="611"/>
      <c r="J746" s="611"/>
      <c r="K746" s="611"/>
      <c r="L746" s="611"/>
      <c r="M746" s="611"/>
      <c r="N746" s="636" t="s">
        <v>2720</v>
      </c>
      <c r="O746" s="636" t="s">
        <v>1223</v>
      </c>
      <c r="P746" s="627" t="s">
        <v>589</v>
      </c>
      <c r="Q746" s="611"/>
      <c r="R746" s="611"/>
      <c r="S746" s="611"/>
      <c r="T746" s="611"/>
      <c r="U746" s="611"/>
      <c r="V746" s="611"/>
      <c r="W746" s="611"/>
      <c r="X746" s="611"/>
      <c r="Y746" s="611"/>
      <c r="Z746" s="611"/>
      <c r="AA746" s="611"/>
    </row>
    <row r="747" spans="1:27" ht="12.4" customHeight="1">
      <c r="A747" s="611"/>
      <c r="B747" s="612"/>
      <c r="C747" s="611"/>
      <c r="D747" s="611"/>
      <c r="E747" s="611"/>
      <c r="F747" s="613"/>
      <c r="G747" s="614"/>
      <c r="H747" s="615"/>
      <c r="I747" s="611"/>
      <c r="J747" s="611"/>
      <c r="K747" s="611"/>
      <c r="L747" s="611"/>
      <c r="M747" s="611"/>
      <c r="N747" s="507" t="s">
        <v>1707</v>
      </c>
      <c r="O747" s="507" t="s">
        <v>3761</v>
      </c>
      <c r="P747" s="1580" t="s">
        <v>3242</v>
      </c>
      <c r="Q747" s="611"/>
      <c r="R747" s="611"/>
      <c r="S747" s="611"/>
      <c r="T747" s="611"/>
      <c r="U747" s="611"/>
      <c r="V747" s="611"/>
      <c r="W747" s="611"/>
      <c r="X747" s="611"/>
      <c r="Y747" s="611"/>
      <c r="Z747" s="611"/>
      <c r="AA747" s="611"/>
    </row>
    <row r="748" spans="1:27" ht="12.4" customHeight="1">
      <c r="A748" s="611"/>
      <c r="B748" s="612"/>
      <c r="C748" s="611"/>
      <c r="D748" s="611"/>
      <c r="E748" s="611"/>
      <c r="F748" s="613"/>
      <c r="G748" s="614"/>
      <c r="H748" s="615"/>
      <c r="I748" s="611"/>
      <c r="J748" s="611"/>
      <c r="K748" s="611"/>
      <c r="L748" s="611"/>
      <c r="M748" s="611"/>
      <c r="N748" s="636" t="s">
        <v>2721</v>
      </c>
      <c r="O748" s="636" t="s">
        <v>410</v>
      </c>
      <c r="P748" s="627" t="s">
        <v>590</v>
      </c>
      <c r="Q748" s="611"/>
      <c r="R748" s="611"/>
      <c r="S748" s="611"/>
      <c r="T748" s="611"/>
      <c r="U748" s="611"/>
      <c r="V748" s="611"/>
      <c r="W748" s="611"/>
      <c r="X748" s="611"/>
      <c r="Y748" s="611"/>
      <c r="Z748" s="611"/>
      <c r="AA748" s="611"/>
    </row>
    <row r="749" spans="1:27" ht="12.4" customHeight="1">
      <c r="A749" s="611"/>
      <c r="B749" s="612"/>
      <c r="C749" s="611"/>
      <c r="D749" s="611"/>
      <c r="E749" s="611"/>
      <c r="F749" s="613"/>
      <c r="G749" s="614"/>
      <c r="H749" s="615"/>
      <c r="I749" s="611"/>
      <c r="J749" s="611"/>
      <c r="K749" s="611"/>
      <c r="L749" s="611"/>
      <c r="M749" s="611"/>
      <c r="N749" s="636" t="s">
        <v>2722</v>
      </c>
      <c r="O749" s="636" t="s">
        <v>424</v>
      </c>
      <c r="P749" s="627" t="s">
        <v>591</v>
      </c>
      <c r="Q749" s="611"/>
      <c r="R749" s="611"/>
      <c r="S749" s="611"/>
      <c r="T749" s="611"/>
      <c r="U749" s="611"/>
      <c r="V749" s="611"/>
      <c r="W749" s="611"/>
      <c r="X749" s="611"/>
      <c r="Y749" s="611"/>
      <c r="Z749" s="611"/>
      <c r="AA749" s="611"/>
    </row>
    <row r="750" spans="1:27" ht="12.4" customHeight="1">
      <c r="A750" s="611"/>
      <c r="B750" s="612"/>
      <c r="C750" s="611"/>
      <c r="D750" s="611"/>
      <c r="E750" s="611"/>
      <c r="F750" s="613"/>
      <c r="G750" s="614"/>
      <c r="H750" s="615"/>
      <c r="I750" s="611"/>
      <c r="J750" s="611"/>
      <c r="K750" s="611"/>
      <c r="L750" s="611"/>
      <c r="M750" s="611"/>
      <c r="N750" s="636" t="s">
        <v>2723</v>
      </c>
      <c r="O750" s="636" t="s">
        <v>220</v>
      </c>
      <c r="P750" s="627" t="s">
        <v>592</v>
      </c>
      <c r="Q750" s="611"/>
      <c r="R750" s="611"/>
      <c r="S750" s="611"/>
      <c r="T750" s="611"/>
      <c r="U750" s="611"/>
      <c r="V750" s="611"/>
      <c r="W750" s="611"/>
      <c r="X750" s="611"/>
      <c r="Y750" s="611"/>
      <c r="Z750" s="611"/>
      <c r="AA750" s="611"/>
    </row>
    <row r="751" spans="1:27" ht="12.4" customHeight="1">
      <c r="A751" s="611"/>
      <c r="B751" s="612"/>
      <c r="C751" s="611"/>
      <c r="D751" s="611"/>
      <c r="E751" s="611"/>
      <c r="F751" s="613"/>
      <c r="G751" s="614"/>
      <c r="H751" s="615"/>
      <c r="I751" s="611"/>
      <c r="J751" s="611"/>
      <c r="K751" s="611"/>
      <c r="L751" s="611"/>
      <c r="M751" s="611"/>
      <c r="N751" s="636" t="s">
        <v>2724</v>
      </c>
      <c r="O751" s="636" t="s">
        <v>3088</v>
      </c>
      <c r="P751" s="627" t="s">
        <v>593</v>
      </c>
      <c r="Q751" s="611"/>
      <c r="R751" s="611"/>
      <c r="S751" s="611"/>
      <c r="T751" s="611"/>
      <c r="U751" s="611"/>
      <c r="V751" s="611"/>
      <c r="W751" s="611"/>
      <c r="X751" s="611"/>
      <c r="Y751" s="611"/>
      <c r="Z751" s="611"/>
      <c r="AA751" s="611"/>
    </row>
    <row r="752" spans="1:27" ht="12.4" customHeight="1">
      <c r="A752" s="611"/>
      <c r="B752" s="612"/>
      <c r="C752" s="611"/>
      <c r="D752" s="611"/>
      <c r="E752" s="611"/>
      <c r="F752" s="613"/>
      <c r="G752" s="614"/>
      <c r="H752" s="615"/>
      <c r="I752" s="611"/>
      <c r="J752" s="611"/>
      <c r="K752" s="611"/>
      <c r="L752" s="611"/>
      <c r="M752" s="611"/>
      <c r="N752" s="636" t="s">
        <v>2725</v>
      </c>
      <c r="O752" s="636" t="s">
        <v>2182</v>
      </c>
      <c r="P752" s="627" t="s">
        <v>594</v>
      </c>
      <c r="Q752" s="611"/>
      <c r="R752" s="611"/>
      <c r="S752" s="611"/>
      <c r="T752" s="611"/>
      <c r="U752" s="611"/>
      <c r="V752" s="611"/>
      <c r="W752" s="611"/>
      <c r="X752" s="611"/>
      <c r="Y752" s="611"/>
      <c r="Z752" s="611"/>
      <c r="AA752" s="611"/>
    </row>
    <row r="753" spans="1:27" ht="12.4" customHeight="1">
      <c r="A753" s="611"/>
      <c r="B753" s="612"/>
      <c r="C753" s="611"/>
      <c r="D753" s="611"/>
      <c r="E753" s="611"/>
      <c r="F753" s="613"/>
      <c r="G753" s="614"/>
      <c r="H753" s="615"/>
      <c r="I753" s="611"/>
      <c r="J753" s="611"/>
      <c r="K753" s="611"/>
      <c r="L753" s="611"/>
      <c r="M753" s="611"/>
      <c r="N753" s="636" t="s">
        <v>2726</v>
      </c>
      <c r="O753" s="636" t="s">
        <v>2940</v>
      </c>
      <c r="P753" s="627" t="s">
        <v>595</v>
      </c>
      <c r="Q753" s="611"/>
      <c r="R753" s="611"/>
      <c r="S753" s="611"/>
      <c r="T753" s="611"/>
      <c r="U753" s="611"/>
      <c r="V753" s="611"/>
      <c r="W753" s="611"/>
      <c r="X753" s="611"/>
      <c r="Y753" s="611"/>
      <c r="Z753" s="611"/>
      <c r="AA753" s="611"/>
    </row>
    <row r="754" spans="1:27" ht="12.4" customHeight="1">
      <c r="A754" s="611"/>
      <c r="B754" s="612"/>
      <c r="C754" s="611"/>
      <c r="D754" s="611"/>
      <c r="E754" s="611"/>
      <c r="F754" s="613"/>
      <c r="G754" s="614"/>
      <c r="H754" s="615"/>
      <c r="I754" s="611"/>
      <c r="J754" s="611"/>
      <c r="K754" s="611"/>
      <c r="L754" s="611"/>
      <c r="M754" s="611"/>
      <c r="N754" s="636" t="s">
        <v>2727</v>
      </c>
      <c r="O754" s="636" t="s">
        <v>416</v>
      </c>
      <c r="P754" s="627" t="s">
        <v>596</v>
      </c>
      <c r="Q754" s="611"/>
      <c r="R754" s="611"/>
      <c r="S754" s="611"/>
      <c r="T754" s="611"/>
      <c r="U754" s="611"/>
      <c r="V754" s="611"/>
      <c r="W754" s="611"/>
      <c r="X754" s="611"/>
      <c r="Y754" s="611"/>
      <c r="Z754" s="611"/>
      <c r="AA754" s="611"/>
    </row>
    <row r="755" spans="1:27" ht="12.4" customHeight="1">
      <c r="A755" s="611"/>
      <c r="B755" s="612"/>
      <c r="C755" s="611"/>
      <c r="D755" s="611"/>
      <c r="E755" s="611"/>
      <c r="F755" s="613"/>
      <c r="G755" s="614"/>
      <c r="H755" s="615"/>
      <c r="I755" s="611"/>
      <c r="J755" s="611"/>
      <c r="K755" s="611"/>
      <c r="L755" s="611"/>
      <c r="M755" s="611"/>
      <c r="N755" s="636" t="s">
        <v>2728</v>
      </c>
      <c r="O755" s="636" t="s">
        <v>118</v>
      </c>
      <c r="P755" s="627" t="s">
        <v>597</v>
      </c>
      <c r="Q755" s="611"/>
      <c r="R755" s="611"/>
      <c r="S755" s="611"/>
      <c r="T755" s="611"/>
      <c r="U755" s="611"/>
      <c r="V755" s="611"/>
      <c r="W755" s="611"/>
      <c r="X755" s="611"/>
      <c r="Y755" s="611"/>
      <c r="Z755" s="611"/>
      <c r="AA755" s="611"/>
    </row>
    <row r="756" spans="1:27" ht="12.4" customHeight="1">
      <c r="A756" s="611"/>
      <c r="B756" s="612"/>
      <c r="C756" s="611"/>
      <c r="D756" s="611"/>
      <c r="E756" s="611"/>
      <c r="F756" s="613"/>
      <c r="G756" s="614"/>
      <c r="H756" s="615"/>
      <c r="I756" s="611"/>
      <c r="J756" s="611"/>
      <c r="K756" s="611"/>
      <c r="L756" s="611"/>
      <c r="M756" s="611"/>
      <c r="N756" s="636" t="s">
        <v>387</v>
      </c>
      <c r="O756" s="636" t="s">
        <v>3636</v>
      </c>
      <c r="P756" s="627" t="s">
        <v>598</v>
      </c>
      <c r="Q756" s="611"/>
      <c r="R756" s="611"/>
      <c r="S756" s="611"/>
      <c r="T756" s="611"/>
      <c r="U756" s="611"/>
      <c r="V756" s="611"/>
      <c r="W756" s="611"/>
      <c r="X756" s="611"/>
      <c r="Y756" s="611"/>
      <c r="Z756" s="611"/>
      <c r="AA756" s="611"/>
    </row>
    <row r="757" spans="1:27" ht="12.4" customHeight="1">
      <c r="A757" s="611"/>
      <c r="B757" s="612"/>
      <c r="C757" s="611"/>
      <c r="D757" s="611"/>
      <c r="E757" s="611"/>
      <c r="F757" s="613"/>
      <c r="G757" s="614"/>
      <c r="H757" s="615"/>
      <c r="I757" s="611"/>
      <c r="J757" s="611"/>
      <c r="K757" s="611"/>
      <c r="L757" s="611"/>
      <c r="M757" s="611"/>
      <c r="N757" s="636" t="s">
        <v>120</v>
      </c>
      <c r="O757" s="636" t="s">
        <v>3632</v>
      </c>
      <c r="P757" s="627" t="s">
        <v>599</v>
      </c>
      <c r="Q757" s="611"/>
      <c r="R757" s="611"/>
      <c r="S757" s="611"/>
      <c r="T757" s="611"/>
      <c r="U757" s="611"/>
      <c r="V757" s="611"/>
      <c r="W757" s="611"/>
      <c r="X757" s="611"/>
      <c r="Y757" s="611"/>
      <c r="Z757" s="611"/>
      <c r="AA757" s="611"/>
    </row>
    <row r="758" spans="1:27" ht="12.4" customHeight="1">
      <c r="A758" s="611"/>
      <c r="B758" s="612"/>
      <c r="C758" s="611"/>
      <c r="D758" s="611"/>
      <c r="E758" s="611"/>
      <c r="F758" s="613"/>
      <c r="G758" s="614"/>
      <c r="H758" s="615"/>
      <c r="I758" s="611"/>
      <c r="J758" s="611"/>
      <c r="K758" s="611"/>
      <c r="L758" s="611"/>
      <c r="M758" s="611"/>
      <c r="N758" s="636" t="s">
        <v>388</v>
      </c>
      <c r="O758" s="636" t="s">
        <v>3902</v>
      </c>
      <c r="P758" s="627" t="s">
        <v>600</v>
      </c>
      <c r="Q758" s="611"/>
      <c r="R758" s="611"/>
      <c r="S758" s="611"/>
      <c r="T758" s="611"/>
      <c r="U758" s="611"/>
      <c r="V758" s="611"/>
      <c r="W758" s="611"/>
      <c r="X758" s="611"/>
      <c r="Y758" s="611"/>
      <c r="Z758" s="611"/>
      <c r="AA758" s="611"/>
    </row>
    <row r="759" spans="1:27" ht="12.4" customHeight="1">
      <c r="A759" s="611"/>
      <c r="B759" s="612"/>
      <c r="C759" s="611"/>
      <c r="D759" s="611"/>
      <c r="E759" s="611"/>
      <c r="F759" s="613"/>
      <c r="G759" s="614"/>
      <c r="H759" s="615"/>
      <c r="I759" s="611"/>
      <c r="J759" s="611"/>
      <c r="K759" s="611"/>
      <c r="L759" s="611"/>
      <c r="M759" s="611"/>
      <c r="N759" s="636" t="s">
        <v>389</v>
      </c>
      <c r="O759" s="636" t="s">
        <v>411</v>
      </c>
      <c r="P759" s="627" t="s">
        <v>601</v>
      </c>
      <c r="Q759" s="611"/>
      <c r="R759" s="611"/>
      <c r="S759" s="611"/>
      <c r="T759" s="611"/>
      <c r="U759" s="611"/>
      <c r="V759" s="611"/>
      <c r="W759" s="611"/>
      <c r="X759" s="611"/>
      <c r="Y759" s="611"/>
      <c r="Z759" s="611"/>
      <c r="AA759" s="611"/>
    </row>
    <row r="760" spans="1:27" ht="12.4" customHeight="1">
      <c r="A760" s="611"/>
      <c r="B760" s="612"/>
      <c r="C760" s="611"/>
      <c r="D760" s="611"/>
      <c r="E760" s="611"/>
      <c r="F760" s="613"/>
      <c r="G760" s="614"/>
      <c r="H760" s="615"/>
      <c r="I760" s="611"/>
      <c r="J760" s="611"/>
      <c r="K760" s="611"/>
      <c r="L760" s="611"/>
      <c r="M760" s="611"/>
      <c r="N760" s="636" t="s">
        <v>390</v>
      </c>
      <c r="O760" s="636" t="s">
        <v>3089</v>
      </c>
      <c r="P760" s="627" t="s">
        <v>602</v>
      </c>
      <c r="Q760" s="611"/>
      <c r="R760" s="611"/>
      <c r="S760" s="611"/>
      <c r="T760" s="611"/>
      <c r="U760" s="611"/>
      <c r="V760" s="611"/>
      <c r="W760" s="611"/>
      <c r="X760" s="611"/>
      <c r="Y760" s="611"/>
      <c r="Z760" s="611"/>
      <c r="AA760" s="611"/>
    </row>
    <row r="761" spans="1:27" ht="12.4" customHeight="1">
      <c r="A761" s="611"/>
      <c r="B761" s="612"/>
      <c r="C761" s="611"/>
      <c r="D761" s="611"/>
      <c r="E761" s="611"/>
      <c r="F761" s="613"/>
      <c r="G761" s="614"/>
      <c r="H761" s="615"/>
      <c r="I761" s="611"/>
      <c r="J761" s="611"/>
      <c r="K761" s="611"/>
      <c r="L761" s="611"/>
      <c r="M761" s="611"/>
      <c r="N761" s="636" t="s">
        <v>391</v>
      </c>
      <c r="O761" s="636" t="s">
        <v>2031</v>
      </c>
      <c r="P761" s="627" t="s">
        <v>603</v>
      </c>
      <c r="Q761" s="611"/>
      <c r="R761" s="611"/>
      <c r="S761" s="611"/>
      <c r="T761" s="611"/>
      <c r="U761" s="611"/>
      <c r="V761" s="611"/>
      <c r="W761" s="611"/>
      <c r="X761" s="611"/>
      <c r="Y761" s="611"/>
      <c r="Z761" s="611"/>
      <c r="AA761" s="611"/>
    </row>
    <row r="762" spans="1:27" ht="12.4" customHeight="1">
      <c r="A762" s="611"/>
      <c r="B762" s="612"/>
      <c r="C762" s="611"/>
      <c r="D762" s="611"/>
      <c r="E762" s="611"/>
      <c r="F762" s="613"/>
      <c r="G762" s="614"/>
      <c r="H762" s="615"/>
      <c r="I762" s="611"/>
      <c r="J762" s="611"/>
      <c r="K762" s="611"/>
      <c r="L762" s="611"/>
      <c r="M762" s="611"/>
      <c r="N762" s="636" t="s">
        <v>392</v>
      </c>
      <c r="O762" s="636" t="s">
        <v>2986</v>
      </c>
      <c r="P762" s="627" t="s">
        <v>604</v>
      </c>
      <c r="Q762" s="611"/>
      <c r="R762" s="611"/>
      <c r="S762" s="611"/>
      <c r="T762" s="611"/>
      <c r="U762" s="611"/>
      <c r="V762" s="611"/>
      <c r="W762" s="611"/>
      <c r="X762" s="611"/>
      <c r="Y762" s="611"/>
      <c r="Z762" s="611"/>
      <c r="AA762" s="611"/>
    </row>
    <row r="763" spans="1:27" ht="12.4" customHeight="1">
      <c r="A763" s="611"/>
      <c r="B763" s="612"/>
      <c r="C763" s="611"/>
      <c r="D763" s="611"/>
      <c r="E763" s="611"/>
      <c r="F763" s="613"/>
      <c r="G763" s="614"/>
      <c r="H763" s="615"/>
      <c r="I763" s="611"/>
      <c r="J763" s="611"/>
      <c r="K763" s="611"/>
      <c r="L763" s="611"/>
      <c r="M763" s="611"/>
      <c r="N763" s="636" t="s">
        <v>393</v>
      </c>
      <c r="O763" s="636" t="s">
        <v>124</v>
      </c>
      <c r="P763" s="1579" t="s">
        <v>1413</v>
      </c>
      <c r="Q763" s="611"/>
      <c r="R763" s="611"/>
      <c r="S763" s="611"/>
      <c r="T763" s="611"/>
      <c r="U763" s="611"/>
      <c r="V763" s="611"/>
      <c r="W763" s="611"/>
      <c r="X763" s="611"/>
      <c r="Y763" s="611"/>
      <c r="Z763" s="611"/>
      <c r="AA763" s="611"/>
    </row>
    <row r="764" spans="1:27" ht="12.4" customHeight="1">
      <c r="A764" s="611"/>
      <c r="B764" s="612"/>
      <c r="C764" s="611"/>
      <c r="D764" s="611"/>
      <c r="E764" s="611"/>
      <c r="F764" s="613"/>
      <c r="G764" s="614"/>
      <c r="H764" s="615"/>
      <c r="I764" s="611"/>
      <c r="J764" s="611"/>
      <c r="K764" s="611"/>
      <c r="L764" s="611"/>
      <c r="M764" s="611"/>
      <c r="N764" s="636" t="s">
        <v>394</v>
      </c>
      <c r="O764" s="636" t="s">
        <v>1014</v>
      </c>
      <c r="P764" s="627" t="s">
        <v>605</v>
      </c>
      <c r="Q764" s="611"/>
      <c r="R764" s="611"/>
      <c r="S764" s="611"/>
      <c r="T764" s="611"/>
      <c r="U764" s="611"/>
      <c r="V764" s="611"/>
      <c r="W764" s="611"/>
      <c r="X764" s="611"/>
      <c r="Y764" s="611"/>
      <c r="Z764" s="611"/>
      <c r="AA764" s="611"/>
    </row>
    <row r="765" spans="1:27" ht="12.4" customHeight="1">
      <c r="A765" s="611"/>
      <c r="B765" s="612"/>
      <c r="C765" s="611"/>
      <c r="D765" s="611"/>
      <c r="E765" s="611"/>
      <c r="F765" s="613"/>
      <c r="G765" s="614"/>
      <c r="H765" s="615"/>
      <c r="I765" s="611"/>
      <c r="J765" s="611"/>
      <c r="K765" s="611"/>
      <c r="L765" s="611"/>
      <c r="M765" s="611"/>
      <c r="N765" s="636" t="s">
        <v>128</v>
      </c>
      <c r="O765" s="636" t="s">
        <v>2016</v>
      </c>
      <c r="P765" s="627" t="s">
        <v>606</v>
      </c>
      <c r="Q765" s="611"/>
      <c r="R765" s="611"/>
      <c r="S765" s="611"/>
      <c r="T765" s="611"/>
      <c r="U765" s="611"/>
      <c r="V765" s="611"/>
      <c r="W765" s="611"/>
      <c r="X765" s="611"/>
      <c r="Y765" s="611"/>
      <c r="Z765" s="611"/>
      <c r="AA765" s="611"/>
    </row>
    <row r="766" spans="1:27" ht="12.4" customHeight="1">
      <c r="A766" s="611"/>
      <c r="B766" s="612"/>
      <c r="C766" s="611"/>
      <c r="D766" s="611"/>
      <c r="E766" s="611"/>
      <c r="F766" s="613"/>
      <c r="G766" s="614"/>
      <c r="H766" s="615"/>
      <c r="I766" s="611"/>
      <c r="J766" s="611"/>
      <c r="K766" s="611"/>
      <c r="L766" s="611"/>
      <c r="M766" s="611"/>
      <c r="N766" s="636" t="s">
        <v>2294</v>
      </c>
      <c r="O766" s="636" t="s">
        <v>1016</v>
      </c>
      <c r="P766" s="627" t="s">
        <v>607</v>
      </c>
      <c r="Q766" s="611"/>
      <c r="R766" s="611"/>
      <c r="S766" s="611"/>
      <c r="T766" s="611"/>
      <c r="U766" s="611"/>
      <c r="V766" s="611"/>
      <c r="W766" s="611"/>
      <c r="X766" s="611"/>
      <c r="Y766" s="611"/>
      <c r="Z766" s="611"/>
      <c r="AA766" s="611"/>
    </row>
    <row r="767" spans="1:27" ht="12.4" customHeight="1">
      <c r="A767" s="611"/>
      <c r="B767" s="612"/>
      <c r="C767" s="611"/>
      <c r="D767" s="611"/>
      <c r="E767" s="611"/>
      <c r="F767" s="613"/>
      <c r="G767" s="614"/>
      <c r="H767" s="615"/>
      <c r="I767" s="611"/>
      <c r="J767" s="611"/>
      <c r="K767" s="611"/>
      <c r="L767" s="611"/>
      <c r="M767" s="611"/>
      <c r="N767" s="507" t="s">
        <v>1708</v>
      </c>
      <c r="O767" s="507" t="s">
        <v>215</v>
      </c>
      <c r="P767" s="1580" t="s">
        <v>3242</v>
      </c>
      <c r="Q767" s="611"/>
      <c r="R767" s="611"/>
      <c r="S767" s="611"/>
      <c r="T767" s="611"/>
      <c r="U767" s="611"/>
      <c r="V767" s="611"/>
      <c r="W767" s="611"/>
      <c r="X767" s="611"/>
      <c r="Y767" s="611"/>
      <c r="Z767" s="611"/>
      <c r="AA767" s="611"/>
    </row>
    <row r="768" spans="1:27" ht="12.4" customHeight="1">
      <c r="A768" s="611"/>
      <c r="B768" s="612"/>
      <c r="C768" s="611"/>
      <c r="D768" s="611"/>
      <c r="E768" s="611"/>
      <c r="F768" s="613"/>
      <c r="G768" s="614"/>
      <c r="H768" s="615"/>
      <c r="I768" s="611"/>
      <c r="J768" s="611"/>
      <c r="K768" s="611"/>
      <c r="L768" s="611"/>
      <c r="M768" s="611"/>
      <c r="N768" s="636" t="s">
        <v>2295</v>
      </c>
      <c r="O768" s="636" t="s">
        <v>1223</v>
      </c>
      <c r="P768" s="627" t="s">
        <v>608</v>
      </c>
      <c r="Q768" s="611"/>
      <c r="R768" s="611"/>
      <c r="S768" s="611"/>
      <c r="T768" s="611"/>
      <c r="U768" s="611"/>
      <c r="V768" s="611"/>
      <c r="W768" s="611"/>
      <c r="X768" s="611"/>
      <c r="Y768" s="611"/>
      <c r="Z768" s="611"/>
      <c r="AA768" s="611"/>
    </row>
    <row r="769" spans="1:27" ht="12.4" customHeight="1">
      <c r="A769" s="611"/>
      <c r="B769" s="612"/>
      <c r="C769" s="611"/>
      <c r="D769" s="611"/>
      <c r="E769" s="611"/>
      <c r="F769" s="613"/>
      <c r="G769" s="614"/>
      <c r="H769" s="615"/>
      <c r="I769" s="611"/>
      <c r="J769" s="611"/>
      <c r="K769" s="611"/>
      <c r="L769" s="611"/>
      <c r="M769" s="611"/>
      <c r="N769" s="636" t="s">
        <v>2296</v>
      </c>
      <c r="O769" s="636" t="s">
        <v>2807</v>
      </c>
      <c r="P769" s="627" t="s">
        <v>609</v>
      </c>
      <c r="Q769" s="611"/>
      <c r="R769" s="611"/>
      <c r="S769" s="611"/>
      <c r="T769" s="611"/>
      <c r="U769" s="611"/>
      <c r="V769" s="611"/>
      <c r="W769" s="611"/>
      <c r="X769" s="611"/>
      <c r="Y769" s="611"/>
      <c r="Z769" s="611"/>
      <c r="AA769" s="611"/>
    </row>
    <row r="770" spans="1:27" ht="12.4" customHeight="1">
      <c r="A770" s="611"/>
      <c r="B770" s="612"/>
      <c r="C770" s="611"/>
      <c r="D770" s="611"/>
      <c r="E770" s="611"/>
      <c r="F770" s="613"/>
      <c r="G770" s="614"/>
      <c r="H770" s="615"/>
      <c r="I770" s="611"/>
      <c r="J770" s="611"/>
      <c r="K770" s="611"/>
      <c r="L770" s="611"/>
      <c r="M770" s="611"/>
      <c r="N770" s="636" t="s">
        <v>2297</v>
      </c>
      <c r="O770" s="636" t="s">
        <v>1728</v>
      </c>
      <c r="P770" s="627" t="s">
        <v>610</v>
      </c>
      <c r="Q770" s="611"/>
      <c r="R770" s="611"/>
      <c r="S770" s="611"/>
      <c r="T770" s="611"/>
      <c r="U770" s="611"/>
      <c r="V770" s="611"/>
      <c r="W770" s="611"/>
      <c r="X770" s="611"/>
      <c r="Y770" s="611"/>
      <c r="Z770" s="611"/>
      <c r="AA770" s="611"/>
    </row>
    <row r="771" spans="1:27" ht="12.4" customHeight="1">
      <c r="A771" s="611"/>
      <c r="B771" s="612"/>
      <c r="C771" s="611"/>
      <c r="D771" s="611"/>
      <c r="E771" s="611"/>
      <c r="F771" s="613"/>
      <c r="G771" s="614"/>
      <c r="H771" s="615"/>
      <c r="I771" s="611"/>
      <c r="J771" s="611"/>
      <c r="K771" s="611"/>
      <c r="L771" s="611"/>
      <c r="M771" s="611"/>
      <c r="N771" s="507" t="s">
        <v>1709</v>
      </c>
      <c r="O771" s="507" t="s">
        <v>215</v>
      </c>
      <c r="P771" s="1580" t="s">
        <v>3242</v>
      </c>
      <c r="Q771" s="611"/>
      <c r="R771" s="611"/>
      <c r="S771" s="611"/>
      <c r="T771" s="611"/>
      <c r="U771" s="611"/>
      <c r="V771" s="611"/>
      <c r="W771" s="611"/>
      <c r="X771" s="611"/>
      <c r="Y771" s="611"/>
      <c r="Z771" s="611"/>
      <c r="AA771" s="611"/>
    </row>
    <row r="772" spans="1:27" ht="12.4" customHeight="1">
      <c r="A772" s="611"/>
      <c r="B772" s="612"/>
      <c r="C772" s="611"/>
      <c r="D772" s="611"/>
      <c r="E772" s="611"/>
      <c r="F772" s="613"/>
      <c r="G772" s="614"/>
      <c r="H772" s="615"/>
      <c r="I772" s="611"/>
      <c r="J772" s="611"/>
      <c r="K772" s="611"/>
      <c r="L772" s="611"/>
      <c r="M772" s="611"/>
      <c r="N772" s="636" t="s">
        <v>2298</v>
      </c>
      <c r="O772" s="636" t="s">
        <v>2015</v>
      </c>
      <c r="P772" s="627" t="s">
        <v>611</v>
      </c>
      <c r="Q772" s="611"/>
      <c r="R772" s="611"/>
      <c r="S772" s="611"/>
      <c r="T772" s="611"/>
      <c r="U772" s="611"/>
      <c r="V772" s="611"/>
      <c r="W772" s="611"/>
      <c r="X772" s="611"/>
      <c r="Y772" s="611"/>
      <c r="Z772" s="611"/>
      <c r="AA772" s="611"/>
    </row>
    <row r="773" spans="1:27" ht="12.4" customHeight="1">
      <c r="A773" s="611"/>
      <c r="B773" s="612"/>
      <c r="C773" s="611"/>
      <c r="D773" s="611"/>
      <c r="E773" s="611"/>
      <c r="F773" s="613"/>
      <c r="G773" s="614"/>
      <c r="H773" s="615"/>
      <c r="I773" s="611"/>
      <c r="J773" s="611"/>
      <c r="K773" s="611"/>
      <c r="L773" s="611"/>
      <c r="M773" s="611"/>
      <c r="N773" s="636" t="s">
        <v>2299</v>
      </c>
      <c r="O773" s="636" t="s">
        <v>221</v>
      </c>
      <c r="P773" s="627" t="s">
        <v>612</v>
      </c>
      <c r="Q773" s="611"/>
      <c r="R773" s="611"/>
      <c r="S773" s="611"/>
      <c r="T773" s="611"/>
      <c r="U773" s="611"/>
      <c r="V773" s="611"/>
      <c r="W773" s="611"/>
      <c r="X773" s="611"/>
      <c r="Y773" s="611"/>
      <c r="Z773" s="611"/>
      <c r="AA773" s="611"/>
    </row>
    <row r="774" spans="1:27" ht="12.4" customHeight="1">
      <c r="A774" s="611"/>
      <c r="B774" s="612"/>
      <c r="C774" s="611"/>
      <c r="D774" s="611"/>
      <c r="E774" s="611"/>
      <c r="F774" s="613"/>
      <c r="G774" s="614"/>
      <c r="H774" s="615"/>
      <c r="I774" s="611"/>
      <c r="J774" s="611"/>
      <c r="K774" s="611"/>
      <c r="L774" s="611"/>
      <c r="M774" s="611"/>
      <c r="N774" s="636" t="s">
        <v>2300</v>
      </c>
      <c r="O774" s="636" t="s">
        <v>2036</v>
      </c>
      <c r="P774" s="627" t="s">
        <v>613</v>
      </c>
      <c r="Q774" s="611"/>
      <c r="R774" s="611"/>
      <c r="S774" s="611"/>
      <c r="T774" s="611"/>
      <c r="U774" s="611"/>
      <c r="V774" s="611"/>
      <c r="W774" s="611"/>
      <c r="X774" s="611"/>
      <c r="Y774" s="611"/>
      <c r="Z774" s="611"/>
      <c r="AA774" s="611"/>
    </row>
    <row r="775" spans="1:27" ht="12.4" customHeight="1">
      <c r="A775" s="611"/>
      <c r="B775" s="612"/>
      <c r="C775" s="611"/>
      <c r="D775" s="611"/>
      <c r="E775" s="611"/>
      <c r="F775" s="613"/>
      <c r="G775" s="614"/>
      <c r="H775" s="615"/>
      <c r="I775" s="611"/>
      <c r="J775" s="611"/>
      <c r="K775" s="611"/>
      <c r="L775" s="611"/>
      <c r="M775" s="611"/>
      <c r="N775" s="636" t="s">
        <v>2301</v>
      </c>
      <c r="O775" s="636" t="s">
        <v>2940</v>
      </c>
      <c r="P775" s="627" t="s">
        <v>614</v>
      </c>
      <c r="Q775" s="611"/>
      <c r="R775" s="611"/>
      <c r="S775" s="611"/>
      <c r="T775" s="611"/>
      <c r="U775" s="611"/>
      <c r="V775" s="611"/>
      <c r="W775" s="611"/>
      <c r="X775" s="611"/>
      <c r="Y775" s="611"/>
      <c r="Z775" s="611"/>
      <c r="AA775" s="611"/>
    </row>
    <row r="776" spans="1:27" ht="12.4" customHeight="1">
      <c r="A776" s="611"/>
      <c r="B776" s="612"/>
      <c r="C776" s="611"/>
      <c r="D776" s="611"/>
      <c r="E776" s="611"/>
      <c r="F776" s="613"/>
      <c r="G776" s="614"/>
      <c r="H776" s="615"/>
      <c r="I776" s="611"/>
      <c r="J776" s="611"/>
      <c r="K776" s="611"/>
      <c r="L776" s="611"/>
      <c r="M776" s="611"/>
      <c r="N776" s="636" t="s">
        <v>2302</v>
      </c>
      <c r="O776" s="636" t="s">
        <v>3287</v>
      </c>
      <c r="P776" s="627" t="s">
        <v>615</v>
      </c>
      <c r="Q776" s="611"/>
      <c r="R776" s="611"/>
      <c r="S776" s="611"/>
      <c r="T776" s="611"/>
      <c r="U776" s="611"/>
      <c r="V776" s="611"/>
      <c r="W776" s="611"/>
      <c r="X776" s="611"/>
      <c r="Y776" s="611"/>
      <c r="Z776" s="611"/>
      <c r="AA776" s="611"/>
    </row>
    <row r="777" spans="1:27" ht="12.4" customHeight="1">
      <c r="A777" s="611"/>
      <c r="B777" s="612"/>
      <c r="C777" s="611"/>
      <c r="D777" s="611"/>
      <c r="E777" s="611"/>
      <c r="F777" s="613"/>
      <c r="G777" s="614"/>
      <c r="H777" s="615"/>
      <c r="I777" s="611"/>
      <c r="J777" s="611"/>
      <c r="K777" s="611"/>
      <c r="L777" s="611"/>
      <c r="M777" s="611"/>
      <c r="N777" s="636" t="s">
        <v>2303</v>
      </c>
      <c r="O777" s="636" t="s">
        <v>220</v>
      </c>
      <c r="P777" s="627" t="s">
        <v>616</v>
      </c>
      <c r="Q777" s="611"/>
      <c r="R777" s="611"/>
      <c r="S777" s="611"/>
      <c r="T777" s="611"/>
      <c r="U777" s="611"/>
      <c r="V777" s="611"/>
      <c r="W777" s="611"/>
      <c r="X777" s="611"/>
      <c r="Y777" s="611"/>
      <c r="Z777" s="611"/>
      <c r="AA777" s="611"/>
    </row>
    <row r="778" spans="1:27" ht="12.4" customHeight="1">
      <c r="A778" s="611"/>
      <c r="B778" s="612"/>
      <c r="C778" s="611"/>
      <c r="D778" s="611"/>
      <c r="E778" s="611"/>
      <c r="F778" s="613"/>
      <c r="G778" s="614"/>
      <c r="H778" s="615"/>
      <c r="I778" s="611"/>
      <c r="J778" s="611"/>
      <c r="K778" s="611"/>
      <c r="L778" s="611"/>
      <c r="M778" s="611"/>
      <c r="N778" s="636" t="s">
        <v>3596</v>
      </c>
      <c r="O778" s="636" t="s">
        <v>1016</v>
      </c>
      <c r="P778" s="627" t="s">
        <v>617</v>
      </c>
      <c r="Q778" s="611"/>
      <c r="R778" s="611"/>
      <c r="S778" s="611"/>
      <c r="T778" s="611"/>
      <c r="U778" s="611"/>
      <c r="V778" s="611"/>
      <c r="W778" s="611"/>
      <c r="X778" s="611"/>
      <c r="Y778" s="611"/>
      <c r="Z778" s="611"/>
      <c r="AA778" s="611"/>
    </row>
    <row r="779" spans="1:27" ht="12.4" customHeight="1">
      <c r="A779" s="611"/>
      <c r="B779" s="612"/>
      <c r="C779" s="611"/>
      <c r="D779" s="611"/>
      <c r="E779" s="611"/>
      <c r="F779" s="613"/>
      <c r="G779" s="614"/>
      <c r="H779" s="615"/>
      <c r="I779" s="611"/>
      <c r="J779" s="611"/>
      <c r="K779" s="611"/>
      <c r="L779" s="611"/>
      <c r="M779" s="611"/>
      <c r="N779" s="636" t="s">
        <v>3597</v>
      </c>
      <c r="O779" s="636" t="s">
        <v>1002</v>
      </c>
      <c r="P779" s="627" t="s">
        <v>618</v>
      </c>
      <c r="Q779" s="611"/>
      <c r="R779" s="611"/>
      <c r="S779" s="611"/>
      <c r="T779" s="611"/>
      <c r="U779" s="611"/>
      <c r="V779" s="611"/>
      <c r="W779" s="611"/>
      <c r="X779" s="611"/>
      <c r="Y779" s="611"/>
      <c r="Z779" s="611"/>
      <c r="AA779" s="611"/>
    </row>
    <row r="780" spans="1:27" ht="12.4" customHeight="1">
      <c r="A780" s="611"/>
      <c r="B780" s="612"/>
      <c r="C780" s="611"/>
      <c r="D780" s="611"/>
      <c r="E780" s="611"/>
      <c r="F780" s="613"/>
      <c r="G780" s="614"/>
      <c r="H780" s="615"/>
      <c r="I780" s="611"/>
      <c r="J780" s="611"/>
      <c r="K780" s="611"/>
      <c r="L780" s="611"/>
      <c r="M780" s="611"/>
      <c r="N780" s="636" t="s">
        <v>3598</v>
      </c>
      <c r="O780" s="636" t="s">
        <v>424</v>
      </c>
      <c r="P780" s="627" t="s">
        <v>619</v>
      </c>
      <c r="Q780" s="611"/>
      <c r="R780" s="611"/>
      <c r="S780" s="611"/>
      <c r="T780" s="611"/>
      <c r="U780" s="611"/>
      <c r="V780" s="611"/>
      <c r="W780" s="611"/>
      <c r="X780" s="611"/>
      <c r="Y780" s="611"/>
      <c r="Z780" s="611"/>
      <c r="AA780" s="611"/>
    </row>
    <row r="781" spans="1:27" ht="12.4" customHeight="1">
      <c r="A781" s="611"/>
      <c r="B781" s="612"/>
      <c r="C781" s="611"/>
      <c r="D781" s="611"/>
      <c r="E781" s="611"/>
      <c r="F781" s="613"/>
      <c r="G781" s="614"/>
      <c r="H781" s="615"/>
      <c r="I781" s="611"/>
      <c r="J781" s="611"/>
      <c r="K781" s="611"/>
      <c r="L781" s="611"/>
      <c r="M781" s="611"/>
      <c r="N781" s="636" t="s">
        <v>1425</v>
      </c>
      <c r="O781" s="636" t="s">
        <v>428</v>
      </c>
      <c r="P781" s="627" t="s">
        <v>620</v>
      </c>
      <c r="Q781" s="611"/>
      <c r="R781" s="611"/>
      <c r="S781" s="611"/>
      <c r="T781" s="611"/>
      <c r="U781" s="611"/>
      <c r="V781" s="611"/>
      <c r="W781" s="611"/>
      <c r="X781" s="611"/>
      <c r="Y781" s="611"/>
      <c r="Z781" s="611"/>
      <c r="AA781" s="611"/>
    </row>
    <row r="782" spans="1:27" ht="12.4" customHeight="1">
      <c r="A782" s="611"/>
      <c r="B782" s="612"/>
      <c r="C782" s="611"/>
      <c r="D782" s="611"/>
      <c r="E782" s="611"/>
      <c r="F782" s="613"/>
      <c r="G782" s="614"/>
      <c r="H782" s="615"/>
      <c r="I782" s="611"/>
      <c r="J782" s="611"/>
      <c r="K782" s="611"/>
      <c r="L782" s="611"/>
      <c r="M782" s="611"/>
      <c r="N782" s="636" t="s">
        <v>1426</v>
      </c>
      <c r="O782" s="636" t="s">
        <v>3085</v>
      </c>
      <c r="P782" s="627" t="s">
        <v>621</v>
      </c>
      <c r="Q782" s="611"/>
      <c r="R782" s="611"/>
      <c r="S782" s="611"/>
      <c r="T782" s="611"/>
      <c r="U782" s="611"/>
      <c r="V782" s="611"/>
      <c r="W782" s="611"/>
      <c r="X782" s="611"/>
      <c r="Y782" s="611"/>
      <c r="Z782" s="611"/>
      <c r="AA782" s="611"/>
    </row>
    <row r="783" spans="1:27" ht="12.4" customHeight="1">
      <c r="A783" s="611"/>
      <c r="B783" s="612"/>
      <c r="C783" s="611"/>
      <c r="D783" s="611"/>
      <c r="E783" s="611"/>
      <c r="F783" s="613"/>
      <c r="G783" s="614"/>
      <c r="H783" s="615"/>
      <c r="I783" s="611"/>
      <c r="J783" s="611"/>
      <c r="K783" s="611"/>
      <c r="L783" s="611"/>
      <c r="M783" s="611"/>
      <c r="N783" s="636" t="s">
        <v>1427</v>
      </c>
      <c r="O783" s="636" t="s">
        <v>2982</v>
      </c>
      <c r="P783" s="627" t="s">
        <v>622</v>
      </c>
      <c r="Q783" s="611"/>
      <c r="R783" s="611"/>
      <c r="S783" s="611"/>
      <c r="T783" s="611"/>
      <c r="U783" s="611"/>
      <c r="V783" s="611"/>
      <c r="W783" s="611"/>
      <c r="X783" s="611"/>
      <c r="Y783" s="611"/>
      <c r="Z783" s="611"/>
      <c r="AA783" s="611"/>
    </row>
    <row r="784" spans="1:27" ht="12.4" customHeight="1">
      <c r="A784" s="611"/>
      <c r="B784" s="612"/>
      <c r="C784" s="611"/>
      <c r="D784" s="611"/>
      <c r="E784" s="611"/>
      <c r="F784" s="613"/>
      <c r="G784" s="614"/>
      <c r="H784" s="615"/>
      <c r="I784" s="611"/>
      <c r="J784" s="611"/>
      <c r="K784" s="611"/>
      <c r="L784" s="611"/>
      <c r="M784" s="611"/>
      <c r="N784" s="636" t="s">
        <v>1428</v>
      </c>
      <c r="O784" s="636" t="s">
        <v>1728</v>
      </c>
      <c r="P784" s="627" t="s">
        <v>623</v>
      </c>
      <c r="Q784" s="611"/>
      <c r="R784" s="611"/>
      <c r="S784" s="611"/>
      <c r="T784" s="611"/>
      <c r="U784" s="611"/>
      <c r="V784" s="611"/>
      <c r="W784" s="611"/>
      <c r="X784" s="611"/>
      <c r="Y784" s="611"/>
      <c r="Z784" s="611"/>
      <c r="AA784" s="611"/>
    </row>
    <row r="785" spans="1:27" ht="12.4"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4"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4" customHeight="1">
      <c r="A787" s="611"/>
      <c r="B787" s="612"/>
      <c r="C787" s="611"/>
      <c r="D787" s="611"/>
      <c r="E787" s="611"/>
      <c r="F787" s="613"/>
      <c r="G787" s="614"/>
      <c r="H787" s="615"/>
      <c r="I787" s="611"/>
      <c r="J787" s="611"/>
      <c r="K787" s="611"/>
      <c r="L787" s="611"/>
      <c r="M787" s="611"/>
      <c r="N787" s="636" t="s">
        <v>3788</v>
      </c>
      <c r="O787" s="627"/>
      <c r="P787" s="611"/>
      <c r="Q787" s="611"/>
      <c r="R787" s="611"/>
      <c r="S787" s="611"/>
      <c r="T787" s="611"/>
      <c r="U787" s="611"/>
      <c r="V787" s="611"/>
      <c r="W787" s="611"/>
      <c r="X787" s="611"/>
      <c r="Y787" s="611"/>
      <c r="Z787" s="611"/>
      <c r="AA787" s="611"/>
    </row>
    <row r="788" spans="1:27" ht="12.4"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4"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4"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4"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4"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4"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4"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4"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4"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4"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4"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4"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4"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4"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4"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4"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4"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4"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4"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4"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4"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4"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4"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4"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4"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4"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4"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4"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4"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4"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4"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4"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4"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4"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4"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4"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4"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4"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4"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4"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4"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4"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4"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4"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4"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4"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4"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4"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4"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4"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4"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4"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4"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4"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4"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4"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4"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4"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4"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56000000000000005" bottom="0.75" header="0.26"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zoomScaleNormal="100" workbookViewId="0">
      <selection activeCell="E27" sqref="E27"/>
    </sheetView>
  </sheetViews>
  <sheetFormatPr defaultColWidth="9.140625" defaultRowHeight="12.4"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285156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32" t="str">
        <f>CONCATENATE("PART TWO - DEVELOPMENT TEAM INFORMATION","  -  ",'Part I-Project Information'!$O$4," ",'Part I-Project Information'!$F$22,", ",'Part I-Project Information'!F24,", ",'Part I-Project Information'!J25," County")</f>
        <v>PART TWO - DEVELOPMENT TEAM INFORMATION  -  2011-044 Brentwood Place Apartments, Forsyth, Monroe County</v>
      </c>
      <c r="B1" s="833"/>
      <c r="C1" s="833"/>
      <c r="D1" s="833"/>
      <c r="E1" s="833"/>
      <c r="F1" s="833"/>
      <c r="G1" s="833"/>
      <c r="H1" s="833"/>
      <c r="I1" s="833"/>
      <c r="J1" s="833"/>
      <c r="K1" s="833"/>
      <c r="L1" s="833"/>
      <c r="M1" s="833"/>
      <c r="N1" s="833"/>
      <c r="O1" s="833"/>
      <c r="P1" s="833"/>
      <c r="Q1" s="833"/>
      <c r="R1" s="833"/>
      <c r="S1" s="834"/>
    </row>
    <row r="3" spans="1:19" s="458" customFormat="1" ht="13.15" customHeight="1">
      <c r="A3" s="461" t="s">
        <v>951</v>
      </c>
      <c r="B3" s="465" t="s">
        <v>2913</v>
      </c>
      <c r="C3" s="465"/>
      <c r="E3" s="465"/>
      <c r="F3" s="465"/>
      <c r="G3" s="465"/>
      <c r="H3" s="465"/>
      <c r="I3" s="465"/>
      <c r="J3" s="465"/>
    </row>
    <row r="4" spans="1:19" s="458" customFormat="1" ht="8.65" customHeight="1">
      <c r="A4" s="461"/>
      <c r="B4" s="461"/>
      <c r="C4" s="461"/>
      <c r="D4" s="465"/>
      <c r="E4" s="465"/>
      <c r="F4" s="465"/>
      <c r="G4" s="465"/>
      <c r="H4" s="465"/>
      <c r="I4" s="465"/>
      <c r="J4" s="465"/>
    </row>
    <row r="5" spans="1:19" s="458" customFormat="1" ht="12.6" customHeight="1">
      <c r="B5" s="461" t="s">
        <v>3060</v>
      </c>
      <c r="C5" s="465" t="s">
        <v>2909</v>
      </c>
      <c r="H5" s="1444" t="s">
        <v>3967</v>
      </c>
      <c r="I5" s="1190"/>
      <c r="J5" s="1190"/>
      <c r="K5" s="1190"/>
      <c r="L5" s="1190"/>
      <c r="M5" s="1190"/>
      <c r="N5" s="1191"/>
      <c r="O5" s="716" t="s">
        <v>3067</v>
      </c>
      <c r="P5" s="716"/>
      <c r="Q5" s="1444" t="s">
        <v>3964</v>
      </c>
      <c r="R5" s="1190"/>
      <c r="S5" s="1191"/>
    </row>
    <row r="6" spans="1:19" s="458" customFormat="1" ht="12.6" customHeight="1">
      <c r="D6" s="508"/>
      <c r="E6" s="464" t="s">
        <v>1642</v>
      </c>
      <c r="F6" s="472"/>
      <c r="H6" s="1444" t="s">
        <v>3965</v>
      </c>
      <c r="I6" s="1190"/>
      <c r="J6" s="1190"/>
      <c r="K6" s="1190"/>
      <c r="L6" s="1190"/>
      <c r="M6" s="1190"/>
      <c r="N6" s="1191"/>
      <c r="O6" s="716" t="s">
        <v>2776</v>
      </c>
      <c r="Q6" s="1444" t="s">
        <v>3968</v>
      </c>
      <c r="R6" s="1190"/>
      <c r="S6" s="1191"/>
    </row>
    <row r="7" spans="1:19" s="458" customFormat="1" ht="12.6" customHeight="1">
      <c r="D7" s="508"/>
      <c r="E7" s="464" t="s">
        <v>954</v>
      </c>
      <c r="H7" s="1444" t="s">
        <v>2022</v>
      </c>
      <c r="I7" s="1190"/>
      <c r="J7" s="1191"/>
      <c r="K7" s="1476" t="s">
        <v>1255</v>
      </c>
      <c r="L7" s="1444"/>
      <c r="M7" s="1190"/>
      <c r="N7" s="1191"/>
      <c r="O7" s="716" t="s">
        <v>2835</v>
      </c>
      <c r="Q7" s="1477">
        <v>4787525060</v>
      </c>
      <c r="R7" s="1478"/>
      <c r="S7" s="1479"/>
    </row>
    <row r="8" spans="1:19" s="458" customFormat="1" ht="12.6" customHeight="1">
      <c r="D8" s="508"/>
      <c r="E8" s="464" t="s">
        <v>2831</v>
      </c>
      <c r="H8" s="1441" t="s">
        <v>1439</v>
      </c>
      <c r="I8" s="721" t="s">
        <v>1974</v>
      </c>
      <c r="J8" s="1480">
        <v>312084928</v>
      </c>
      <c r="K8" s="1481"/>
      <c r="L8" s="398" t="s">
        <v>1977</v>
      </c>
      <c r="N8" s="1482">
        <v>8</v>
      </c>
      <c r="O8" s="716" t="s">
        <v>3056</v>
      </c>
      <c r="Q8" s="1477">
        <v>4787148005</v>
      </c>
      <c r="R8" s="1478"/>
      <c r="S8" s="1479"/>
    </row>
    <row r="9" spans="1:19" s="458" customFormat="1" ht="12.6" customHeight="1">
      <c r="D9" s="508"/>
      <c r="E9" s="464" t="s">
        <v>3062</v>
      </c>
      <c r="H9" s="1483">
        <v>4787525060</v>
      </c>
      <c r="I9" s="1484"/>
      <c r="J9" s="1485"/>
      <c r="K9" s="721" t="s">
        <v>2834</v>
      </c>
      <c r="L9" s="1477">
        <v>4787525066</v>
      </c>
      <c r="M9" s="1479"/>
      <c r="N9" s="466" t="s">
        <v>3061</v>
      </c>
      <c r="O9" s="1444" t="s">
        <v>3966</v>
      </c>
      <c r="P9" s="1445"/>
      <c r="Q9" s="1445"/>
      <c r="R9" s="1445"/>
      <c r="S9" s="1446"/>
    </row>
    <row r="10" spans="1:19" s="458" customFormat="1" ht="13.15" customHeight="1">
      <c r="D10" s="508"/>
      <c r="E10" s="441" t="s">
        <v>998</v>
      </c>
      <c r="H10" s="501"/>
      <c r="L10" s="550" t="s">
        <v>1975</v>
      </c>
      <c r="N10" s="721"/>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3063</v>
      </c>
      <c r="C12" s="465" t="s">
        <v>2910</v>
      </c>
      <c r="F12" s="465"/>
      <c r="G12" s="465"/>
      <c r="H12" s="465"/>
      <c r="I12" s="465"/>
      <c r="J12" s="465"/>
      <c r="K12" s="465"/>
      <c r="L12" s="397" t="s">
        <v>1972</v>
      </c>
      <c r="O12" s="1486" t="s">
        <v>1973</v>
      </c>
      <c r="P12" s="1486"/>
      <c r="Q12" s="1486"/>
      <c r="R12" s="1486"/>
      <c r="S12" s="1486"/>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3064</v>
      </c>
      <c r="D14" s="506" t="s">
        <v>3065</v>
      </c>
      <c r="H14" s="723"/>
      <c r="I14" s="723"/>
      <c r="J14" s="723"/>
      <c r="K14" s="459"/>
      <c r="L14" s="397" t="s">
        <v>1976</v>
      </c>
      <c r="M14" s="482"/>
      <c r="O14" s="1487" t="s">
        <v>1971</v>
      </c>
      <c r="P14" s="1487"/>
      <c r="Q14" s="1487"/>
      <c r="R14" s="1487"/>
      <c r="S14" s="1487"/>
    </row>
    <row r="15" spans="1:19" s="458" customFormat="1" ht="4.1500000000000004" customHeight="1">
      <c r="D15" s="510"/>
      <c r="E15" s="511"/>
      <c r="H15" s="1488"/>
      <c r="I15" s="1488"/>
      <c r="J15" s="1488"/>
      <c r="K15" s="719"/>
      <c r="L15" s="1488"/>
      <c r="M15" s="1488"/>
      <c r="N15" s="719"/>
      <c r="O15" s="1489"/>
      <c r="P15" s="1489"/>
      <c r="Q15" s="721"/>
      <c r="R15" s="1489"/>
      <c r="S15" s="1489"/>
    </row>
    <row r="16" spans="1:19" s="458" customFormat="1" ht="12.6" customHeight="1">
      <c r="D16" s="461" t="s">
        <v>3213</v>
      </c>
      <c r="E16" s="458" t="s">
        <v>2911</v>
      </c>
      <c r="H16" s="1444" t="s">
        <v>3969</v>
      </c>
      <c r="I16" s="1190"/>
      <c r="J16" s="1190"/>
      <c r="K16" s="1190"/>
      <c r="L16" s="1190"/>
      <c r="M16" s="1190"/>
      <c r="N16" s="1191"/>
      <c r="O16" s="716" t="s">
        <v>3067</v>
      </c>
      <c r="P16" s="716"/>
      <c r="Q16" s="1444" t="s">
        <v>3964</v>
      </c>
      <c r="R16" s="1190"/>
      <c r="S16" s="1191"/>
    </row>
    <row r="17" spans="4:19" s="458" customFormat="1" ht="12.6" customHeight="1">
      <c r="D17" s="508"/>
      <c r="E17" s="464" t="s">
        <v>1642</v>
      </c>
      <c r="F17" s="472"/>
      <c r="H17" s="1444" t="s">
        <v>3965</v>
      </c>
      <c r="I17" s="1190"/>
      <c r="J17" s="1190"/>
      <c r="K17" s="1190"/>
      <c r="L17" s="1190"/>
      <c r="M17" s="1190"/>
      <c r="N17" s="1191"/>
      <c r="O17" s="716" t="s">
        <v>2776</v>
      </c>
      <c r="Q17" s="1444" t="s">
        <v>3968</v>
      </c>
      <c r="R17" s="1190"/>
      <c r="S17" s="1191"/>
    </row>
    <row r="18" spans="4:19" s="458" customFormat="1" ht="12.6" customHeight="1">
      <c r="D18" s="508"/>
      <c r="E18" s="464" t="s">
        <v>954</v>
      </c>
      <c r="H18" s="1444" t="s">
        <v>2022</v>
      </c>
      <c r="I18" s="1190"/>
      <c r="J18" s="1191"/>
      <c r="O18" s="716" t="s">
        <v>2835</v>
      </c>
      <c r="Q18" s="1477">
        <v>4787525060</v>
      </c>
      <c r="R18" s="1478"/>
      <c r="S18" s="1479"/>
    </row>
    <row r="19" spans="4:19" s="458" customFormat="1" ht="12.6" customHeight="1">
      <c r="D19" s="461"/>
      <c r="E19" s="464" t="s">
        <v>2831</v>
      </c>
      <c r="H19" s="1441" t="s">
        <v>1439</v>
      </c>
      <c r="I19" s="721" t="s">
        <v>1974</v>
      </c>
      <c r="J19" s="1480">
        <v>312084928</v>
      </c>
      <c r="K19" s="1481"/>
      <c r="L19" s="398" t="s">
        <v>1977</v>
      </c>
      <c r="N19" s="1482">
        <v>8</v>
      </c>
      <c r="O19" s="716" t="s">
        <v>3056</v>
      </c>
      <c r="Q19" s="1477">
        <v>4787148005</v>
      </c>
      <c r="R19" s="1478"/>
      <c r="S19" s="1479"/>
    </row>
    <row r="20" spans="4:19" s="458" customFormat="1" ht="12.6" customHeight="1">
      <c r="D20" s="508"/>
      <c r="E20" s="464" t="s">
        <v>3062</v>
      </c>
      <c r="H20" s="1483">
        <v>4787525060</v>
      </c>
      <c r="I20" s="1484"/>
      <c r="J20" s="1485"/>
      <c r="K20" s="721" t="s">
        <v>2834</v>
      </c>
      <c r="L20" s="1477">
        <v>4787525066</v>
      </c>
      <c r="M20" s="1479"/>
      <c r="N20" s="466" t="s">
        <v>3061</v>
      </c>
      <c r="O20" s="1444" t="s">
        <v>3966</v>
      </c>
      <c r="P20" s="1445"/>
      <c r="Q20" s="1445"/>
      <c r="R20" s="1445"/>
      <c r="S20" s="1446"/>
    </row>
    <row r="21" spans="4:19" ht="4.1500000000000004" customHeight="1">
      <c r="D21" s="491"/>
      <c r="H21" s="1490"/>
      <c r="I21" s="1490"/>
      <c r="J21" s="1490"/>
      <c r="K21" s="721"/>
      <c r="L21" s="1490"/>
      <c r="M21" s="1490"/>
      <c r="N21" s="719"/>
      <c r="O21" s="1489"/>
      <c r="P21" s="1489"/>
      <c r="Q21" s="721"/>
      <c r="R21" s="1489"/>
      <c r="S21" s="1489"/>
    </row>
    <row r="22" spans="4:19" s="458" customFormat="1" ht="12.6" customHeight="1">
      <c r="D22" s="461" t="s">
        <v>3214</v>
      </c>
      <c r="E22" s="458" t="s">
        <v>2912</v>
      </c>
      <c r="F22" s="723"/>
      <c r="H22" s="1444" t="s">
        <v>3977</v>
      </c>
      <c r="I22" s="1190"/>
      <c r="J22" s="1190"/>
      <c r="K22" s="1190"/>
      <c r="L22" s="1190"/>
      <c r="M22" s="1190"/>
      <c r="N22" s="1191"/>
      <c r="O22" s="716" t="s">
        <v>3067</v>
      </c>
      <c r="P22" s="716"/>
      <c r="Q22" s="1444"/>
      <c r="R22" s="1190"/>
      <c r="S22" s="1191"/>
    </row>
    <row r="23" spans="4:19" s="458" customFormat="1" ht="12.6" customHeight="1">
      <c r="D23" s="508"/>
      <c r="E23" s="464" t="s">
        <v>1642</v>
      </c>
      <c r="F23" s="472"/>
      <c r="H23" s="1444"/>
      <c r="I23" s="1190"/>
      <c r="J23" s="1190"/>
      <c r="K23" s="1190"/>
      <c r="L23" s="1190"/>
      <c r="M23" s="1190"/>
      <c r="N23" s="1191"/>
      <c r="O23" s="716" t="s">
        <v>2776</v>
      </c>
      <c r="Q23" s="1444"/>
      <c r="R23" s="1190"/>
      <c r="S23" s="1191"/>
    </row>
    <row r="24" spans="4:19" s="458" customFormat="1" ht="12.6" customHeight="1">
      <c r="D24" s="508"/>
      <c r="E24" s="464" t="s">
        <v>954</v>
      </c>
      <c r="H24" s="1444"/>
      <c r="I24" s="1190"/>
      <c r="J24" s="1191"/>
      <c r="O24" s="716" t="s">
        <v>2835</v>
      </c>
      <c r="Q24" s="1477"/>
      <c r="R24" s="1478"/>
      <c r="S24" s="1479"/>
    </row>
    <row r="25" spans="4:19" s="458" customFormat="1" ht="12.6" customHeight="1">
      <c r="E25" s="464" t="s">
        <v>2831</v>
      </c>
      <c r="H25" s="1441"/>
      <c r="I25" s="493" t="s">
        <v>3354</v>
      </c>
      <c r="J25" s="1480"/>
      <c r="K25" s="1191"/>
      <c r="O25" s="716" t="s">
        <v>3056</v>
      </c>
      <c r="Q25" s="1477"/>
      <c r="R25" s="1478"/>
      <c r="S25" s="1479"/>
    </row>
    <row r="26" spans="4:19" s="458" customFormat="1" ht="12.6" customHeight="1">
      <c r="D26" s="508"/>
      <c r="E26" s="464" t="s">
        <v>3062</v>
      </c>
      <c r="H26" s="1477"/>
      <c r="I26" s="1479"/>
      <c r="J26" s="1485"/>
      <c r="K26" s="721" t="s">
        <v>2834</v>
      </c>
      <c r="L26" s="1491"/>
      <c r="M26" s="1191"/>
      <c r="N26" s="466" t="s">
        <v>3061</v>
      </c>
      <c r="O26" s="1492"/>
      <c r="P26" s="1493"/>
      <c r="Q26" s="1493"/>
      <c r="R26" s="1493"/>
      <c r="S26" s="1494"/>
    </row>
    <row r="27" spans="4:19" s="458" customFormat="1" ht="4.1500000000000004" customHeight="1">
      <c r="D27" s="508"/>
      <c r="E27" s="723"/>
      <c r="F27" s="723"/>
      <c r="G27" s="716"/>
      <c r="H27" s="1490"/>
      <c r="I27" s="1490"/>
      <c r="J27" s="1490"/>
      <c r="K27" s="721"/>
      <c r="L27" s="1490"/>
      <c r="M27" s="1490"/>
      <c r="N27" s="719"/>
      <c r="O27" s="1489"/>
      <c r="P27" s="1489"/>
      <c r="Q27" s="721"/>
      <c r="R27" s="1489"/>
      <c r="S27" s="1489"/>
    </row>
    <row r="28" spans="4:19" s="458" customFormat="1" ht="12.6" customHeight="1">
      <c r="D28" s="461" t="s">
        <v>2762</v>
      </c>
      <c r="E28" s="458" t="s">
        <v>2912</v>
      </c>
      <c r="F28" s="723"/>
      <c r="H28" s="1444" t="s">
        <v>3977</v>
      </c>
      <c r="I28" s="1190"/>
      <c r="J28" s="1190"/>
      <c r="K28" s="1190"/>
      <c r="L28" s="1190"/>
      <c r="M28" s="1190"/>
      <c r="N28" s="1191"/>
      <c r="O28" s="716" t="s">
        <v>3067</v>
      </c>
      <c r="P28" s="716"/>
      <c r="Q28" s="1444"/>
      <c r="R28" s="1190"/>
      <c r="S28" s="1191"/>
    </row>
    <row r="29" spans="4:19" s="458" customFormat="1" ht="12.6" customHeight="1">
      <c r="D29" s="508"/>
      <c r="E29" s="464" t="s">
        <v>1642</v>
      </c>
      <c r="F29" s="472"/>
      <c r="H29" s="1444"/>
      <c r="I29" s="1190"/>
      <c r="J29" s="1190"/>
      <c r="K29" s="1190"/>
      <c r="L29" s="1190"/>
      <c r="M29" s="1190"/>
      <c r="N29" s="1191"/>
      <c r="O29" s="716" t="s">
        <v>2776</v>
      </c>
      <c r="Q29" s="1444"/>
      <c r="R29" s="1190"/>
      <c r="S29" s="1191"/>
    </row>
    <row r="30" spans="4:19" s="458" customFormat="1" ht="12.6" customHeight="1">
      <c r="D30" s="508"/>
      <c r="E30" s="464" t="s">
        <v>954</v>
      </c>
      <c r="H30" s="1444"/>
      <c r="I30" s="1190"/>
      <c r="J30" s="1191"/>
      <c r="O30" s="716" t="s">
        <v>2835</v>
      </c>
      <c r="Q30" s="1477"/>
      <c r="R30" s="1478"/>
      <c r="S30" s="1479"/>
    </row>
    <row r="31" spans="4:19" s="458" customFormat="1" ht="12.6" customHeight="1">
      <c r="E31" s="464" t="s">
        <v>2831</v>
      </c>
      <c r="H31" s="1441"/>
      <c r="I31" s="493" t="s">
        <v>3354</v>
      </c>
      <c r="J31" s="1480"/>
      <c r="K31" s="1191"/>
      <c r="O31" s="716" t="s">
        <v>3056</v>
      </c>
      <c r="Q31" s="1477"/>
      <c r="R31" s="1478"/>
      <c r="S31" s="1479"/>
    </row>
    <row r="32" spans="4:19" s="458" customFormat="1" ht="12.6" customHeight="1">
      <c r="D32" s="508"/>
      <c r="E32" s="464" t="s">
        <v>3062</v>
      </c>
      <c r="H32" s="1477"/>
      <c r="I32" s="1479"/>
      <c r="J32" s="1485"/>
      <c r="K32" s="721" t="s">
        <v>2834</v>
      </c>
      <c r="L32" s="1491"/>
      <c r="M32" s="1191"/>
      <c r="N32" s="466" t="s">
        <v>3061</v>
      </c>
      <c r="O32" s="1492"/>
      <c r="P32" s="1493"/>
      <c r="Q32" s="1493"/>
      <c r="R32" s="1493"/>
      <c r="S32" s="1494"/>
    </row>
    <row r="33" spans="3:19" ht="4.1500000000000004" customHeight="1"/>
    <row r="34" spans="3:19" s="458" customFormat="1" ht="13.15" customHeight="1">
      <c r="C34" s="510" t="s">
        <v>3066</v>
      </c>
      <c r="D34" s="506" t="s">
        <v>2914</v>
      </c>
      <c r="H34" s="723"/>
      <c r="I34" s="723"/>
      <c r="J34" s="723"/>
      <c r="K34" s="723"/>
      <c r="L34" s="723"/>
      <c r="M34" s="723"/>
    </row>
    <row r="35" spans="3:19" s="458" customFormat="1" ht="4.1500000000000004" customHeight="1">
      <c r="C35" s="512"/>
      <c r="D35" s="506"/>
      <c r="H35" s="1488"/>
      <c r="I35" s="1488"/>
      <c r="J35" s="1488"/>
      <c r="K35" s="719"/>
      <c r="L35" s="1488"/>
      <c r="M35" s="1488"/>
      <c r="N35" s="719"/>
      <c r="O35" s="1489"/>
      <c r="P35" s="1489"/>
      <c r="Q35" s="721"/>
      <c r="R35" s="1489"/>
      <c r="S35" s="1489"/>
    </row>
    <row r="36" spans="3:19" s="458" customFormat="1" ht="12.6" customHeight="1">
      <c r="D36" s="461" t="s">
        <v>3213</v>
      </c>
      <c r="E36" s="458" t="s">
        <v>1240</v>
      </c>
      <c r="H36" s="1444" t="s">
        <v>4052</v>
      </c>
      <c r="I36" s="1190"/>
      <c r="J36" s="1190"/>
      <c r="K36" s="1190"/>
      <c r="L36" s="1190"/>
      <c r="M36" s="1190"/>
      <c r="N36" s="1191"/>
      <c r="O36" s="716" t="s">
        <v>3067</v>
      </c>
      <c r="P36" s="716"/>
      <c r="Q36" s="1444" t="s">
        <v>4053</v>
      </c>
      <c r="R36" s="1190"/>
      <c r="S36" s="1191"/>
    </row>
    <row r="37" spans="3:19" s="458" customFormat="1" ht="12.6" customHeight="1">
      <c r="D37" s="508"/>
      <c r="E37" s="464" t="s">
        <v>1642</v>
      </c>
      <c r="F37" s="472"/>
      <c r="H37" s="1444" t="s">
        <v>4055</v>
      </c>
      <c r="I37" s="1190"/>
      <c r="J37" s="1190"/>
      <c r="K37" s="1190"/>
      <c r="L37" s="1190"/>
      <c r="M37" s="1190"/>
      <c r="N37" s="1191"/>
      <c r="O37" s="716" t="s">
        <v>2776</v>
      </c>
      <c r="Q37" s="1444" t="s">
        <v>4054</v>
      </c>
      <c r="R37" s="1190"/>
      <c r="S37" s="1191"/>
    </row>
    <row r="38" spans="3:19" s="458" customFormat="1" ht="12.6" customHeight="1">
      <c r="D38" s="508"/>
      <c r="E38" s="464" t="s">
        <v>954</v>
      </c>
      <c r="H38" s="1444" t="s">
        <v>4056</v>
      </c>
      <c r="I38" s="1190"/>
      <c r="J38" s="1191"/>
      <c r="O38" s="716" t="s">
        <v>2835</v>
      </c>
      <c r="Q38" s="1477"/>
      <c r="R38" s="1478"/>
      <c r="S38" s="1479"/>
    </row>
    <row r="39" spans="3:19" s="458" customFormat="1" ht="12.6" customHeight="1">
      <c r="E39" s="464" t="s">
        <v>2831</v>
      </c>
      <c r="H39" s="1441" t="s">
        <v>1433</v>
      </c>
      <c r="I39" s="493" t="s">
        <v>3354</v>
      </c>
      <c r="J39" s="1480">
        <v>900672909</v>
      </c>
      <c r="K39" s="1191"/>
      <c r="O39" s="716" t="s">
        <v>3056</v>
      </c>
      <c r="Q39" s="1477">
        <v>3107175578</v>
      </c>
      <c r="R39" s="1478"/>
      <c r="S39" s="1479"/>
    </row>
    <row r="40" spans="3:19" s="458" customFormat="1" ht="12.6" customHeight="1">
      <c r="D40" s="508"/>
      <c r="E40" s="464" t="s">
        <v>3062</v>
      </c>
      <c r="H40" s="1477">
        <v>4242044349</v>
      </c>
      <c r="I40" s="1479"/>
      <c r="J40" s="1485"/>
      <c r="K40" s="721" t="s">
        <v>2834</v>
      </c>
      <c r="L40" s="1477">
        <v>4242044390</v>
      </c>
      <c r="M40" s="1479"/>
      <c r="N40" s="466" t="s">
        <v>3061</v>
      </c>
      <c r="O40" s="1492" t="s">
        <v>4057</v>
      </c>
      <c r="P40" s="1493"/>
      <c r="Q40" s="1493"/>
      <c r="R40" s="1493"/>
      <c r="S40" s="1494"/>
    </row>
    <row r="41" spans="3:19" ht="4.1500000000000004" customHeight="1">
      <c r="H41" s="1490"/>
      <c r="I41" s="1490"/>
      <c r="J41" s="1490"/>
      <c r="K41" s="721"/>
      <c r="L41" s="1490"/>
      <c r="M41" s="1490"/>
      <c r="N41" s="719"/>
      <c r="O41" s="1489"/>
      <c r="P41" s="1489"/>
      <c r="Q41" s="721"/>
      <c r="R41" s="1489"/>
      <c r="S41" s="1489"/>
    </row>
    <row r="42" spans="3:19" s="458" customFormat="1" ht="12.6" customHeight="1">
      <c r="D42" s="461" t="s">
        <v>3214</v>
      </c>
      <c r="E42" s="458" t="s">
        <v>1241</v>
      </c>
      <c r="F42" s="461"/>
      <c r="H42" s="1444" t="s">
        <v>4052</v>
      </c>
      <c r="I42" s="1190"/>
      <c r="J42" s="1190"/>
      <c r="K42" s="1190"/>
      <c r="L42" s="1190"/>
      <c r="M42" s="1190"/>
      <c r="N42" s="1191"/>
      <c r="O42" s="716" t="s">
        <v>3067</v>
      </c>
      <c r="P42" s="716"/>
      <c r="Q42" s="1444" t="s">
        <v>4053</v>
      </c>
      <c r="R42" s="1190"/>
      <c r="S42" s="1191"/>
    </row>
    <row r="43" spans="3:19" s="458" customFormat="1" ht="12.6" customHeight="1">
      <c r="D43" s="508"/>
      <c r="E43" s="464" t="s">
        <v>1642</v>
      </c>
      <c r="F43" s="472"/>
      <c r="H43" s="1444" t="s">
        <v>4055</v>
      </c>
      <c r="I43" s="1190"/>
      <c r="J43" s="1190"/>
      <c r="K43" s="1190"/>
      <c r="L43" s="1190"/>
      <c r="M43" s="1190"/>
      <c r="N43" s="1191"/>
      <c r="O43" s="716" t="s">
        <v>2776</v>
      </c>
      <c r="Q43" s="1444" t="s">
        <v>4054</v>
      </c>
      <c r="R43" s="1190"/>
      <c r="S43" s="1191"/>
    </row>
    <row r="44" spans="3:19" s="458" customFormat="1" ht="12.6" customHeight="1">
      <c r="D44" s="508"/>
      <c r="E44" s="464" t="s">
        <v>954</v>
      </c>
      <c r="H44" s="1444" t="s">
        <v>4056</v>
      </c>
      <c r="I44" s="1190"/>
      <c r="J44" s="1191"/>
      <c r="O44" s="716" t="s">
        <v>2835</v>
      </c>
      <c r="Q44" s="1477"/>
      <c r="R44" s="1478"/>
      <c r="S44" s="1479"/>
    </row>
    <row r="45" spans="3:19" s="458" customFormat="1" ht="12.6" customHeight="1">
      <c r="D45" s="461"/>
      <c r="E45" s="464" t="s">
        <v>2831</v>
      </c>
      <c r="H45" s="1441" t="s">
        <v>1433</v>
      </c>
      <c r="I45" s="493" t="s">
        <v>3354</v>
      </c>
      <c r="J45" s="1480">
        <v>900672909</v>
      </c>
      <c r="K45" s="1191"/>
      <c r="O45" s="716" t="s">
        <v>3056</v>
      </c>
      <c r="Q45" s="1477">
        <v>3107175578</v>
      </c>
      <c r="R45" s="1478"/>
      <c r="S45" s="1479"/>
    </row>
    <row r="46" spans="3:19" s="458" customFormat="1" ht="12.6" customHeight="1">
      <c r="D46" s="508"/>
      <c r="E46" s="464" t="s">
        <v>3062</v>
      </c>
      <c r="H46" s="1477">
        <v>4242044349</v>
      </c>
      <c r="I46" s="1479"/>
      <c r="J46" s="1485"/>
      <c r="K46" s="721" t="s">
        <v>2834</v>
      </c>
      <c r="L46" s="1477">
        <v>4242044390</v>
      </c>
      <c r="M46" s="1479"/>
      <c r="N46" s="466" t="s">
        <v>3061</v>
      </c>
      <c r="O46" s="1492" t="s">
        <v>4057</v>
      </c>
      <c r="P46" s="1493"/>
      <c r="Q46" s="1493"/>
      <c r="R46" s="1493"/>
      <c r="S46" s="1494"/>
    </row>
    <row r="47" spans="3:19" s="458" customFormat="1" ht="4.1500000000000004" customHeight="1">
      <c r="D47" s="508"/>
      <c r="E47" s="464"/>
      <c r="F47" s="461"/>
      <c r="H47" s="501"/>
      <c r="I47" s="501"/>
      <c r="J47" s="1495"/>
      <c r="K47" s="721"/>
      <c r="L47" s="501"/>
      <c r="M47" s="501"/>
      <c r="N47" s="721"/>
      <c r="O47" s="501"/>
      <c r="P47" s="501"/>
      <c r="Q47" s="721"/>
      <c r="R47" s="501"/>
      <c r="S47" s="501"/>
    </row>
    <row r="48" spans="3:19" s="458" customFormat="1" ht="13.15" customHeight="1">
      <c r="C48" s="512" t="s">
        <v>3822</v>
      </c>
      <c r="D48" s="506" t="s">
        <v>995</v>
      </c>
      <c r="H48" s="723"/>
      <c r="I48" s="723"/>
      <c r="J48" s="723"/>
      <c r="K48" s="723"/>
      <c r="L48" s="723"/>
      <c r="M48" s="723"/>
    </row>
    <row r="49" spans="1:19" s="458" customFormat="1" ht="4.1500000000000004" customHeight="1">
      <c r="D49" s="512"/>
      <c r="E49" s="511"/>
      <c r="H49" s="1488"/>
      <c r="I49" s="1488"/>
      <c r="J49" s="1488"/>
      <c r="K49" s="719"/>
      <c r="L49" s="1488"/>
      <c r="M49" s="1488"/>
      <c r="N49" s="719"/>
      <c r="O49" s="1489"/>
      <c r="P49" s="1489"/>
      <c r="Q49" s="721"/>
      <c r="R49" s="1489"/>
      <c r="S49" s="1489"/>
    </row>
    <row r="50" spans="1:19" s="458" customFormat="1" ht="12.6" customHeight="1">
      <c r="E50" s="458" t="s">
        <v>103</v>
      </c>
      <c r="H50" s="1444" t="s">
        <v>3931</v>
      </c>
      <c r="I50" s="1190"/>
      <c r="J50" s="1190"/>
      <c r="K50" s="1190"/>
      <c r="L50" s="1190"/>
      <c r="M50" s="1190"/>
      <c r="N50" s="1191"/>
      <c r="O50" s="716" t="s">
        <v>3067</v>
      </c>
      <c r="P50" s="716"/>
      <c r="Q50" s="1444" t="s">
        <v>3964</v>
      </c>
      <c r="R50" s="1190"/>
      <c r="S50" s="1191"/>
    </row>
    <row r="51" spans="1:19" s="458" customFormat="1" ht="12.6" customHeight="1">
      <c r="D51" s="508"/>
      <c r="E51" s="464" t="s">
        <v>1642</v>
      </c>
      <c r="F51" s="472"/>
      <c r="H51" s="1444" t="s">
        <v>3965</v>
      </c>
      <c r="I51" s="1190"/>
      <c r="J51" s="1190"/>
      <c r="K51" s="1190"/>
      <c r="L51" s="1190"/>
      <c r="M51" s="1190"/>
      <c r="N51" s="1191"/>
      <c r="O51" s="716" t="s">
        <v>2776</v>
      </c>
      <c r="Q51" s="1444" t="s">
        <v>3968</v>
      </c>
      <c r="R51" s="1190"/>
      <c r="S51" s="1191"/>
    </row>
    <row r="52" spans="1:19" s="458" customFormat="1" ht="12.6" customHeight="1">
      <c r="D52" s="508"/>
      <c r="E52" s="464" t="s">
        <v>954</v>
      </c>
      <c r="H52" s="1444" t="s">
        <v>2022</v>
      </c>
      <c r="I52" s="1190"/>
      <c r="J52" s="1191"/>
      <c r="O52" s="716" t="s">
        <v>2835</v>
      </c>
      <c r="Q52" s="1477">
        <v>4787525060</v>
      </c>
      <c r="R52" s="1478"/>
      <c r="S52" s="1479"/>
    </row>
    <row r="53" spans="1:19" s="458" customFormat="1" ht="12.6" customHeight="1">
      <c r="E53" s="464" t="s">
        <v>2831</v>
      </c>
      <c r="H53" s="1441" t="s">
        <v>1439</v>
      </c>
      <c r="I53" s="493" t="s">
        <v>3354</v>
      </c>
      <c r="J53" s="1480">
        <v>312084928</v>
      </c>
      <c r="K53" s="1481"/>
      <c r="O53" s="716" t="s">
        <v>3056</v>
      </c>
      <c r="Q53" s="1477">
        <v>4787148005</v>
      </c>
      <c r="R53" s="1478"/>
      <c r="S53" s="1479"/>
    </row>
    <row r="54" spans="1:19" s="458" customFormat="1" ht="12.6" customHeight="1">
      <c r="D54" s="508"/>
      <c r="E54" s="464" t="s">
        <v>3062</v>
      </c>
      <c r="H54" s="1483">
        <v>4787525060</v>
      </c>
      <c r="I54" s="1484"/>
      <c r="J54" s="1485"/>
      <c r="K54" s="721" t="s">
        <v>2834</v>
      </c>
      <c r="L54" s="1477">
        <v>4787525066</v>
      </c>
      <c r="M54" s="1479"/>
      <c r="N54" s="466" t="s">
        <v>3061</v>
      </c>
      <c r="O54" s="1444" t="s">
        <v>3966</v>
      </c>
      <c r="P54" s="1445"/>
      <c r="Q54" s="1445"/>
      <c r="R54" s="1445"/>
      <c r="S54" s="1446"/>
    </row>
    <row r="55" spans="1:19" ht="13.15" customHeight="1"/>
    <row r="56" spans="1:19" s="458" customFormat="1" ht="13.15" customHeight="1">
      <c r="A56" s="461" t="s">
        <v>1230</v>
      </c>
      <c r="B56" s="461" t="s">
        <v>996</v>
      </c>
      <c r="F56" s="461"/>
      <c r="G56" s="721"/>
      <c r="H56" s="721"/>
      <c r="I56" s="721"/>
      <c r="J56" s="723"/>
      <c r="K56" s="723"/>
      <c r="L56" s="723"/>
      <c r="M56" s="723"/>
      <c r="N56" s="723"/>
      <c r="O56" s="723"/>
      <c r="P56" s="723"/>
      <c r="Q56" s="723"/>
      <c r="R56" s="723"/>
      <c r="S56" s="723"/>
    </row>
    <row r="57" spans="1:19" s="458" customFormat="1" ht="9" customHeight="1">
      <c r="A57" s="461"/>
      <c r="B57" s="461"/>
      <c r="F57" s="461"/>
      <c r="G57" s="721"/>
      <c r="H57" s="1488"/>
      <c r="I57" s="1488"/>
      <c r="J57" s="1488"/>
      <c r="K57" s="719"/>
      <c r="L57" s="1488"/>
      <c r="M57" s="1488"/>
      <c r="N57" s="719"/>
      <c r="O57" s="1489"/>
      <c r="P57" s="1489"/>
      <c r="Q57" s="721"/>
      <c r="R57" s="1489"/>
      <c r="S57" s="1489"/>
    </row>
    <row r="58" spans="1:19" s="458" customFormat="1" ht="13.15" customHeight="1">
      <c r="B58" s="461" t="s">
        <v>3060</v>
      </c>
      <c r="C58" s="461" t="s">
        <v>376</v>
      </c>
      <c r="H58" s="1444" t="s">
        <v>3931</v>
      </c>
      <c r="I58" s="1190"/>
      <c r="J58" s="1190"/>
      <c r="K58" s="1190"/>
      <c r="L58" s="1190"/>
      <c r="M58" s="1190"/>
      <c r="N58" s="1191"/>
      <c r="O58" s="716" t="s">
        <v>3067</v>
      </c>
      <c r="P58" s="716"/>
      <c r="Q58" s="1444" t="s">
        <v>3964</v>
      </c>
      <c r="R58" s="1190"/>
      <c r="S58" s="1191"/>
    </row>
    <row r="59" spans="1:19" s="458" customFormat="1" ht="13.15" customHeight="1">
      <c r="D59" s="508"/>
      <c r="E59" s="464" t="s">
        <v>1642</v>
      </c>
      <c r="F59" s="472"/>
      <c r="H59" s="1444" t="s">
        <v>3965</v>
      </c>
      <c r="I59" s="1190"/>
      <c r="J59" s="1190"/>
      <c r="K59" s="1190"/>
      <c r="L59" s="1190"/>
      <c r="M59" s="1190"/>
      <c r="N59" s="1191"/>
      <c r="O59" s="716" t="s">
        <v>2776</v>
      </c>
      <c r="Q59" s="1444" t="s">
        <v>3968</v>
      </c>
      <c r="R59" s="1190"/>
      <c r="S59" s="1191"/>
    </row>
    <row r="60" spans="1:19" s="458" customFormat="1" ht="13.15" customHeight="1">
      <c r="D60" s="508"/>
      <c r="E60" s="464" t="s">
        <v>954</v>
      </c>
      <c r="H60" s="1444" t="s">
        <v>2022</v>
      </c>
      <c r="I60" s="1190"/>
      <c r="J60" s="1191"/>
      <c r="O60" s="716" t="s">
        <v>2835</v>
      </c>
      <c r="Q60" s="1477">
        <v>4787525060</v>
      </c>
      <c r="R60" s="1478"/>
      <c r="S60" s="1479"/>
    </row>
    <row r="61" spans="1:19" s="458" customFormat="1" ht="13.15" customHeight="1">
      <c r="E61" s="464" t="s">
        <v>2831</v>
      </c>
      <c r="H61" s="1441" t="s">
        <v>1439</v>
      </c>
      <c r="I61" s="493" t="s">
        <v>3354</v>
      </c>
      <c r="J61" s="1480">
        <v>312084928</v>
      </c>
      <c r="K61" s="1481"/>
      <c r="O61" s="716" t="s">
        <v>3056</v>
      </c>
      <c r="Q61" s="1477">
        <v>4787148005</v>
      </c>
      <c r="R61" s="1478"/>
      <c r="S61" s="1479"/>
    </row>
    <row r="62" spans="1:19" s="458" customFormat="1" ht="13.15" customHeight="1">
      <c r="D62" s="508"/>
      <c r="E62" s="464" t="s">
        <v>3062</v>
      </c>
      <c r="H62" s="1483">
        <v>4787525060</v>
      </c>
      <c r="I62" s="1484"/>
      <c r="J62" s="1485"/>
      <c r="K62" s="721" t="s">
        <v>2834</v>
      </c>
      <c r="L62" s="1477">
        <v>4787525066</v>
      </c>
      <c r="M62" s="1479"/>
      <c r="N62" s="466" t="s">
        <v>3061</v>
      </c>
      <c r="O62" s="1444" t="s">
        <v>3966</v>
      </c>
      <c r="P62" s="1445"/>
      <c r="Q62" s="1445"/>
      <c r="R62" s="1445"/>
      <c r="S62" s="1446"/>
    </row>
    <row r="63" spans="1:19" s="458" customFormat="1" ht="6.6" customHeight="1">
      <c r="D63" s="508"/>
      <c r="E63" s="723"/>
      <c r="F63" s="723"/>
      <c r="G63" s="716"/>
      <c r="H63" s="1490"/>
      <c r="I63" s="1490"/>
      <c r="J63" s="1490"/>
      <c r="K63" s="721"/>
      <c r="L63" s="1490"/>
      <c r="M63" s="1490"/>
      <c r="N63" s="719"/>
      <c r="O63" s="1489"/>
      <c r="P63" s="1489"/>
      <c r="Q63" s="721"/>
      <c r="R63" s="1489"/>
      <c r="S63" s="1489"/>
    </row>
    <row r="64" spans="1:19" s="458" customFormat="1" ht="13.15" customHeight="1">
      <c r="B64" s="461" t="s">
        <v>3063</v>
      </c>
      <c r="C64" s="461" t="s">
        <v>377</v>
      </c>
      <c r="H64" s="1444" t="s">
        <v>3977</v>
      </c>
      <c r="I64" s="1190"/>
      <c r="J64" s="1190"/>
      <c r="K64" s="1190"/>
      <c r="L64" s="1190"/>
      <c r="M64" s="1190"/>
      <c r="N64" s="1191"/>
      <c r="O64" s="716" t="s">
        <v>3067</v>
      </c>
      <c r="P64" s="716"/>
      <c r="Q64" s="1444"/>
      <c r="R64" s="1190"/>
      <c r="S64" s="1191"/>
    </row>
    <row r="65" spans="2:19" s="458" customFormat="1" ht="13.15" customHeight="1">
      <c r="D65" s="508"/>
      <c r="E65" s="464" t="s">
        <v>1642</v>
      </c>
      <c r="F65" s="472"/>
      <c r="H65" s="1444"/>
      <c r="I65" s="1190"/>
      <c r="J65" s="1190"/>
      <c r="K65" s="1190"/>
      <c r="L65" s="1190"/>
      <c r="M65" s="1190"/>
      <c r="N65" s="1191"/>
      <c r="O65" s="716" t="s">
        <v>2776</v>
      </c>
      <c r="Q65" s="1444"/>
      <c r="R65" s="1190"/>
      <c r="S65" s="1191"/>
    </row>
    <row r="66" spans="2:19" s="458" customFormat="1" ht="13.15" customHeight="1">
      <c r="D66" s="508"/>
      <c r="E66" s="464" t="s">
        <v>954</v>
      </c>
      <c r="H66" s="1444"/>
      <c r="I66" s="1190"/>
      <c r="J66" s="1191"/>
      <c r="O66" s="716" t="s">
        <v>2835</v>
      </c>
      <c r="Q66" s="1477"/>
      <c r="R66" s="1478"/>
      <c r="S66" s="1479"/>
    </row>
    <row r="67" spans="2:19" s="458" customFormat="1" ht="13.15" customHeight="1">
      <c r="E67" s="464" t="s">
        <v>2831</v>
      </c>
      <c r="H67" s="1441"/>
      <c r="I67" s="493" t="s">
        <v>3354</v>
      </c>
      <c r="J67" s="1480"/>
      <c r="K67" s="1191"/>
      <c r="O67" s="716" t="s">
        <v>3056</v>
      </c>
      <c r="Q67" s="1477"/>
      <c r="R67" s="1478"/>
      <c r="S67" s="1479"/>
    </row>
    <row r="68" spans="2:19" s="458" customFormat="1" ht="13.15" customHeight="1">
      <c r="D68" s="508"/>
      <c r="E68" s="464" t="s">
        <v>3062</v>
      </c>
      <c r="H68" s="1477"/>
      <c r="I68" s="1479"/>
      <c r="J68" s="1485"/>
      <c r="K68" s="721" t="s">
        <v>2834</v>
      </c>
      <c r="L68" s="1491"/>
      <c r="M68" s="1191"/>
      <c r="N68" s="466" t="s">
        <v>3061</v>
      </c>
      <c r="O68" s="1492"/>
      <c r="P68" s="1493"/>
      <c r="Q68" s="1493"/>
      <c r="R68" s="1493"/>
      <c r="S68" s="1494"/>
    </row>
    <row r="69" spans="2:19" s="458" customFormat="1" ht="6.6" customHeight="1">
      <c r="D69" s="508"/>
      <c r="E69" s="723"/>
      <c r="F69" s="723"/>
      <c r="G69" s="716"/>
      <c r="H69" s="1490"/>
      <c r="I69" s="1490"/>
      <c r="J69" s="1490"/>
      <c r="K69" s="721"/>
      <c r="L69" s="1490"/>
      <c r="M69" s="1490"/>
      <c r="N69" s="719"/>
      <c r="O69" s="1489"/>
      <c r="P69" s="1489"/>
      <c r="Q69" s="721"/>
      <c r="R69" s="1489"/>
      <c r="S69" s="1489"/>
    </row>
    <row r="70" spans="2:19" s="458" customFormat="1" ht="13.15" customHeight="1">
      <c r="B70" s="461" t="s">
        <v>1239</v>
      </c>
      <c r="C70" s="461" t="s">
        <v>2280</v>
      </c>
      <c r="H70" s="1444" t="s">
        <v>3977</v>
      </c>
      <c r="I70" s="1190"/>
      <c r="J70" s="1190"/>
      <c r="K70" s="1190"/>
      <c r="L70" s="1190"/>
      <c r="M70" s="1190"/>
      <c r="N70" s="1191"/>
      <c r="O70" s="716" t="s">
        <v>3067</v>
      </c>
      <c r="P70" s="716"/>
      <c r="Q70" s="1444"/>
      <c r="R70" s="1190"/>
      <c r="S70" s="1191"/>
    </row>
    <row r="71" spans="2:19" s="458" customFormat="1" ht="13.15" customHeight="1">
      <c r="D71" s="508"/>
      <c r="E71" s="464" t="s">
        <v>1642</v>
      </c>
      <c r="F71" s="472"/>
      <c r="H71" s="1444"/>
      <c r="I71" s="1190"/>
      <c r="J71" s="1190"/>
      <c r="K71" s="1190"/>
      <c r="L71" s="1190"/>
      <c r="M71" s="1190"/>
      <c r="N71" s="1191"/>
      <c r="O71" s="716" t="s">
        <v>2776</v>
      </c>
      <c r="Q71" s="1444"/>
      <c r="R71" s="1190"/>
      <c r="S71" s="1191"/>
    </row>
    <row r="72" spans="2:19" s="458" customFormat="1" ht="13.15" customHeight="1">
      <c r="D72" s="508"/>
      <c r="E72" s="464" t="s">
        <v>954</v>
      </c>
      <c r="H72" s="1444"/>
      <c r="I72" s="1190"/>
      <c r="J72" s="1191"/>
      <c r="O72" s="716" t="s">
        <v>2835</v>
      </c>
      <c r="Q72" s="1477"/>
      <c r="R72" s="1478"/>
      <c r="S72" s="1479"/>
    </row>
    <row r="73" spans="2:19" s="458" customFormat="1" ht="13.15" customHeight="1">
      <c r="E73" s="464" t="s">
        <v>2831</v>
      </c>
      <c r="H73" s="1441"/>
      <c r="I73" s="493" t="s">
        <v>3354</v>
      </c>
      <c r="J73" s="1480"/>
      <c r="K73" s="1191"/>
      <c r="O73" s="716" t="s">
        <v>3056</v>
      </c>
      <c r="Q73" s="1477"/>
      <c r="R73" s="1478"/>
      <c r="S73" s="1479"/>
    </row>
    <row r="74" spans="2:19" s="458" customFormat="1" ht="13.15" customHeight="1">
      <c r="D74" s="508"/>
      <c r="E74" s="464" t="s">
        <v>3062</v>
      </c>
      <c r="H74" s="1477"/>
      <c r="I74" s="1479"/>
      <c r="J74" s="1485"/>
      <c r="K74" s="721" t="s">
        <v>2834</v>
      </c>
      <c r="L74" s="1491"/>
      <c r="M74" s="1191"/>
      <c r="N74" s="466" t="s">
        <v>3061</v>
      </c>
      <c r="O74" s="1492"/>
      <c r="P74" s="1493"/>
      <c r="Q74" s="1493"/>
      <c r="R74" s="1493"/>
      <c r="S74" s="1494"/>
    </row>
    <row r="75" spans="2:19" ht="6.6" customHeight="1">
      <c r="H75" s="1490"/>
      <c r="I75" s="1490"/>
      <c r="J75" s="1490"/>
      <c r="K75" s="721"/>
      <c r="L75" s="1490"/>
      <c r="M75" s="1490"/>
      <c r="N75" s="719"/>
      <c r="O75" s="1489"/>
      <c r="P75" s="1489"/>
      <c r="Q75" s="721"/>
      <c r="R75" s="1489"/>
      <c r="S75" s="1489"/>
    </row>
    <row r="76" spans="2:19" s="458" customFormat="1" ht="13.15" customHeight="1">
      <c r="B76" s="461" t="s">
        <v>3212</v>
      </c>
      <c r="C76" s="461" t="s">
        <v>378</v>
      </c>
      <c r="H76" s="1444" t="s">
        <v>3930</v>
      </c>
      <c r="I76" s="1190"/>
      <c r="J76" s="1190"/>
      <c r="K76" s="1190"/>
      <c r="L76" s="1190"/>
      <c r="M76" s="1190"/>
      <c r="N76" s="1191"/>
      <c r="O76" s="716" t="s">
        <v>3067</v>
      </c>
      <c r="P76" s="716"/>
      <c r="Q76" s="1444" t="s">
        <v>3970</v>
      </c>
      <c r="R76" s="1190"/>
      <c r="S76" s="1191"/>
    </row>
    <row r="77" spans="2:19" s="458" customFormat="1" ht="13.15" customHeight="1">
      <c r="D77" s="508"/>
      <c r="E77" s="464" t="s">
        <v>1642</v>
      </c>
      <c r="F77" s="472"/>
      <c r="H77" s="1444" t="s">
        <v>3921</v>
      </c>
      <c r="I77" s="1190"/>
      <c r="J77" s="1190"/>
      <c r="K77" s="1190"/>
      <c r="L77" s="1190"/>
      <c r="M77" s="1190"/>
      <c r="N77" s="1191"/>
      <c r="O77" s="716" t="s">
        <v>2776</v>
      </c>
      <c r="Q77" s="1444" t="s">
        <v>3968</v>
      </c>
      <c r="R77" s="1190"/>
      <c r="S77" s="1191"/>
    </row>
    <row r="78" spans="2:19" s="458" customFormat="1" ht="13.15" customHeight="1">
      <c r="D78" s="508"/>
      <c r="E78" s="464" t="s">
        <v>954</v>
      </c>
      <c r="H78" s="1444" t="s">
        <v>254</v>
      </c>
      <c r="I78" s="1190"/>
      <c r="J78" s="1191"/>
      <c r="O78" s="716" t="s">
        <v>2835</v>
      </c>
      <c r="Q78" s="1477">
        <v>4049976786</v>
      </c>
      <c r="R78" s="1478"/>
      <c r="S78" s="1479"/>
    </row>
    <row r="79" spans="2:19" s="458" customFormat="1" ht="13.15" customHeight="1">
      <c r="E79" s="464" t="s">
        <v>2831</v>
      </c>
      <c r="H79" s="1441" t="s">
        <v>1439</v>
      </c>
      <c r="I79" s="493" t="s">
        <v>3354</v>
      </c>
      <c r="J79" s="1480">
        <v>300323909</v>
      </c>
      <c r="K79" s="1191"/>
      <c r="O79" s="716" t="s">
        <v>3056</v>
      </c>
      <c r="Q79" s="1477"/>
      <c r="R79" s="1478"/>
      <c r="S79" s="1479"/>
    </row>
    <row r="80" spans="2:19" s="458" customFormat="1" ht="13.15" customHeight="1">
      <c r="D80" s="508"/>
      <c r="E80" s="464" t="s">
        <v>3062</v>
      </c>
      <c r="H80" s="1477">
        <v>4049976786</v>
      </c>
      <c r="I80" s="1479"/>
      <c r="J80" s="1485"/>
      <c r="K80" s="721" t="s">
        <v>2834</v>
      </c>
      <c r="L80" s="1491">
        <v>4044927187</v>
      </c>
      <c r="M80" s="1191"/>
      <c r="N80" s="466" t="s">
        <v>3061</v>
      </c>
      <c r="O80" s="1492" t="s">
        <v>3971</v>
      </c>
      <c r="P80" s="1493"/>
      <c r="Q80" s="1493"/>
      <c r="R80" s="1493"/>
      <c r="S80" s="1494"/>
    </row>
    <row r="81" spans="1:19" ht="13.15" customHeight="1"/>
    <row r="82" spans="1:19" s="464" customFormat="1" ht="13.15" customHeight="1">
      <c r="A82" s="465" t="s">
        <v>1232</v>
      </c>
      <c r="B82" s="465" t="s">
        <v>379</v>
      </c>
      <c r="D82" s="465"/>
      <c r="E82" s="716"/>
      <c r="F82" s="395"/>
      <c r="G82" s="395"/>
      <c r="H82" s="395"/>
      <c r="I82" s="395"/>
      <c r="J82" s="395"/>
      <c r="K82" s="395"/>
      <c r="L82" s="395"/>
      <c r="M82" s="395"/>
    </row>
    <row r="83" spans="1:19" s="464" customFormat="1" ht="9" customHeight="1">
      <c r="A83" s="465"/>
      <c r="B83" s="465"/>
      <c r="D83" s="465"/>
      <c r="E83" s="716"/>
      <c r="F83" s="395"/>
      <c r="G83" s="395"/>
      <c r="H83" s="1488"/>
      <c r="I83" s="1488"/>
      <c r="J83" s="1488"/>
      <c r="K83" s="719"/>
      <c r="L83" s="1488"/>
      <c r="M83" s="1488"/>
      <c r="N83" s="719"/>
      <c r="O83" s="1489"/>
      <c r="P83" s="1489"/>
      <c r="Q83" s="721"/>
      <c r="R83" s="1489"/>
      <c r="S83" s="1489"/>
    </row>
    <row r="84" spans="1:19" s="458" customFormat="1" ht="13.15" customHeight="1">
      <c r="B84" s="461" t="s">
        <v>3060</v>
      </c>
      <c r="C84" s="461" t="s">
        <v>380</v>
      </c>
      <c r="H84" s="1444" t="s">
        <v>3977</v>
      </c>
      <c r="I84" s="1190"/>
      <c r="J84" s="1190"/>
      <c r="K84" s="1190"/>
      <c r="L84" s="1190"/>
      <c r="M84" s="1190"/>
      <c r="N84" s="1191"/>
      <c r="O84" s="716" t="s">
        <v>3067</v>
      </c>
      <c r="P84" s="716"/>
      <c r="Q84" s="1444"/>
      <c r="R84" s="1190"/>
      <c r="S84" s="1191"/>
    </row>
    <row r="85" spans="1:19" s="458" customFormat="1" ht="13.15" customHeight="1">
      <c r="D85" s="508"/>
      <c r="E85" s="464" t="s">
        <v>1642</v>
      </c>
      <c r="F85" s="472"/>
      <c r="H85" s="1444"/>
      <c r="I85" s="1190"/>
      <c r="J85" s="1190"/>
      <c r="K85" s="1190"/>
      <c r="L85" s="1190"/>
      <c r="M85" s="1190"/>
      <c r="N85" s="1191"/>
      <c r="O85" s="716" t="s">
        <v>2776</v>
      </c>
      <c r="Q85" s="1444"/>
      <c r="R85" s="1190"/>
      <c r="S85" s="1191"/>
    </row>
    <row r="86" spans="1:19" s="458" customFormat="1" ht="13.15" customHeight="1">
      <c r="D86" s="508"/>
      <c r="E86" s="464" t="s">
        <v>954</v>
      </c>
      <c r="H86" s="1444"/>
      <c r="I86" s="1190"/>
      <c r="J86" s="1191"/>
      <c r="O86" s="716" t="s">
        <v>2835</v>
      </c>
      <c r="Q86" s="1477"/>
      <c r="R86" s="1478"/>
      <c r="S86" s="1479"/>
    </row>
    <row r="87" spans="1:19" s="458" customFormat="1" ht="13.15" customHeight="1">
      <c r="E87" s="464" t="s">
        <v>2831</v>
      </c>
      <c r="H87" s="1441"/>
      <c r="I87" s="493" t="s">
        <v>3354</v>
      </c>
      <c r="J87" s="1480"/>
      <c r="K87" s="1191"/>
      <c r="O87" s="716" t="s">
        <v>3056</v>
      </c>
      <c r="Q87" s="1477"/>
      <c r="R87" s="1478"/>
      <c r="S87" s="1479"/>
    </row>
    <row r="88" spans="1:19" s="458" customFormat="1" ht="13.15" customHeight="1">
      <c r="D88" s="508"/>
      <c r="E88" s="464" t="s">
        <v>3062</v>
      </c>
      <c r="H88" s="1477"/>
      <c r="I88" s="1479"/>
      <c r="J88" s="1485"/>
      <c r="K88" s="721" t="s">
        <v>2834</v>
      </c>
      <c r="L88" s="1491"/>
      <c r="M88" s="1191"/>
      <c r="N88" s="466" t="s">
        <v>3061</v>
      </c>
      <c r="O88" s="1492"/>
      <c r="P88" s="1493"/>
      <c r="Q88" s="1493"/>
      <c r="R88" s="1493"/>
      <c r="S88" s="1494"/>
    </row>
    <row r="89" spans="1:19" ht="6.6" customHeight="1">
      <c r="H89" s="1490"/>
      <c r="I89" s="1490"/>
      <c r="J89" s="1490"/>
      <c r="K89" s="721"/>
      <c r="L89" s="1490"/>
      <c r="M89" s="1490"/>
      <c r="N89" s="719"/>
      <c r="O89" s="1489"/>
      <c r="P89" s="1489"/>
      <c r="Q89" s="721"/>
      <c r="R89" s="1489"/>
      <c r="S89" s="1489"/>
    </row>
    <row r="90" spans="1:19" s="458" customFormat="1" ht="13.15" customHeight="1">
      <c r="B90" s="461" t="s">
        <v>3063</v>
      </c>
      <c r="C90" s="461" t="s">
        <v>381</v>
      </c>
      <c r="H90" s="1444" t="s">
        <v>3938</v>
      </c>
      <c r="I90" s="1190"/>
      <c r="J90" s="1190"/>
      <c r="K90" s="1190"/>
      <c r="L90" s="1190"/>
      <c r="M90" s="1190"/>
      <c r="N90" s="1191"/>
      <c r="O90" s="716" t="s">
        <v>3067</v>
      </c>
      <c r="P90" s="716"/>
      <c r="Q90" s="1444"/>
      <c r="R90" s="1190"/>
      <c r="S90" s="1191"/>
    </row>
    <row r="91" spans="1:19" s="458" customFormat="1" ht="13.15" customHeight="1">
      <c r="D91" s="508"/>
      <c r="E91" s="464" t="s">
        <v>1642</v>
      </c>
      <c r="F91" s="472"/>
      <c r="H91" s="1444"/>
      <c r="I91" s="1190"/>
      <c r="J91" s="1190"/>
      <c r="K91" s="1190"/>
      <c r="L91" s="1190"/>
      <c r="M91" s="1190"/>
      <c r="N91" s="1191"/>
      <c r="O91" s="716" t="s">
        <v>2776</v>
      </c>
      <c r="Q91" s="1444"/>
      <c r="R91" s="1190"/>
      <c r="S91" s="1191"/>
    </row>
    <row r="92" spans="1:19" s="458" customFormat="1" ht="13.15" customHeight="1">
      <c r="D92" s="508"/>
      <c r="E92" s="464" t="s">
        <v>954</v>
      </c>
      <c r="H92" s="1444"/>
      <c r="I92" s="1190"/>
      <c r="J92" s="1191"/>
      <c r="O92" s="716" t="s">
        <v>2835</v>
      </c>
      <c r="Q92" s="1477"/>
      <c r="R92" s="1478"/>
      <c r="S92" s="1479"/>
    </row>
    <row r="93" spans="1:19" s="458" customFormat="1" ht="13.15" customHeight="1">
      <c r="E93" s="464" t="s">
        <v>2831</v>
      </c>
      <c r="H93" s="1441"/>
      <c r="I93" s="493" t="s">
        <v>3354</v>
      </c>
      <c r="J93" s="1480"/>
      <c r="K93" s="1191"/>
      <c r="O93" s="716" t="s">
        <v>3056</v>
      </c>
      <c r="Q93" s="1477"/>
      <c r="R93" s="1478"/>
      <c r="S93" s="1479"/>
    </row>
    <row r="94" spans="1:19" s="458" customFormat="1" ht="13.15" customHeight="1">
      <c r="D94" s="508"/>
      <c r="E94" s="464" t="s">
        <v>3062</v>
      </c>
      <c r="H94" s="1477"/>
      <c r="I94" s="1479"/>
      <c r="J94" s="1485"/>
      <c r="K94" s="721" t="s">
        <v>2834</v>
      </c>
      <c r="L94" s="1491"/>
      <c r="M94" s="1191"/>
      <c r="N94" s="466" t="s">
        <v>3061</v>
      </c>
      <c r="O94" s="1492"/>
      <c r="P94" s="1493"/>
      <c r="Q94" s="1493"/>
      <c r="R94" s="1493"/>
      <c r="S94" s="1494"/>
    </row>
    <row r="95" spans="1:19" ht="6.6" customHeight="1">
      <c r="H95" s="1490"/>
      <c r="I95" s="1490"/>
      <c r="J95" s="1490"/>
      <c r="K95" s="721"/>
      <c r="L95" s="1490"/>
      <c r="M95" s="1490"/>
      <c r="N95" s="719"/>
      <c r="O95" s="1489"/>
      <c r="P95" s="1489"/>
      <c r="Q95" s="721"/>
      <c r="R95" s="1489"/>
      <c r="S95" s="1489"/>
    </row>
    <row r="96" spans="1:19" s="458" customFormat="1" ht="13.15" customHeight="1">
      <c r="B96" s="461" t="s">
        <v>1239</v>
      </c>
      <c r="C96" s="461" t="s">
        <v>382</v>
      </c>
      <c r="F96" s="482"/>
      <c r="H96" s="1444" t="s">
        <v>3981</v>
      </c>
      <c r="I96" s="1190"/>
      <c r="J96" s="1190"/>
      <c r="K96" s="1190"/>
      <c r="L96" s="1190"/>
      <c r="M96" s="1190"/>
      <c r="N96" s="1191"/>
      <c r="O96" s="716" t="s">
        <v>3067</v>
      </c>
      <c r="P96" s="716"/>
      <c r="Q96" s="1444" t="s">
        <v>3982</v>
      </c>
      <c r="R96" s="1190"/>
      <c r="S96" s="1191"/>
    </row>
    <row r="97" spans="2:19" s="458" customFormat="1" ht="13.15" customHeight="1">
      <c r="D97" s="508"/>
      <c r="E97" s="464" t="s">
        <v>1642</v>
      </c>
      <c r="F97" s="472"/>
      <c r="H97" s="1444" t="s">
        <v>3983</v>
      </c>
      <c r="I97" s="1190"/>
      <c r="J97" s="1190"/>
      <c r="K97" s="1190"/>
      <c r="L97" s="1190"/>
      <c r="M97" s="1190"/>
      <c r="N97" s="1191"/>
      <c r="O97" s="716" t="s">
        <v>2776</v>
      </c>
      <c r="Q97" s="1444" t="s">
        <v>3968</v>
      </c>
      <c r="R97" s="1190"/>
      <c r="S97" s="1191"/>
    </row>
    <row r="98" spans="2:19" s="458" customFormat="1" ht="13.15" customHeight="1">
      <c r="D98" s="508"/>
      <c r="E98" s="464" t="s">
        <v>954</v>
      </c>
      <c r="H98" s="1444" t="s">
        <v>1643</v>
      </c>
      <c r="I98" s="1190"/>
      <c r="J98" s="1191"/>
      <c r="O98" s="716" t="s">
        <v>2835</v>
      </c>
      <c r="Q98" s="1477">
        <v>7703862921</v>
      </c>
      <c r="R98" s="1478"/>
      <c r="S98" s="1479"/>
    </row>
    <row r="99" spans="2:19" s="458" customFormat="1" ht="13.15" customHeight="1">
      <c r="D99" s="508"/>
      <c r="E99" s="464" t="s">
        <v>2831</v>
      </c>
      <c r="H99" s="1441" t="s">
        <v>1439</v>
      </c>
      <c r="I99" s="493" t="s">
        <v>3354</v>
      </c>
      <c r="J99" s="1480">
        <v>301204886</v>
      </c>
      <c r="K99" s="1191"/>
      <c r="O99" s="716" t="s">
        <v>3056</v>
      </c>
      <c r="Q99" s="1477">
        <v>7705478461</v>
      </c>
      <c r="R99" s="1478"/>
      <c r="S99" s="1479"/>
    </row>
    <row r="100" spans="2:19" s="458" customFormat="1" ht="13.15" customHeight="1">
      <c r="D100" s="508"/>
      <c r="E100" s="464" t="s">
        <v>3062</v>
      </c>
      <c r="H100" s="1477">
        <v>7703862921</v>
      </c>
      <c r="I100" s="1479"/>
      <c r="J100" s="1485"/>
      <c r="K100" s="721" t="s">
        <v>2834</v>
      </c>
      <c r="L100" s="1491">
        <v>7703861937</v>
      </c>
      <c r="M100" s="1191"/>
      <c r="N100" s="466" t="s">
        <v>3061</v>
      </c>
      <c r="O100" s="1492" t="s">
        <v>3984</v>
      </c>
      <c r="P100" s="1493"/>
      <c r="Q100" s="1493"/>
      <c r="R100" s="1493"/>
      <c r="S100" s="1494"/>
    </row>
    <row r="101" spans="2:19" ht="6.6" customHeight="1">
      <c r="H101" s="1490"/>
      <c r="I101" s="1490"/>
      <c r="J101" s="1490"/>
      <c r="K101" s="721"/>
      <c r="L101" s="1490"/>
      <c r="M101" s="1490"/>
      <c r="N101" s="719"/>
      <c r="O101" s="1489"/>
      <c r="P101" s="1489"/>
      <c r="Q101" s="721"/>
      <c r="R101" s="1489"/>
      <c r="S101" s="1489"/>
    </row>
    <row r="102" spans="2:19" s="458" customFormat="1" ht="13.15" customHeight="1">
      <c r="B102" s="461" t="s">
        <v>3212</v>
      </c>
      <c r="C102" s="461" t="s">
        <v>383</v>
      </c>
      <c r="H102" s="1444" t="s">
        <v>3972</v>
      </c>
      <c r="I102" s="1190"/>
      <c r="J102" s="1190"/>
      <c r="K102" s="1190"/>
      <c r="L102" s="1190"/>
      <c r="M102" s="1190"/>
      <c r="N102" s="1191"/>
      <c r="O102" s="716" t="s">
        <v>3067</v>
      </c>
      <c r="P102" s="716"/>
      <c r="Q102" s="1444" t="s">
        <v>3973</v>
      </c>
      <c r="R102" s="1190"/>
      <c r="S102" s="1191"/>
    </row>
    <row r="103" spans="2:19" s="458" customFormat="1" ht="13.15" customHeight="1">
      <c r="D103" s="508"/>
      <c r="E103" s="464" t="s">
        <v>1642</v>
      </c>
      <c r="F103" s="472"/>
      <c r="H103" s="1444" t="s">
        <v>3974</v>
      </c>
      <c r="I103" s="1190"/>
      <c r="J103" s="1190"/>
      <c r="K103" s="1190"/>
      <c r="L103" s="1190"/>
      <c r="M103" s="1190"/>
      <c r="N103" s="1191"/>
      <c r="O103" s="716" t="s">
        <v>2776</v>
      </c>
      <c r="Q103" s="1444" t="s">
        <v>3976</v>
      </c>
      <c r="R103" s="1190"/>
      <c r="S103" s="1191"/>
    </row>
    <row r="104" spans="2:19" s="458" customFormat="1" ht="13.15" customHeight="1">
      <c r="D104" s="508"/>
      <c r="E104" s="464" t="s">
        <v>954</v>
      </c>
      <c r="H104" s="1444" t="s">
        <v>2022</v>
      </c>
      <c r="I104" s="1190"/>
      <c r="J104" s="1191"/>
      <c r="O104" s="716" t="s">
        <v>2835</v>
      </c>
      <c r="Q104" s="1477">
        <v>4787499927</v>
      </c>
      <c r="R104" s="1478"/>
      <c r="S104" s="1479"/>
    </row>
    <row r="105" spans="2:19" s="458" customFormat="1" ht="13.15" customHeight="1">
      <c r="D105" s="508"/>
      <c r="E105" s="464" t="s">
        <v>2831</v>
      </c>
      <c r="H105" s="1441" t="s">
        <v>1439</v>
      </c>
      <c r="I105" s="493" t="s">
        <v>3354</v>
      </c>
      <c r="J105" s="1480">
        <v>312010000</v>
      </c>
      <c r="K105" s="1191"/>
      <c r="O105" s="716" t="s">
        <v>3056</v>
      </c>
      <c r="Q105" s="1477">
        <v>4782561808</v>
      </c>
      <c r="R105" s="1478"/>
      <c r="S105" s="1479"/>
    </row>
    <row r="106" spans="2:19" ht="13.15" customHeight="1">
      <c r="E106" s="464" t="s">
        <v>3062</v>
      </c>
      <c r="F106" s="458"/>
      <c r="G106" s="458"/>
      <c r="H106" s="1477">
        <v>4787499927</v>
      </c>
      <c r="I106" s="1479"/>
      <c r="J106" s="1485"/>
      <c r="K106" s="721" t="s">
        <v>2834</v>
      </c>
      <c r="L106" s="1491">
        <v>4787428720</v>
      </c>
      <c r="M106" s="1191"/>
      <c r="N106" s="466" t="s">
        <v>3061</v>
      </c>
      <c r="O106" s="1492" t="s">
        <v>3997</v>
      </c>
      <c r="P106" s="1493"/>
      <c r="Q106" s="1493"/>
      <c r="R106" s="1493"/>
      <c r="S106" s="1494"/>
    </row>
    <row r="107" spans="2:19" ht="6" customHeight="1">
      <c r="E107" s="464"/>
      <c r="F107" s="458"/>
      <c r="G107" s="458"/>
      <c r="H107" s="458"/>
      <c r="I107" s="458"/>
      <c r="J107" s="458"/>
      <c r="K107" s="458"/>
      <c r="L107" s="458"/>
      <c r="M107" s="458"/>
      <c r="N107" s="458"/>
      <c r="O107" s="458"/>
      <c r="P107" s="458"/>
      <c r="Q107" s="721"/>
      <c r="R107" s="721"/>
      <c r="S107" s="1496"/>
    </row>
    <row r="108" spans="2:19" ht="0.75" customHeight="1">
      <c r="E108" s="464"/>
      <c r="F108" s="458"/>
      <c r="G108" s="723"/>
      <c r="H108" s="1488"/>
      <c r="I108" s="1488"/>
      <c r="J108" s="1488"/>
      <c r="K108" s="719"/>
      <c r="L108" s="1488"/>
      <c r="M108" s="1488"/>
      <c r="N108" s="719"/>
      <c r="O108" s="1489"/>
      <c r="P108" s="1489"/>
      <c r="Q108" s="721"/>
      <c r="R108" s="1489"/>
      <c r="S108" s="1489"/>
    </row>
    <row r="109" spans="2:19" s="458" customFormat="1" ht="13.15" customHeight="1">
      <c r="B109" s="461" t="s">
        <v>2763</v>
      </c>
      <c r="C109" s="461" t="s">
        <v>384</v>
      </c>
      <c r="H109" s="1444" t="s">
        <v>3985</v>
      </c>
      <c r="I109" s="1190"/>
      <c r="J109" s="1190"/>
      <c r="K109" s="1190"/>
      <c r="L109" s="1190"/>
      <c r="M109" s="1190"/>
      <c r="N109" s="1191"/>
      <c r="O109" s="716" t="s">
        <v>3067</v>
      </c>
      <c r="P109" s="716"/>
      <c r="Q109" s="1444" t="s">
        <v>3986</v>
      </c>
      <c r="R109" s="1190"/>
      <c r="S109" s="1191"/>
    </row>
    <row r="110" spans="2:19" s="458" customFormat="1" ht="13.15" customHeight="1">
      <c r="D110" s="508"/>
      <c r="E110" s="464" t="s">
        <v>1642</v>
      </c>
      <c r="F110" s="472"/>
      <c r="H110" s="1444" t="s">
        <v>3987</v>
      </c>
      <c r="I110" s="1190"/>
      <c r="J110" s="1190"/>
      <c r="K110" s="1190"/>
      <c r="L110" s="1190"/>
      <c r="M110" s="1190"/>
      <c r="N110" s="1191"/>
      <c r="O110" s="716" t="s">
        <v>2776</v>
      </c>
      <c r="Q110" s="1444" t="s">
        <v>3746</v>
      </c>
      <c r="R110" s="1190"/>
      <c r="S110" s="1191"/>
    </row>
    <row r="111" spans="2:19" s="458" customFormat="1" ht="13.15" customHeight="1">
      <c r="D111" s="508"/>
      <c r="E111" s="464" t="s">
        <v>954</v>
      </c>
      <c r="H111" s="1444" t="s">
        <v>1867</v>
      </c>
      <c r="I111" s="1190"/>
      <c r="J111" s="1191"/>
      <c r="O111" s="716" t="s">
        <v>2835</v>
      </c>
      <c r="Q111" s="1477">
        <v>4048929651</v>
      </c>
      <c r="R111" s="1478"/>
      <c r="S111" s="1479"/>
    </row>
    <row r="112" spans="2:19" s="458" customFormat="1" ht="13.15" customHeight="1">
      <c r="D112" s="508"/>
      <c r="E112" s="464" t="s">
        <v>2831</v>
      </c>
      <c r="H112" s="1441" t="s">
        <v>1439</v>
      </c>
      <c r="I112" s="493" t="s">
        <v>3354</v>
      </c>
      <c r="J112" s="1480">
        <v>303286132</v>
      </c>
      <c r="K112" s="1191"/>
      <c r="O112" s="716" t="s">
        <v>3056</v>
      </c>
      <c r="Q112" s="1477">
        <v>6783620453</v>
      </c>
      <c r="R112" s="1478"/>
      <c r="S112" s="1479"/>
    </row>
    <row r="113" spans="1:19" ht="13.15" customHeight="1">
      <c r="E113" s="464" t="s">
        <v>3062</v>
      </c>
      <c r="F113" s="458"/>
      <c r="G113" s="458"/>
      <c r="H113" s="1477">
        <v>4048929651</v>
      </c>
      <c r="I113" s="1479"/>
      <c r="J113" s="1485"/>
      <c r="K113" s="721" t="s">
        <v>2834</v>
      </c>
      <c r="L113" s="1491">
        <v>7703513460</v>
      </c>
      <c r="M113" s="1191"/>
      <c r="N113" s="466" t="s">
        <v>3061</v>
      </c>
      <c r="O113" s="1492" t="s">
        <v>3988</v>
      </c>
      <c r="P113" s="1493"/>
      <c r="Q113" s="1493"/>
      <c r="R113" s="1493"/>
      <c r="S113" s="1494"/>
    </row>
    <row r="114" spans="1:19" ht="6.6" customHeight="1">
      <c r="E114" s="464"/>
      <c r="F114" s="458"/>
      <c r="G114" s="723"/>
      <c r="H114" s="1490"/>
      <c r="I114" s="1490"/>
      <c r="J114" s="1490"/>
      <c r="K114" s="721"/>
      <c r="L114" s="1490"/>
      <c r="M114" s="1490"/>
      <c r="N114" s="719"/>
      <c r="O114" s="1489"/>
      <c r="P114" s="1489"/>
      <c r="Q114" s="721"/>
      <c r="R114" s="1489"/>
      <c r="S114" s="1489"/>
    </row>
    <row r="115" spans="1:19" s="458" customFormat="1" ht="13.15" customHeight="1">
      <c r="B115" s="461" t="s">
        <v>2764</v>
      </c>
      <c r="C115" s="461" t="s">
        <v>385</v>
      </c>
      <c r="H115" s="1444" t="s">
        <v>3933</v>
      </c>
      <c r="I115" s="1190"/>
      <c r="J115" s="1190"/>
      <c r="K115" s="1190"/>
      <c r="L115" s="1190"/>
      <c r="M115" s="1190"/>
      <c r="N115" s="1191"/>
      <c r="O115" s="716" t="s">
        <v>3067</v>
      </c>
      <c r="P115" s="716"/>
      <c r="Q115" s="1444" t="s">
        <v>3936</v>
      </c>
      <c r="R115" s="1190"/>
      <c r="S115" s="1191"/>
    </row>
    <row r="116" spans="1:19" s="458" customFormat="1" ht="13.15" customHeight="1">
      <c r="D116" s="508"/>
      <c r="E116" s="464" t="s">
        <v>1642</v>
      </c>
      <c r="F116" s="472"/>
      <c r="H116" s="1444" t="s">
        <v>3934</v>
      </c>
      <c r="I116" s="1190"/>
      <c r="J116" s="1190"/>
      <c r="K116" s="1190"/>
      <c r="L116" s="1190"/>
      <c r="M116" s="1190"/>
      <c r="N116" s="1191"/>
      <c r="O116" s="716" t="s">
        <v>2776</v>
      </c>
      <c r="Q116" s="1444" t="s">
        <v>3937</v>
      </c>
      <c r="R116" s="1190"/>
      <c r="S116" s="1191"/>
    </row>
    <row r="117" spans="1:19" s="458" customFormat="1" ht="13.15" customHeight="1">
      <c r="D117" s="508"/>
      <c r="E117" s="464" t="s">
        <v>954</v>
      </c>
      <c r="H117" s="1444" t="s">
        <v>1867</v>
      </c>
      <c r="I117" s="1190"/>
      <c r="J117" s="1191"/>
      <c r="O117" s="716" t="s">
        <v>2835</v>
      </c>
      <c r="Q117" s="1477">
        <v>7704570623</v>
      </c>
      <c r="R117" s="1478"/>
      <c r="S117" s="1479"/>
    </row>
    <row r="118" spans="1:19" s="458" customFormat="1" ht="13.15" customHeight="1">
      <c r="D118" s="513"/>
      <c r="E118" s="464" t="s">
        <v>2831</v>
      </c>
      <c r="H118" s="1441" t="s">
        <v>1439</v>
      </c>
      <c r="I118" s="493" t="s">
        <v>3354</v>
      </c>
      <c r="J118" s="1480">
        <v>303414139</v>
      </c>
      <c r="K118" s="1191"/>
      <c r="O118" s="716" t="s">
        <v>3056</v>
      </c>
      <c r="Q118" s="1477"/>
      <c r="R118" s="1478"/>
      <c r="S118" s="1479"/>
    </row>
    <row r="119" spans="1:19" s="458" customFormat="1" ht="13.15" customHeight="1">
      <c r="D119" s="513"/>
      <c r="E119" s="464" t="s">
        <v>3062</v>
      </c>
      <c r="H119" s="1477">
        <v>7704570623</v>
      </c>
      <c r="I119" s="1479"/>
      <c r="J119" s="1485"/>
      <c r="K119" s="721" t="s">
        <v>2834</v>
      </c>
      <c r="L119" s="1491">
        <v>7704510092</v>
      </c>
      <c r="M119" s="1191"/>
      <c r="N119" s="466" t="s">
        <v>3061</v>
      </c>
      <c r="O119" s="1492" t="s">
        <v>3935</v>
      </c>
      <c r="P119" s="1493"/>
      <c r="Q119" s="1493"/>
      <c r="R119" s="1493"/>
      <c r="S119" s="1494"/>
    </row>
    <row r="120" spans="1:19" ht="13.15" customHeight="1"/>
    <row r="121" spans="1:19" s="458" customFormat="1" ht="13.15" customHeight="1">
      <c r="A121" s="461" t="s">
        <v>2824</v>
      </c>
      <c r="B121" s="461" t="s">
        <v>3918</v>
      </c>
      <c r="F121" s="461"/>
      <c r="G121" s="721"/>
      <c r="H121" s="721"/>
      <c r="I121" s="721"/>
      <c r="J121" s="721"/>
      <c r="K121" s="721"/>
      <c r="L121" s="721"/>
      <c r="M121" s="721"/>
      <c r="N121" s="721"/>
      <c r="O121" s="721"/>
      <c r="P121" s="721"/>
      <c r="Q121" s="715"/>
    </row>
    <row r="122" spans="1:19" s="458" customFormat="1" ht="6.6" customHeight="1">
      <c r="A122" s="461"/>
      <c r="B122" s="461"/>
      <c r="F122" s="461"/>
      <c r="G122" s="721"/>
      <c r="H122" s="721"/>
      <c r="I122" s="721"/>
      <c r="J122" s="721"/>
      <c r="K122" s="721"/>
      <c r="L122" s="721"/>
      <c r="M122" s="721"/>
      <c r="N122" s="721"/>
      <c r="O122" s="721"/>
      <c r="P122" s="721"/>
      <c r="Q122" s="715"/>
    </row>
    <row r="123" spans="1:19" s="458" customFormat="1" ht="21.6" customHeight="1">
      <c r="A123" s="835" t="s">
        <v>977</v>
      </c>
      <c r="B123" s="1497"/>
      <c r="C123" s="1497"/>
      <c r="D123" s="1498"/>
      <c r="E123" s="836" t="s">
        <v>3543</v>
      </c>
      <c r="F123" s="811" t="s">
        <v>3536</v>
      </c>
      <c r="G123" s="804" t="s">
        <v>3537</v>
      </c>
      <c r="H123" s="815"/>
      <c r="I123" s="816"/>
      <c r="J123" s="804" t="s">
        <v>3538</v>
      </c>
      <c r="K123" s="822"/>
      <c r="L123" s="804" t="s">
        <v>3539</v>
      </c>
      <c r="M123" s="827"/>
      <c r="N123" s="804" t="s">
        <v>3540</v>
      </c>
      <c r="O123" s="816"/>
      <c r="P123" s="804" t="s">
        <v>3541</v>
      </c>
      <c r="Q123" s="816"/>
      <c r="R123" s="804" t="s">
        <v>3542</v>
      </c>
      <c r="S123" s="805"/>
    </row>
    <row r="124" spans="1:19" s="458" customFormat="1" ht="21.6" customHeight="1">
      <c r="A124" s="1499"/>
      <c r="B124" s="1500"/>
      <c r="C124" s="1500"/>
      <c r="D124" s="1501"/>
      <c r="E124" s="837"/>
      <c r="F124" s="812"/>
      <c r="G124" s="806"/>
      <c r="H124" s="817"/>
      <c r="I124" s="818"/>
      <c r="J124" s="823"/>
      <c r="K124" s="824"/>
      <c r="L124" s="806"/>
      <c r="M124" s="828"/>
      <c r="N124" s="806"/>
      <c r="O124" s="818"/>
      <c r="P124" s="806"/>
      <c r="Q124" s="818"/>
      <c r="R124" s="806"/>
      <c r="S124" s="807"/>
    </row>
    <row r="125" spans="1:19" s="458" customFormat="1" ht="21.6" customHeight="1">
      <c r="A125" s="1499"/>
      <c r="B125" s="1500"/>
      <c r="C125" s="1500"/>
      <c r="D125" s="1501"/>
      <c r="E125" s="837"/>
      <c r="F125" s="813"/>
      <c r="G125" s="806"/>
      <c r="H125" s="817"/>
      <c r="I125" s="818"/>
      <c r="J125" s="823"/>
      <c r="K125" s="824"/>
      <c r="L125" s="829"/>
      <c r="M125" s="828"/>
      <c r="N125" s="806"/>
      <c r="O125" s="818"/>
      <c r="P125" s="806"/>
      <c r="Q125" s="818"/>
      <c r="R125" s="808"/>
      <c r="S125" s="807"/>
    </row>
    <row r="126" spans="1:19" s="458" customFormat="1" ht="21.6" customHeight="1">
      <c r="A126" s="1499"/>
      <c r="B126" s="1500"/>
      <c r="C126" s="1500"/>
      <c r="D126" s="1501"/>
      <c r="E126" s="837"/>
      <c r="F126" s="813"/>
      <c r="G126" s="806"/>
      <c r="H126" s="817"/>
      <c r="I126" s="818"/>
      <c r="J126" s="823"/>
      <c r="K126" s="824"/>
      <c r="L126" s="829"/>
      <c r="M126" s="828"/>
      <c r="N126" s="806"/>
      <c r="O126" s="818"/>
      <c r="P126" s="806"/>
      <c r="Q126" s="818"/>
      <c r="R126" s="808"/>
      <c r="S126" s="807"/>
    </row>
    <row r="127" spans="1:19" s="458" customFormat="1" ht="21.6" customHeight="1">
      <c r="A127" s="1502"/>
      <c r="B127" s="1503"/>
      <c r="C127" s="1503"/>
      <c r="D127" s="1504"/>
      <c r="E127" s="838"/>
      <c r="F127" s="814"/>
      <c r="G127" s="819"/>
      <c r="H127" s="820"/>
      <c r="I127" s="821"/>
      <c r="J127" s="825"/>
      <c r="K127" s="826"/>
      <c r="L127" s="830"/>
      <c r="M127" s="831"/>
      <c r="N127" s="819"/>
      <c r="O127" s="821"/>
      <c r="P127" s="819"/>
      <c r="Q127" s="821"/>
      <c r="R127" s="809"/>
      <c r="S127" s="810"/>
    </row>
    <row r="128" spans="1:19" s="458" customFormat="1" ht="13.9" customHeight="1">
      <c r="A128" s="725" t="s">
        <v>3535</v>
      </c>
      <c r="B128" s="726"/>
      <c r="C128" s="726"/>
      <c r="D128" s="727"/>
      <c r="E128" s="1505" t="s">
        <v>3923</v>
      </c>
      <c r="F128" s="1505" t="s">
        <v>3923</v>
      </c>
      <c r="G128" s="1506" t="s">
        <v>3923</v>
      </c>
      <c r="H128" s="1507"/>
      <c r="I128" s="1508"/>
      <c r="J128" s="1506" t="s">
        <v>3919</v>
      </c>
      <c r="K128" s="1508"/>
      <c r="L128" s="1506" t="s">
        <v>3923</v>
      </c>
      <c r="M128" s="1508"/>
      <c r="N128" s="1506" t="s">
        <v>3923</v>
      </c>
      <c r="O128" s="1508"/>
      <c r="P128" s="1509" t="s">
        <v>3978</v>
      </c>
      <c r="Q128" s="1510"/>
      <c r="R128" s="1511">
        <v>1E-4</v>
      </c>
      <c r="S128" s="1512"/>
    </row>
    <row r="129" spans="1:19" s="458" customFormat="1" ht="13.9" customHeight="1">
      <c r="A129" s="722" t="s">
        <v>3525</v>
      </c>
      <c r="B129" s="723"/>
      <c r="C129" s="723"/>
      <c r="D129" s="724"/>
      <c r="E129" s="1513"/>
      <c r="F129" s="1513"/>
      <c r="G129" s="1514"/>
      <c r="H129" s="1515"/>
      <c r="I129" s="1516"/>
      <c r="J129" s="1514"/>
      <c r="K129" s="1516"/>
      <c r="L129" s="1514"/>
      <c r="M129" s="1516"/>
      <c r="N129" s="1514"/>
      <c r="O129" s="1516"/>
      <c r="P129" s="1517"/>
      <c r="Q129" s="1518"/>
      <c r="R129" s="1519"/>
      <c r="S129" s="1520"/>
    </row>
    <row r="130" spans="1:19" s="458" customFormat="1" ht="13.9" customHeight="1">
      <c r="A130" s="722" t="s">
        <v>3526</v>
      </c>
      <c r="B130" s="723"/>
      <c r="C130" s="723"/>
      <c r="D130" s="724"/>
      <c r="E130" s="1513"/>
      <c r="F130" s="1513"/>
      <c r="G130" s="1514"/>
      <c r="H130" s="1515"/>
      <c r="I130" s="1516"/>
      <c r="J130" s="1514"/>
      <c r="K130" s="1516"/>
      <c r="L130" s="1514"/>
      <c r="M130" s="1516"/>
      <c r="N130" s="1514"/>
      <c r="O130" s="1516"/>
      <c r="P130" s="1517"/>
      <c r="Q130" s="1518"/>
      <c r="R130" s="1519"/>
      <c r="S130" s="1520"/>
    </row>
    <row r="131" spans="1:19" s="458" customFormat="1" ht="13.9" customHeight="1">
      <c r="A131" s="722" t="s">
        <v>3527</v>
      </c>
      <c r="B131" s="723"/>
      <c r="C131" s="723"/>
      <c r="D131" s="724"/>
      <c r="E131" s="1513" t="s">
        <v>3923</v>
      </c>
      <c r="F131" s="1513" t="s">
        <v>3923</v>
      </c>
      <c r="G131" s="1514" t="s">
        <v>3923</v>
      </c>
      <c r="H131" s="1515"/>
      <c r="I131" s="1516"/>
      <c r="J131" s="1514" t="s">
        <v>3923</v>
      </c>
      <c r="K131" s="1516"/>
      <c r="L131" s="1514" t="s">
        <v>3923</v>
      </c>
      <c r="M131" s="1516"/>
      <c r="N131" s="1514" t="s">
        <v>3923</v>
      </c>
      <c r="O131" s="1516"/>
      <c r="P131" s="1517" t="s">
        <v>3978</v>
      </c>
      <c r="Q131" s="1518"/>
      <c r="R131" s="1519">
        <v>0.9899</v>
      </c>
      <c r="S131" s="1520"/>
    </row>
    <row r="132" spans="1:19" s="458" customFormat="1" ht="13.9" customHeight="1">
      <c r="A132" s="722" t="s">
        <v>3528</v>
      </c>
      <c r="B132" s="723"/>
      <c r="C132" s="723"/>
      <c r="D132" s="724"/>
      <c r="E132" s="1513" t="s">
        <v>3923</v>
      </c>
      <c r="F132" s="1513" t="s">
        <v>3923</v>
      </c>
      <c r="G132" s="1514" t="s">
        <v>3923</v>
      </c>
      <c r="H132" s="1515"/>
      <c r="I132" s="1516"/>
      <c r="J132" s="1514" t="s">
        <v>3923</v>
      </c>
      <c r="K132" s="1516"/>
      <c r="L132" s="1514" t="s">
        <v>3923</v>
      </c>
      <c r="M132" s="1516"/>
      <c r="N132" s="1514" t="s">
        <v>3923</v>
      </c>
      <c r="O132" s="1516"/>
      <c r="P132" s="1517" t="s">
        <v>3978</v>
      </c>
      <c r="Q132" s="1518"/>
      <c r="R132" s="1519">
        <v>0.01</v>
      </c>
      <c r="S132" s="1520"/>
    </row>
    <row r="133" spans="1:19" s="458" customFormat="1" ht="13.9" customHeight="1">
      <c r="A133" s="722" t="s">
        <v>3529</v>
      </c>
      <c r="B133" s="723"/>
      <c r="C133" s="723"/>
      <c r="D133" s="724"/>
      <c r="E133" s="1513" t="s">
        <v>3923</v>
      </c>
      <c r="F133" s="1513" t="s">
        <v>3923</v>
      </c>
      <c r="G133" s="1514" t="s">
        <v>3923</v>
      </c>
      <c r="H133" s="1515"/>
      <c r="I133" s="1516"/>
      <c r="J133" s="1514" t="s">
        <v>3919</v>
      </c>
      <c r="K133" s="1516"/>
      <c r="L133" s="1514" t="s">
        <v>3923</v>
      </c>
      <c r="M133" s="1516"/>
      <c r="N133" s="1514" t="s">
        <v>3923</v>
      </c>
      <c r="O133" s="1516"/>
      <c r="P133" s="1517" t="s">
        <v>3913</v>
      </c>
      <c r="Q133" s="1518"/>
      <c r="R133" s="1519">
        <v>0</v>
      </c>
      <c r="S133" s="1520"/>
    </row>
    <row r="134" spans="1:19" s="458" customFormat="1" ht="13.9" customHeight="1">
      <c r="A134" s="722" t="s">
        <v>997</v>
      </c>
      <c r="B134" s="723"/>
      <c r="C134" s="723"/>
      <c r="D134" s="724"/>
      <c r="E134" s="1513" t="s">
        <v>3923</v>
      </c>
      <c r="F134" s="1513" t="s">
        <v>3923</v>
      </c>
      <c r="G134" s="1514" t="s">
        <v>3923</v>
      </c>
      <c r="H134" s="1515"/>
      <c r="I134" s="1516"/>
      <c r="J134" s="1514" t="s">
        <v>3919</v>
      </c>
      <c r="K134" s="1516"/>
      <c r="L134" s="1514" t="s">
        <v>3923</v>
      </c>
      <c r="M134" s="1516"/>
      <c r="N134" s="1514" t="s">
        <v>3923</v>
      </c>
      <c r="O134" s="1516"/>
      <c r="P134" s="1517" t="s">
        <v>3913</v>
      </c>
      <c r="Q134" s="1518"/>
      <c r="R134" s="1519">
        <v>0</v>
      </c>
      <c r="S134" s="1520"/>
    </row>
    <row r="135" spans="1:19" s="458" customFormat="1" ht="13.9" customHeight="1">
      <c r="A135" s="722" t="s">
        <v>3530</v>
      </c>
      <c r="B135" s="723"/>
      <c r="C135" s="723"/>
      <c r="D135" s="724"/>
      <c r="E135" s="1513"/>
      <c r="F135" s="1513"/>
      <c r="G135" s="1514"/>
      <c r="H135" s="1515"/>
      <c r="I135" s="1516"/>
      <c r="J135" s="1514"/>
      <c r="K135" s="1516"/>
      <c r="L135" s="1514"/>
      <c r="M135" s="1516"/>
      <c r="N135" s="1514"/>
      <c r="O135" s="1516"/>
      <c r="P135" s="1517"/>
      <c r="Q135" s="1518"/>
      <c r="R135" s="1519"/>
      <c r="S135" s="1520"/>
    </row>
    <row r="136" spans="1:19" s="458" customFormat="1" ht="13.9" customHeight="1">
      <c r="A136" s="722" t="s">
        <v>3531</v>
      </c>
      <c r="B136" s="723"/>
      <c r="C136" s="723"/>
      <c r="D136" s="724"/>
      <c r="E136" s="1513"/>
      <c r="F136" s="1513"/>
      <c r="G136" s="1514"/>
      <c r="H136" s="1515"/>
      <c r="I136" s="1516"/>
      <c r="J136" s="1514"/>
      <c r="K136" s="1516"/>
      <c r="L136" s="1514"/>
      <c r="M136" s="1516"/>
      <c r="N136" s="1514"/>
      <c r="O136" s="1516"/>
      <c r="P136" s="1517"/>
      <c r="Q136" s="1518"/>
      <c r="R136" s="1519"/>
      <c r="S136" s="1520"/>
    </row>
    <row r="137" spans="1:19" s="458" customFormat="1" ht="13.9" customHeight="1">
      <c r="A137" s="722" t="s">
        <v>3532</v>
      </c>
      <c r="B137" s="723"/>
      <c r="C137" s="723"/>
      <c r="D137" s="724"/>
      <c r="E137" s="1513"/>
      <c r="F137" s="1513"/>
      <c r="G137" s="1514"/>
      <c r="H137" s="1515"/>
      <c r="I137" s="1516"/>
      <c r="J137" s="1514"/>
      <c r="K137" s="1516"/>
      <c r="L137" s="1514"/>
      <c r="M137" s="1516"/>
      <c r="N137" s="1514"/>
      <c r="O137" s="1516"/>
      <c r="P137" s="1517"/>
      <c r="Q137" s="1518"/>
      <c r="R137" s="1519"/>
      <c r="S137" s="1520"/>
    </row>
    <row r="138" spans="1:19" s="458" customFormat="1" ht="13.9" customHeight="1">
      <c r="A138" s="722" t="s">
        <v>3533</v>
      </c>
      <c r="B138" s="723"/>
      <c r="C138" s="723"/>
      <c r="D138" s="724"/>
      <c r="E138" s="1513" t="s">
        <v>3923</v>
      </c>
      <c r="F138" s="1513" t="s">
        <v>3923</v>
      </c>
      <c r="G138" s="1514" t="s">
        <v>3923</v>
      </c>
      <c r="H138" s="1515"/>
      <c r="I138" s="1516"/>
      <c r="J138" s="1514" t="s">
        <v>3923</v>
      </c>
      <c r="K138" s="1516"/>
      <c r="L138" s="1514" t="s">
        <v>3923</v>
      </c>
      <c r="M138" s="1516"/>
      <c r="N138" s="1514" t="s">
        <v>3923</v>
      </c>
      <c r="O138" s="1516"/>
      <c r="P138" s="1517" t="s">
        <v>3913</v>
      </c>
      <c r="Q138" s="1518"/>
      <c r="R138" s="1519">
        <v>0</v>
      </c>
      <c r="S138" s="1520"/>
    </row>
    <row r="139" spans="1:19" s="458" customFormat="1" ht="13.9" customHeight="1">
      <c r="A139" s="722" t="s">
        <v>2281</v>
      </c>
      <c r="B139" s="723"/>
      <c r="C139" s="723"/>
      <c r="D139" s="724"/>
      <c r="E139" s="1513"/>
      <c r="F139" s="1513"/>
      <c r="G139" s="1514"/>
      <c r="H139" s="1515"/>
      <c r="I139" s="1516"/>
      <c r="J139" s="1514"/>
      <c r="K139" s="1516"/>
      <c r="L139" s="1514"/>
      <c r="M139" s="1516"/>
      <c r="N139" s="1514"/>
      <c r="O139" s="1516"/>
      <c r="P139" s="1517"/>
      <c r="Q139" s="1518"/>
      <c r="R139" s="1519"/>
      <c r="S139" s="1520"/>
    </row>
    <row r="140" spans="1:19" s="458" customFormat="1" ht="13.9" customHeight="1">
      <c r="A140" s="728" t="s">
        <v>3534</v>
      </c>
      <c r="B140" s="729"/>
      <c r="C140" s="729"/>
      <c r="D140" s="514"/>
      <c r="E140" s="1521" t="s">
        <v>3923</v>
      </c>
      <c r="F140" s="1513" t="s">
        <v>3923</v>
      </c>
      <c r="G140" s="1514" t="s">
        <v>3923</v>
      </c>
      <c r="H140" s="1515"/>
      <c r="I140" s="1516"/>
      <c r="J140" s="1514" t="s">
        <v>3923</v>
      </c>
      <c r="K140" s="1516"/>
      <c r="L140" s="1522" t="s">
        <v>3923</v>
      </c>
      <c r="M140" s="1523"/>
      <c r="N140" s="1522" t="s">
        <v>3923</v>
      </c>
      <c r="O140" s="1523"/>
      <c r="P140" s="1524" t="s">
        <v>3978</v>
      </c>
      <c r="Q140" s="1525"/>
      <c r="R140" s="1526">
        <v>0</v>
      </c>
      <c r="S140" s="1527"/>
    </row>
    <row r="141" spans="1:19" s="723" customFormat="1" ht="13.9" customHeight="1">
      <c r="G141" s="470"/>
      <c r="H141" s="470"/>
      <c r="I141" s="470"/>
      <c r="J141" s="721"/>
      <c r="K141" s="721"/>
      <c r="L141" s="721"/>
      <c r="M141" s="721"/>
      <c r="P141" s="468"/>
      <c r="Q141" s="489" t="s">
        <v>833</v>
      </c>
      <c r="R141" s="802">
        <f>SUM(R128:S140)</f>
        <v>1</v>
      </c>
      <c r="S141" s="803"/>
    </row>
    <row r="142" spans="1:19" s="723" customFormat="1" ht="12.4" customHeight="1">
      <c r="G142" s="470"/>
      <c r="H142" s="470"/>
      <c r="I142" s="470"/>
      <c r="J142" s="721"/>
      <c r="K142" s="721"/>
      <c r="L142" s="721"/>
      <c r="M142" s="721"/>
      <c r="P142" s="468"/>
      <c r="R142" s="459"/>
      <c r="S142" s="515"/>
    </row>
    <row r="143" spans="1:19" ht="12.4" customHeight="1">
      <c r="A143" s="491" t="s">
        <v>2826</v>
      </c>
      <c r="B143" s="506"/>
      <c r="C143" s="491" t="s">
        <v>880</v>
      </c>
      <c r="N143" s="491" t="s">
        <v>823</v>
      </c>
      <c r="O143" s="491" t="s">
        <v>89</v>
      </c>
    </row>
    <row r="144" spans="1:19" ht="3.6" customHeight="1">
      <c r="B144" s="506"/>
    </row>
    <row r="145" spans="1:19" ht="63.2" customHeight="1">
      <c r="A145" s="1290" t="s">
        <v>3998</v>
      </c>
      <c r="B145" s="1349"/>
      <c r="C145" s="1349"/>
      <c r="D145" s="1349"/>
      <c r="E145" s="1349"/>
      <c r="F145" s="1349"/>
      <c r="G145" s="1349"/>
      <c r="H145" s="1349"/>
      <c r="I145" s="1349"/>
      <c r="J145" s="1349"/>
      <c r="K145" s="1349"/>
      <c r="L145" s="1349"/>
      <c r="M145" s="1350"/>
      <c r="N145" s="1293"/>
      <c r="O145" s="1351"/>
      <c r="P145" s="1351"/>
      <c r="Q145" s="1351"/>
      <c r="R145" s="1351"/>
      <c r="S145" s="1352"/>
    </row>
    <row r="146" spans="1:19" s="458" customFormat="1" ht="42.6" customHeight="1">
      <c r="A146" s="1294" t="s">
        <v>3996</v>
      </c>
      <c r="B146" s="1353"/>
      <c r="C146" s="1353"/>
      <c r="D146" s="1353"/>
      <c r="E146" s="1353"/>
      <c r="F146" s="1353"/>
      <c r="G146" s="1353"/>
      <c r="H146" s="1353"/>
      <c r="I146" s="1353"/>
      <c r="J146" s="1353"/>
      <c r="K146" s="1353"/>
      <c r="L146" s="1353"/>
      <c r="M146" s="1354"/>
      <c r="N146" s="1297"/>
      <c r="O146" s="1355"/>
      <c r="P146" s="1355"/>
      <c r="Q146" s="1355"/>
      <c r="R146" s="1355"/>
      <c r="S146" s="1356"/>
    </row>
    <row r="147" spans="1:19" s="458" customFormat="1" ht="42.6" customHeight="1">
      <c r="A147" s="1298"/>
      <c r="B147" s="1357"/>
      <c r="C147" s="1357"/>
      <c r="D147" s="1357"/>
      <c r="E147" s="1357"/>
      <c r="F147" s="1357"/>
      <c r="G147" s="1357"/>
      <c r="H147" s="1357"/>
      <c r="I147" s="1357"/>
      <c r="J147" s="1357"/>
      <c r="K147" s="1357"/>
      <c r="L147" s="1357"/>
      <c r="M147" s="1358"/>
      <c r="N147" s="1301"/>
      <c r="O147" s="1359"/>
      <c r="P147" s="1359"/>
      <c r="Q147" s="1359"/>
      <c r="R147" s="1359"/>
      <c r="S147" s="1360"/>
    </row>
    <row r="148" spans="1:19" s="458" customFormat="1" ht="12.4" customHeight="1">
      <c r="A148" s="465"/>
      <c r="B148" s="482"/>
      <c r="C148" s="482"/>
      <c r="D148" s="482"/>
      <c r="E148" s="482"/>
      <c r="F148" s="482"/>
      <c r="G148" s="482"/>
      <c r="H148" s="482"/>
      <c r="I148" s="482"/>
      <c r="J148" s="482"/>
      <c r="K148" s="482"/>
      <c r="L148" s="482"/>
      <c r="M148" s="482"/>
      <c r="N148" s="482"/>
      <c r="O148" s="482"/>
    </row>
    <row r="149" spans="1:19" s="458" customFormat="1" ht="12.4" customHeight="1">
      <c r="A149" s="737"/>
      <c r="B149" s="482"/>
      <c r="C149" s="482"/>
      <c r="D149" s="482"/>
      <c r="E149" s="482"/>
      <c r="F149" s="482"/>
      <c r="G149" s="482"/>
      <c r="H149" s="482"/>
      <c r="I149" s="482"/>
      <c r="J149" s="482"/>
      <c r="K149" s="482"/>
      <c r="L149" s="482"/>
      <c r="M149" s="482"/>
      <c r="N149" s="482"/>
      <c r="O149" s="482"/>
    </row>
    <row r="150" spans="1:19" s="458" customFormat="1" ht="12.4" customHeight="1">
      <c r="A150" s="465"/>
      <c r="B150" s="482"/>
      <c r="C150" s="482"/>
      <c r="D150" s="482"/>
      <c r="E150" s="482"/>
      <c r="F150" s="482"/>
      <c r="G150" s="482"/>
      <c r="H150" s="482"/>
      <c r="I150" s="482"/>
      <c r="J150" s="482"/>
      <c r="K150" s="482"/>
      <c r="L150" s="482"/>
      <c r="M150" s="482"/>
      <c r="N150" s="482"/>
      <c r="O150" s="482"/>
    </row>
    <row r="151" spans="1:19" s="458" customFormat="1" ht="12.4" customHeight="1">
      <c r="A151" s="465"/>
      <c r="B151" s="482"/>
      <c r="C151" s="482"/>
      <c r="D151" s="482"/>
      <c r="E151" s="482"/>
      <c r="F151" s="482"/>
      <c r="G151" s="482"/>
      <c r="H151" s="482"/>
      <c r="I151" s="482"/>
      <c r="J151" s="482"/>
      <c r="K151" s="482"/>
      <c r="L151" s="482"/>
      <c r="M151" s="482"/>
      <c r="N151" s="482"/>
      <c r="O151" s="482"/>
    </row>
    <row r="152" spans="1:19" s="458" customFormat="1" ht="12.4" customHeight="1">
      <c r="B152" s="482"/>
      <c r="C152" s="482"/>
      <c r="D152" s="482"/>
      <c r="E152" s="482"/>
      <c r="F152" s="482"/>
      <c r="G152" s="482"/>
      <c r="H152" s="482"/>
      <c r="I152" s="482"/>
      <c r="J152" s="482"/>
      <c r="K152" s="482"/>
      <c r="L152" s="482"/>
      <c r="M152" s="482"/>
      <c r="N152" s="482"/>
      <c r="O152" s="482"/>
      <c r="P152" s="1528" t="s">
        <v>2831</v>
      </c>
    </row>
    <row r="153" spans="1:19" s="458" customFormat="1" ht="12.4" customHeight="1">
      <c r="A153" s="508"/>
      <c r="B153" s="482"/>
      <c r="C153" s="482"/>
      <c r="D153" s="482"/>
      <c r="E153" s="482"/>
      <c r="F153" s="482"/>
      <c r="G153" s="482"/>
      <c r="H153" s="482"/>
      <c r="I153" s="482"/>
      <c r="J153" s="482"/>
      <c r="K153" s="482"/>
      <c r="L153" s="482"/>
      <c r="M153" s="482"/>
      <c r="N153" s="482"/>
      <c r="O153" s="482"/>
      <c r="P153" s="507" t="s">
        <v>1429</v>
      </c>
    </row>
    <row r="154" spans="1:19" s="458" customFormat="1" ht="12.4" customHeight="1">
      <c r="A154" s="508"/>
      <c r="B154" s="482"/>
      <c r="C154" s="482"/>
      <c r="D154" s="482"/>
      <c r="E154" s="482"/>
      <c r="F154" s="482"/>
      <c r="G154" s="482"/>
      <c r="H154" s="482"/>
      <c r="I154" s="482"/>
      <c r="J154" s="482"/>
      <c r="K154" s="482"/>
      <c r="L154" s="482"/>
      <c r="M154" s="482"/>
      <c r="N154" s="482"/>
      <c r="O154" s="482"/>
      <c r="P154" s="507" t="s">
        <v>1430</v>
      </c>
    </row>
    <row r="155" spans="1:19" s="458" customFormat="1" ht="12.4" customHeight="1">
      <c r="A155" s="508"/>
      <c r="B155" s="482"/>
      <c r="C155" s="482"/>
      <c r="D155" s="482"/>
      <c r="E155" s="482"/>
      <c r="F155" s="482"/>
      <c r="G155" s="482"/>
      <c r="H155" s="482"/>
      <c r="I155" s="482"/>
      <c r="J155" s="482"/>
      <c r="K155" s="482"/>
      <c r="L155" s="482"/>
      <c r="M155" s="482"/>
      <c r="N155" s="482"/>
      <c r="O155" s="482"/>
      <c r="P155" s="507" t="s">
        <v>1431</v>
      </c>
    </row>
    <row r="156" spans="1:19" s="458" customFormat="1" ht="12.4" customHeight="1">
      <c r="A156" s="737"/>
      <c r="B156" s="482"/>
      <c r="C156" s="482"/>
      <c r="D156" s="482"/>
      <c r="E156" s="482"/>
      <c r="F156" s="482"/>
      <c r="G156" s="482"/>
      <c r="H156" s="482"/>
      <c r="I156" s="482"/>
      <c r="J156" s="482"/>
      <c r="K156" s="482"/>
      <c r="L156" s="482"/>
      <c r="M156" s="482"/>
      <c r="N156" s="482"/>
      <c r="O156" s="482"/>
      <c r="P156" s="507" t="s">
        <v>1432</v>
      </c>
    </row>
    <row r="157" spans="1:19" s="458" customFormat="1" ht="12.4" customHeight="1">
      <c r="B157" s="482"/>
      <c r="C157" s="482"/>
      <c r="D157" s="482"/>
      <c r="E157" s="482"/>
      <c r="F157" s="482"/>
      <c r="G157" s="482"/>
      <c r="H157" s="482"/>
      <c r="I157" s="482"/>
      <c r="J157" s="482"/>
      <c r="K157" s="482"/>
      <c r="L157" s="482"/>
      <c r="M157" s="482"/>
      <c r="N157" s="482"/>
      <c r="O157" s="482"/>
      <c r="P157" s="507" t="s">
        <v>1433</v>
      </c>
    </row>
    <row r="158" spans="1:19" s="458" customFormat="1" ht="12.4" customHeight="1">
      <c r="B158" s="482"/>
      <c r="C158" s="482"/>
      <c r="D158" s="482"/>
      <c r="E158" s="482"/>
      <c r="F158" s="482"/>
      <c r="G158" s="482"/>
      <c r="H158" s="482"/>
      <c r="I158" s="482"/>
      <c r="J158" s="482"/>
      <c r="K158" s="482"/>
      <c r="L158" s="482"/>
      <c r="M158" s="482"/>
      <c r="N158" s="482"/>
      <c r="O158" s="482"/>
      <c r="P158" s="507" t="s">
        <v>1434</v>
      </c>
    </row>
    <row r="159" spans="1:19" s="458" customFormat="1" ht="12.4" customHeight="1">
      <c r="B159" s="482"/>
      <c r="C159" s="482"/>
      <c r="D159" s="482"/>
      <c r="E159" s="482"/>
      <c r="F159" s="482"/>
      <c r="G159" s="482"/>
      <c r="H159" s="482"/>
      <c r="I159" s="482"/>
      <c r="J159" s="482"/>
      <c r="K159" s="482"/>
      <c r="L159" s="482"/>
      <c r="M159" s="482"/>
      <c r="N159" s="482"/>
      <c r="O159" s="482"/>
      <c r="P159" s="507" t="s">
        <v>1435</v>
      </c>
    </row>
    <row r="160" spans="1:19" s="458" customFormat="1" ht="12.4" customHeight="1">
      <c r="B160" s="482"/>
      <c r="C160" s="482"/>
      <c r="D160" s="482"/>
      <c r="E160" s="482"/>
      <c r="F160" s="482"/>
      <c r="G160" s="482"/>
      <c r="H160" s="482"/>
      <c r="I160" s="482"/>
      <c r="J160" s="482"/>
      <c r="K160" s="482"/>
      <c r="L160" s="482"/>
      <c r="M160" s="482"/>
      <c r="N160" s="482"/>
      <c r="O160" s="482"/>
      <c r="P160" s="507" t="s">
        <v>1436</v>
      </c>
    </row>
    <row r="161" spans="1:16" ht="12.4" customHeight="1">
      <c r="P161" s="507" t="s">
        <v>1437</v>
      </c>
    </row>
    <row r="162" spans="1:16" ht="12.4" customHeight="1">
      <c r="A162" s="491"/>
      <c r="P162" s="507" t="s">
        <v>1438</v>
      </c>
    </row>
    <row r="163" spans="1:16" ht="12.4" customHeight="1">
      <c r="P163" s="507" t="s">
        <v>1439</v>
      </c>
    </row>
    <row r="164" spans="1:16" ht="12.4" customHeight="1">
      <c r="P164" s="507" t="s">
        <v>1440</v>
      </c>
    </row>
    <row r="165" spans="1:16" ht="12.4" customHeight="1">
      <c r="P165" s="507" t="s">
        <v>1441</v>
      </c>
    </row>
    <row r="166" spans="1:16" ht="12.4" customHeight="1">
      <c r="P166" s="507" t="s">
        <v>1442</v>
      </c>
    </row>
    <row r="167" spans="1:16" ht="12.4" customHeight="1">
      <c r="P167" s="507" t="s">
        <v>1443</v>
      </c>
    </row>
    <row r="168" spans="1:16" ht="12.4" customHeight="1">
      <c r="P168" s="507" t="s">
        <v>1444</v>
      </c>
    </row>
    <row r="169" spans="1:16" ht="12.4" customHeight="1">
      <c r="P169" s="507" t="s">
        <v>1445</v>
      </c>
    </row>
    <row r="170" spans="1:16" ht="12.4" customHeight="1">
      <c r="P170" s="507" t="s">
        <v>1446</v>
      </c>
    </row>
    <row r="171" spans="1:16" ht="12.4" customHeight="1">
      <c r="P171" s="507" t="s">
        <v>1447</v>
      </c>
    </row>
    <row r="172" spans="1:16" ht="12.4" customHeight="1">
      <c r="P172" s="507" t="s">
        <v>1448</v>
      </c>
    </row>
    <row r="173" spans="1:16" ht="12.4" customHeight="1">
      <c r="P173" s="507" t="s">
        <v>1449</v>
      </c>
    </row>
    <row r="174" spans="1:16" ht="12.4" customHeight="1">
      <c r="P174" s="507" t="s">
        <v>1450</v>
      </c>
    </row>
    <row r="175" spans="1:16" ht="12.4" customHeight="1">
      <c r="P175" s="507" t="s">
        <v>1451</v>
      </c>
    </row>
    <row r="176" spans="1:16" ht="12.4" customHeight="1">
      <c r="P176" s="507" t="s">
        <v>1452</v>
      </c>
    </row>
    <row r="177" spans="16:16" ht="12.4" customHeight="1">
      <c r="P177" s="507" t="s">
        <v>1453</v>
      </c>
    </row>
    <row r="178" spans="16:16" ht="12.4" customHeight="1">
      <c r="P178" s="507" t="s">
        <v>2044</v>
      </c>
    </row>
    <row r="179" spans="16:16" ht="12.4" customHeight="1">
      <c r="P179" s="507" t="s">
        <v>2045</v>
      </c>
    </row>
    <row r="180" spans="16:16" ht="12.4" customHeight="1">
      <c r="P180" s="507" t="s">
        <v>2046</v>
      </c>
    </row>
    <row r="181" spans="16:16" ht="12.4" customHeight="1">
      <c r="P181" s="507" t="s">
        <v>2047</v>
      </c>
    </row>
    <row r="182" spans="16:16" ht="12.4" customHeight="1">
      <c r="P182" s="507" t="s">
        <v>2048</v>
      </c>
    </row>
    <row r="183" spans="16:16" ht="13.5">
      <c r="P183" s="507" t="s">
        <v>2049</v>
      </c>
    </row>
    <row r="184" spans="16:16" ht="12.4" customHeight="1">
      <c r="P184" s="507" t="s">
        <v>2050</v>
      </c>
    </row>
    <row r="185" spans="16:16" ht="12.4" customHeight="1">
      <c r="P185" s="507" t="s">
        <v>2051</v>
      </c>
    </row>
    <row r="186" spans="16:16" ht="12.4" customHeight="1">
      <c r="P186" s="507" t="s">
        <v>2052</v>
      </c>
    </row>
    <row r="187" spans="16:16" ht="12.4" customHeight="1">
      <c r="P187" s="507" t="s">
        <v>2053</v>
      </c>
    </row>
    <row r="188" spans="16:16" ht="12.4" customHeight="1">
      <c r="P188" s="507" t="s">
        <v>2054</v>
      </c>
    </row>
    <row r="189" spans="16:16" ht="12.4" customHeight="1">
      <c r="P189" s="507" t="s">
        <v>2055</v>
      </c>
    </row>
    <row r="190" spans="16:16" ht="12.4" customHeight="1">
      <c r="P190" s="507" t="s">
        <v>2056</v>
      </c>
    </row>
    <row r="191" spans="16:16" ht="12.4" customHeight="1">
      <c r="P191" s="507" t="s">
        <v>2057</v>
      </c>
    </row>
    <row r="192" spans="16:16" ht="12.4" customHeight="1">
      <c r="P192" s="507" t="s">
        <v>2058</v>
      </c>
    </row>
    <row r="193" spans="16:16" ht="12.4" customHeight="1">
      <c r="P193" s="507" t="s">
        <v>2059</v>
      </c>
    </row>
    <row r="194" spans="16:16" ht="12.4" customHeight="1">
      <c r="P194" s="507" t="s">
        <v>2060</v>
      </c>
    </row>
    <row r="195" spans="16:16" ht="12.4" customHeight="1">
      <c r="P195" s="507" t="s">
        <v>2061</v>
      </c>
    </row>
    <row r="196" spans="16:16" ht="12.4" customHeight="1">
      <c r="P196" s="507" t="s">
        <v>2062</v>
      </c>
    </row>
    <row r="197" spans="16:16" ht="12.4" customHeight="1">
      <c r="P197" s="507" t="s">
        <v>2063</v>
      </c>
    </row>
    <row r="198" spans="16:16" ht="12.4" customHeight="1">
      <c r="P198" s="507" t="s">
        <v>2064</v>
      </c>
    </row>
    <row r="199" spans="16:16" ht="12.4" customHeight="1">
      <c r="P199" s="507" t="s">
        <v>2065</v>
      </c>
    </row>
    <row r="200" spans="16:16" ht="12.4" customHeight="1">
      <c r="P200" s="507" t="s">
        <v>2066</v>
      </c>
    </row>
    <row r="201" spans="16:16" ht="12.4" customHeight="1">
      <c r="P201" s="507" t="s">
        <v>2067</v>
      </c>
    </row>
    <row r="202" spans="16:16" ht="12.4" customHeight="1">
      <c r="P202" s="507" t="s">
        <v>2068</v>
      </c>
    </row>
    <row r="203" spans="16:16" ht="12.4" customHeight="1">
      <c r="P203" s="507" t="s">
        <v>2069</v>
      </c>
    </row>
  </sheetData>
  <sheetProtection password="DDE0" sheet="1" objects="1" scenarios="1" formatColumns="0" formatRows="0"/>
  <mergeCells count="285">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R141:S141"/>
    <mergeCell ref="P140:Q140"/>
    <mergeCell ref="R140:S140"/>
    <mergeCell ref="L140:M140"/>
    <mergeCell ref="N140:O140"/>
    <mergeCell ref="G139:I139"/>
    <mergeCell ref="J139:K139"/>
    <mergeCell ref="G140:I140"/>
    <mergeCell ref="J140:K140"/>
    <mergeCell ref="L139:M139"/>
    <mergeCell ref="N139:O139"/>
  </mergeCells>
  <phoneticPr fontId="5" type="noConversion"/>
  <dataValidations count="6">
    <dataValidation type="list" allowBlank="1" showErrorMessage="1" sqref="K128:K139 L128:O140 E128:G140 J128:J140 H128:I139">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view="pageLayout" topLeftCell="A31" zoomScale="90" zoomScaleNormal="85" zoomScaleSheetLayoutView="90" zoomScalePageLayoutView="90" workbookViewId="0">
      <selection activeCell="E27" sqref="E27"/>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32" t="str">
        <f>CONCATENATE("PART THREE - SOURCES OF FUNDS","  -  ",'Part I-Project Information'!$O$4," ",'Part I-Project Information'!$F$22,", ",'Part I-Project Information'!$F$24,", ",'Part I-Project Information'!$J$25," County")</f>
        <v>PART THREE - SOURCES OF FUNDS  -  2011-044 Brentwood Place Apartments, Forsyth, Monroe County</v>
      </c>
      <c r="B1" s="833"/>
      <c r="C1" s="833"/>
      <c r="D1" s="833"/>
      <c r="E1" s="833"/>
      <c r="F1" s="833"/>
      <c r="G1" s="833"/>
      <c r="H1" s="833"/>
      <c r="I1" s="833"/>
      <c r="J1" s="833"/>
      <c r="K1" s="833"/>
      <c r="L1" s="833"/>
      <c r="M1" s="833"/>
      <c r="N1" s="833"/>
      <c r="O1" s="833"/>
      <c r="P1" s="833"/>
      <c r="Q1" s="834"/>
    </row>
    <row r="2" spans="1:17" ht="17.649999999999999" customHeight="1">
      <c r="A2" s="482"/>
      <c r="B2" s="482"/>
      <c r="C2" s="482"/>
      <c r="D2" s="482"/>
      <c r="E2" s="482"/>
      <c r="F2" s="482"/>
      <c r="G2" s="482"/>
      <c r="H2" s="482"/>
      <c r="I2" s="482"/>
      <c r="J2" s="482"/>
      <c r="N2" s="482"/>
      <c r="O2" s="482"/>
      <c r="P2" s="482"/>
      <c r="Q2" s="482"/>
    </row>
    <row r="3" spans="1:17" s="398" customFormat="1" ht="13.15" customHeight="1">
      <c r="A3" s="461" t="s">
        <v>951</v>
      </c>
      <c r="B3" s="485" t="s">
        <v>3770</v>
      </c>
      <c r="C3" s="458"/>
      <c r="D3" s="723"/>
      <c r="E3" s="723"/>
      <c r="F3" s="723"/>
      <c r="G3" s="723"/>
      <c r="H3" s="723"/>
      <c r="I3" s="458"/>
      <c r="J3" s="458"/>
      <c r="K3" s="458"/>
      <c r="L3" s="458"/>
      <c r="M3" s="458"/>
    </row>
    <row r="4" spans="1:17" s="398" customFormat="1" ht="13.9" customHeight="1">
      <c r="A4" s="491"/>
      <c r="B4" s="737"/>
      <c r="C4" s="485"/>
      <c r="D4" s="723"/>
      <c r="E4" s="723"/>
      <c r="F4" s="723"/>
      <c r="G4" s="723"/>
      <c r="I4" s="458"/>
      <c r="J4" s="458"/>
      <c r="K4" s="458"/>
      <c r="L4" s="458"/>
      <c r="M4" s="458"/>
    </row>
    <row r="5" spans="1:17" s="398" customFormat="1" ht="17.100000000000001" customHeight="1">
      <c r="A5" s="737"/>
      <c r="B5" s="1441" t="s">
        <v>3919</v>
      </c>
      <c r="C5" s="716" t="s">
        <v>3653</v>
      </c>
      <c r="D5" s="458"/>
      <c r="E5" s="1441" t="s">
        <v>3919</v>
      </c>
      <c r="F5" s="718" t="s">
        <v>2654</v>
      </c>
      <c r="G5" s="458"/>
      <c r="J5" s="1442">
        <v>1628524</v>
      </c>
      <c r="K5" s="1443"/>
      <c r="M5" s="1441"/>
      <c r="N5" s="716" t="s">
        <v>846</v>
      </c>
    </row>
    <row r="6" spans="1:17" s="398" customFormat="1" ht="17.100000000000001" customHeight="1">
      <c r="A6" s="737"/>
      <c r="B6" s="1441"/>
      <c r="C6" s="716" t="s">
        <v>2836</v>
      </c>
      <c r="D6" s="458"/>
      <c r="E6" s="1441"/>
      <c r="F6" s="718" t="s">
        <v>3312</v>
      </c>
      <c r="J6" s="1441"/>
      <c r="K6" s="723" t="s">
        <v>847</v>
      </c>
      <c r="M6" s="1441"/>
      <c r="N6" s="718" t="s">
        <v>845</v>
      </c>
    </row>
    <row r="7" spans="1:17" s="398" customFormat="1" ht="17.100000000000001" customHeight="1">
      <c r="A7" s="458"/>
      <c r="B7" s="1441"/>
      <c r="C7" s="716" t="s">
        <v>2837</v>
      </c>
      <c r="E7" s="1441"/>
      <c r="F7" s="718" t="s">
        <v>3311</v>
      </c>
      <c r="G7" s="458"/>
      <c r="J7" s="1441"/>
      <c r="K7" s="723" t="s">
        <v>2291</v>
      </c>
      <c r="M7" s="1441"/>
      <c r="N7" s="464" t="s">
        <v>1982</v>
      </c>
      <c r="P7" s="1442"/>
      <c r="Q7" s="1443"/>
    </row>
    <row r="8" spans="1:17" s="398" customFormat="1" ht="17.100000000000001" customHeight="1">
      <c r="A8" s="737"/>
      <c r="B8" s="1441"/>
      <c r="C8" s="723" t="s">
        <v>3914</v>
      </c>
      <c r="D8" s="458"/>
      <c r="E8" s="1441"/>
      <c r="F8" s="487" t="s">
        <v>3915</v>
      </c>
      <c r="H8" s="1441"/>
      <c r="I8" s="458" t="s">
        <v>3654</v>
      </c>
      <c r="J8" s="1441" t="s">
        <v>3919</v>
      </c>
      <c r="K8" s="458" t="s">
        <v>875</v>
      </c>
      <c r="M8" s="1441"/>
      <c r="N8" s="1444" t="s">
        <v>3232</v>
      </c>
      <c r="O8" s="1445"/>
      <c r="P8" s="1445"/>
      <c r="Q8" s="1446"/>
    </row>
    <row r="9" spans="1:17" s="398" customFormat="1" ht="17.100000000000001" customHeight="1">
      <c r="A9" s="737"/>
      <c r="B9" s="398" t="s">
        <v>310</v>
      </c>
      <c r="C9" s="458"/>
      <c r="D9" s="458"/>
      <c r="E9" s="458"/>
      <c r="F9" s="458"/>
      <c r="G9" s="458"/>
      <c r="H9" s="458"/>
      <c r="I9" s="458"/>
      <c r="J9" s="458"/>
      <c r="K9" s="458"/>
      <c r="L9" s="458"/>
      <c r="M9" s="487"/>
      <c r="N9" s="458"/>
      <c r="O9" s="458"/>
      <c r="P9" s="458"/>
      <c r="Q9" s="458"/>
    </row>
    <row r="10" spans="1:17" s="398" customFormat="1" ht="17.649999999999999" customHeight="1">
      <c r="A10" s="737"/>
      <c r="H10" s="458"/>
      <c r="L10" s="458"/>
      <c r="M10" s="487"/>
      <c r="N10" s="458"/>
      <c r="O10" s="458"/>
      <c r="P10" s="458"/>
      <c r="Q10" s="458"/>
    </row>
    <row r="11" spans="1:17" s="517" customFormat="1" ht="15" customHeight="1">
      <c r="A11" s="461" t="s">
        <v>1230</v>
      </c>
      <c r="B11" s="395" t="s">
        <v>3495</v>
      </c>
      <c r="C11" s="458"/>
      <c r="D11" s="723"/>
      <c r="E11" s="458"/>
      <c r="F11" s="458"/>
      <c r="G11" s="458"/>
      <c r="H11" s="461"/>
      <c r="I11" s="482"/>
      <c r="J11" s="461"/>
      <c r="K11" s="458"/>
      <c r="L11" s="458"/>
      <c r="M11" s="723"/>
      <c r="N11" s="798"/>
      <c r="O11" s="798"/>
      <c r="P11" s="458"/>
      <c r="Q11" s="458"/>
    </row>
    <row r="12" spans="1:17" s="517" customFormat="1" ht="13.9" customHeight="1">
      <c r="A12" s="461"/>
      <c r="B12" s="395"/>
      <c r="C12" s="458"/>
      <c r="K12" s="458"/>
      <c r="L12" s="458"/>
      <c r="M12" s="723"/>
      <c r="N12" s="715"/>
      <c r="O12" s="715"/>
      <c r="P12" s="458"/>
      <c r="Q12" s="458"/>
    </row>
    <row r="13" spans="1:17" s="398" customFormat="1" ht="17.100000000000001" customHeight="1">
      <c r="A13" s="458"/>
      <c r="B13" s="716" t="s">
        <v>2927</v>
      </c>
      <c r="C13" s="458"/>
      <c r="D13" s="458"/>
      <c r="E13" s="458"/>
      <c r="F13" s="458"/>
      <c r="G13" s="458"/>
      <c r="H13" s="872" t="s">
        <v>1998</v>
      </c>
      <c r="I13" s="872"/>
      <c r="J13" s="872"/>
      <c r="K13" s="872"/>
      <c r="L13" s="782" t="s">
        <v>3068</v>
      </c>
      <c r="M13" s="782"/>
      <c r="N13" s="782" t="s">
        <v>2258</v>
      </c>
      <c r="O13" s="782"/>
      <c r="P13" s="782" t="s">
        <v>2537</v>
      </c>
      <c r="Q13" s="782"/>
    </row>
    <row r="14" spans="1:17" s="398" customFormat="1" ht="17.100000000000001" customHeight="1">
      <c r="A14" s="458"/>
      <c r="B14" s="839" t="s">
        <v>2348</v>
      </c>
      <c r="C14" s="840"/>
      <c r="D14" s="840"/>
      <c r="E14" s="726"/>
      <c r="F14" s="726"/>
      <c r="G14" s="726"/>
      <c r="H14" s="1444" t="s">
        <v>3979</v>
      </c>
      <c r="I14" s="1445"/>
      <c r="J14" s="1445"/>
      <c r="K14" s="1446"/>
      <c r="L14" s="1392">
        <v>1000000</v>
      </c>
      <c r="M14" s="1393"/>
      <c r="N14" s="1447">
        <v>3.5000000000000003E-2</v>
      </c>
      <c r="O14" s="1448"/>
      <c r="P14" s="1449">
        <v>24</v>
      </c>
      <c r="Q14" s="1450"/>
    </row>
    <row r="15" spans="1:17" s="398" customFormat="1" ht="17.100000000000001" customHeight="1">
      <c r="A15" s="458"/>
      <c r="B15" s="841" t="s">
        <v>2349</v>
      </c>
      <c r="C15" s="842"/>
      <c r="D15" s="842"/>
      <c r="E15" s="723"/>
      <c r="F15" s="723"/>
      <c r="G15" s="723"/>
      <c r="H15" s="1444" t="s">
        <v>3980</v>
      </c>
      <c r="I15" s="1445"/>
      <c r="J15" s="1445"/>
      <c r="K15" s="1446"/>
      <c r="L15" s="1451">
        <v>1075029</v>
      </c>
      <c r="M15" s="1452"/>
      <c r="N15" s="1447">
        <v>0</v>
      </c>
      <c r="O15" s="1448"/>
      <c r="P15" s="1453">
        <v>24</v>
      </c>
      <c r="Q15" s="1454"/>
    </row>
    <row r="16" spans="1:17" s="398" customFormat="1" ht="17.100000000000001" customHeight="1">
      <c r="A16" s="458"/>
      <c r="B16" s="859" t="s">
        <v>2350</v>
      </c>
      <c r="C16" s="860"/>
      <c r="D16" s="860"/>
      <c r="E16" s="729"/>
      <c r="F16" s="729"/>
      <c r="G16" s="729"/>
      <c r="H16" s="1444" t="s">
        <v>4069</v>
      </c>
      <c r="I16" s="1445"/>
      <c r="J16" s="1445"/>
      <c r="K16" s="1446"/>
      <c r="L16" s="1392">
        <v>465000</v>
      </c>
      <c r="M16" s="1393"/>
      <c r="N16" s="1447">
        <v>0</v>
      </c>
      <c r="O16" s="1448"/>
      <c r="P16" s="1453">
        <v>24</v>
      </c>
      <c r="Q16" s="1454"/>
    </row>
    <row r="17" spans="1:17" s="398" customFormat="1" ht="17.100000000000001" customHeight="1">
      <c r="A17" s="458"/>
      <c r="B17" s="839" t="s">
        <v>3333</v>
      </c>
      <c r="C17" s="840"/>
      <c r="D17" s="840"/>
      <c r="E17" s="723"/>
      <c r="F17" s="723"/>
      <c r="G17" s="723"/>
      <c r="H17" s="1444"/>
      <c r="I17" s="1445"/>
      <c r="J17" s="1445"/>
      <c r="K17" s="1446"/>
      <c r="L17" s="1392"/>
      <c r="M17" s="1393"/>
      <c r="N17" s="857"/>
      <c r="O17" s="858"/>
      <c r="P17" s="854"/>
      <c r="Q17" s="854"/>
    </row>
    <row r="18" spans="1:17" s="398" customFormat="1" ht="17.100000000000001" customHeight="1">
      <c r="A18" s="458"/>
      <c r="B18" s="841" t="s">
        <v>1384</v>
      </c>
      <c r="C18" s="842"/>
      <c r="D18" s="842"/>
      <c r="E18" s="723"/>
      <c r="H18" s="1444"/>
      <c r="I18" s="1445"/>
      <c r="J18" s="1445"/>
      <c r="K18" s="1446"/>
      <c r="L18" s="1392"/>
      <c r="M18" s="1393"/>
      <c r="N18" s="857"/>
      <c r="O18" s="858"/>
      <c r="P18" s="854"/>
      <c r="Q18" s="854"/>
    </row>
    <row r="19" spans="1:17" s="398" customFormat="1" ht="17.100000000000001" customHeight="1">
      <c r="A19" s="458"/>
      <c r="B19" s="841" t="s">
        <v>978</v>
      </c>
      <c r="C19" s="842"/>
      <c r="D19" s="842"/>
      <c r="E19" s="723"/>
      <c r="H19" s="1444"/>
      <c r="I19" s="1445"/>
      <c r="J19" s="1445"/>
      <c r="K19" s="1446"/>
      <c r="L19" s="1392"/>
      <c r="M19" s="1393"/>
      <c r="N19" s="857"/>
      <c r="O19" s="858"/>
      <c r="P19" s="854"/>
      <c r="Q19" s="854"/>
    </row>
    <row r="20" spans="1:17" s="398" customFormat="1" ht="17.100000000000001" customHeight="1">
      <c r="A20" s="458"/>
      <c r="B20" s="841" t="s">
        <v>1385</v>
      </c>
      <c r="C20" s="842"/>
      <c r="D20" s="842"/>
      <c r="E20" s="723"/>
      <c r="H20" s="1444" t="s">
        <v>4016</v>
      </c>
      <c r="I20" s="1445"/>
      <c r="J20" s="1445"/>
      <c r="K20" s="1446"/>
      <c r="L20" s="1392">
        <v>4571834</v>
      </c>
      <c r="M20" s="1393"/>
      <c r="N20" s="458"/>
      <c r="O20" s="458"/>
      <c r="P20" s="458"/>
      <c r="Q20" s="458"/>
    </row>
    <row r="21" spans="1:17" s="398" customFormat="1" ht="17.100000000000001" customHeight="1">
      <c r="A21" s="458"/>
      <c r="B21" s="841" t="s">
        <v>1386</v>
      </c>
      <c r="C21" s="842"/>
      <c r="D21" s="842"/>
      <c r="E21" s="723"/>
      <c r="H21" s="1444" t="s">
        <v>4016</v>
      </c>
      <c r="I21" s="1445"/>
      <c r="J21" s="1445"/>
      <c r="K21" s="1446"/>
      <c r="L21" s="1392">
        <v>1678837</v>
      </c>
      <c r="M21" s="1393"/>
      <c r="N21" s="458"/>
      <c r="O21" s="458"/>
      <c r="P21" s="458"/>
      <c r="Q21" s="458"/>
    </row>
    <row r="22" spans="1:17" s="398" customFormat="1" ht="17.100000000000001" customHeight="1">
      <c r="A22" s="458"/>
      <c r="B22" s="722" t="s">
        <v>309</v>
      </c>
      <c r="C22" s="723"/>
      <c r="D22" s="1455"/>
      <c r="E22" s="1455"/>
      <c r="F22" s="1455"/>
      <c r="G22" s="1455"/>
      <c r="H22" s="1444"/>
      <c r="I22" s="1445"/>
      <c r="J22" s="1445"/>
      <c r="K22" s="1446"/>
      <c r="L22" s="1392"/>
      <c r="M22" s="1393"/>
      <c r="N22" s="458"/>
      <c r="O22" s="458"/>
      <c r="P22" s="458"/>
      <c r="Q22" s="458"/>
    </row>
    <row r="23" spans="1:17" s="398" customFormat="1" ht="17.100000000000001" customHeight="1">
      <c r="A23" s="458"/>
      <c r="B23" s="722" t="s">
        <v>309</v>
      </c>
      <c r="C23" s="723"/>
      <c r="D23" s="1455"/>
      <c r="E23" s="1455"/>
      <c r="F23" s="1455"/>
      <c r="G23" s="1455"/>
      <c r="H23" s="1444"/>
      <c r="I23" s="1445"/>
      <c r="J23" s="1445"/>
      <c r="K23" s="1446"/>
      <c r="L23" s="1392"/>
      <c r="M23" s="1393"/>
      <c r="N23" s="458"/>
      <c r="O23" s="458"/>
      <c r="P23" s="458"/>
      <c r="Q23" s="458"/>
    </row>
    <row r="24" spans="1:17" s="398" customFormat="1" ht="17.100000000000001" customHeight="1">
      <c r="A24" s="458"/>
      <c r="B24" s="728" t="s">
        <v>309</v>
      </c>
      <c r="C24" s="729"/>
      <c r="D24" s="1455"/>
      <c r="E24" s="1455"/>
      <c r="F24" s="1455"/>
      <c r="G24" s="1455"/>
      <c r="H24" s="1444"/>
      <c r="I24" s="1445"/>
      <c r="J24" s="1445"/>
      <c r="K24" s="1446"/>
      <c r="L24" s="1392"/>
      <c r="M24" s="1393"/>
      <c r="N24" s="458"/>
      <c r="O24" s="458"/>
      <c r="P24" s="458"/>
      <c r="Q24" s="458"/>
    </row>
    <row r="25" spans="1:17" s="398" customFormat="1" ht="17.100000000000001" customHeight="1">
      <c r="A25" s="458"/>
      <c r="B25" s="395" t="s">
        <v>1999</v>
      </c>
      <c r="C25" s="458"/>
      <c r="D25" s="458"/>
      <c r="E25" s="458"/>
      <c r="F25" s="458"/>
      <c r="G25" s="458"/>
      <c r="H25" s="458"/>
      <c r="I25" s="458"/>
      <c r="L25" s="868">
        <f>SUM(L14:L24)</f>
        <v>8790700</v>
      </c>
      <c r="M25" s="869"/>
      <c r="N25" s="482"/>
      <c r="O25" s="482"/>
      <c r="P25" s="482"/>
      <c r="Q25" s="482"/>
    </row>
    <row r="26" spans="1:17" s="398" customFormat="1" ht="17.100000000000001" customHeight="1">
      <c r="A26" s="458"/>
      <c r="B26" s="716" t="s">
        <v>2000</v>
      </c>
      <c r="C26" s="458"/>
      <c r="D26" s="458"/>
      <c r="E26" s="458"/>
      <c r="F26" s="458"/>
      <c r="G26" s="458"/>
      <c r="H26" s="458"/>
      <c r="I26" s="458"/>
      <c r="L26" s="86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8790700</v>
      </c>
      <c r="M26" s="869"/>
      <c r="N26" s="864"/>
      <c r="O26" s="865"/>
      <c r="P26" s="865"/>
      <c r="Q26" s="865"/>
    </row>
    <row r="27" spans="1:17" s="398" customFormat="1" ht="17.100000000000001" customHeight="1">
      <c r="A27" s="458"/>
      <c r="B27" s="464" t="s">
        <v>3261</v>
      </c>
      <c r="C27" s="458"/>
      <c r="D27" s="458"/>
      <c r="E27" s="458"/>
      <c r="F27" s="458"/>
      <c r="G27" s="458"/>
      <c r="H27" s="458"/>
      <c r="I27" s="458"/>
      <c r="L27" s="870">
        <f>L25-L26</f>
        <v>0</v>
      </c>
      <c r="M27" s="871"/>
      <c r="N27" s="864"/>
      <c r="O27" s="865"/>
      <c r="P27" s="865"/>
      <c r="Q27" s="865"/>
    </row>
    <row r="28" spans="1:17" ht="9.75" customHeight="1">
      <c r="A28" s="491"/>
      <c r="B28" s="395"/>
      <c r="C28" s="482"/>
      <c r="D28" s="482"/>
      <c r="E28" s="482"/>
      <c r="F28" s="482"/>
      <c r="G28" s="482"/>
      <c r="H28" s="482"/>
      <c r="I28" s="482"/>
      <c r="J28" s="482"/>
      <c r="K28" s="482"/>
      <c r="L28" s="482"/>
      <c r="M28" s="721"/>
      <c r="N28" s="721"/>
      <c r="O28" s="482"/>
      <c r="P28" s="461"/>
      <c r="Q28" s="461"/>
    </row>
    <row r="29" spans="1:17" ht="9.75" customHeight="1">
      <c r="A29" s="461" t="s">
        <v>1232</v>
      </c>
      <c r="B29" s="395" t="s">
        <v>1383</v>
      </c>
      <c r="C29" s="482"/>
      <c r="D29" s="482"/>
      <c r="E29" s="482"/>
      <c r="F29" s="482"/>
      <c r="G29" s="482"/>
      <c r="H29" s="482"/>
      <c r="I29" s="482"/>
      <c r="J29" s="482"/>
      <c r="K29" s="482"/>
      <c r="L29" s="482"/>
      <c r="M29" s="721"/>
      <c r="N29" s="721"/>
      <c r="O29" s="482"/>
      <c r="P29" s="461"/>
      <c r="Q29" s="461"/>
    </row>
    <row r="30" spans="1:17" s="398" customFormat="1" ht="13.15" customHeight="1">
      <c r="A30" s="458"/>
      <c r="B30" s="458"/>
      <c r="C30" s="458"/>
      <c r="D30" s="458"/>
      <c r="E30" s="458"/>
      <c r="F30" s="721"/>
      <c r="G30" s="721"/>
      <c r="H30" s="854"/>
      <c r="I30" s="854"/>
      <c r="J30" s="552" t="s">
        <v>3195</v>
      </c>
      <c r="K30" s="721" t="s">
        <v>1996</v>
      </c>
      <c r="L30" s="721" t="s">
        <v>2001</v>
      </c>
      <c r="M30" s="777" t="s">
        <v>40</v>
      </c>
      <c r="N30" s="777"/>
      <c r="O30" s="715"/>
      <c r="P30" s="721"/>
      <c r="Q30" s="844" t="s">
        <v>3492</v>
      </c>
    </row>
    <row r="31" spans="1:17" s="398" customFormat="1" ht="13.15" customHeight="1" thickBot="1">
      <c r="A31" s="458"/>
      <c r="B31" s="720" t="s">
        <v>2927</v>
      </c>
      <c r="C31" s="729"/>
      <c r="D31" s="729"/>
      <c r="E31" s="842" t="s">
        <v>1998</v>
      </c>
      <c r="F31" s="842"/>
      <c r="G31" s="842"/>
      <c r="H31" s="782" t="s">
        <v>720</v>
      </c>
      <c r="I31" s="782"/>
      <c r="J31" s="719" t="s">
        <v>2844</v>
      </c>
      <c r="K31" s="719" t="s">
        <v>3332</v>
      </c>
      <c r="L31" s="719" t="s">
        <v>3332</v>
      </c>
      <c r="M31" s="1456"/>
      <c r="N31" s="1456"/>
      <c r="O31" s="782" t="s">
        <v>84</v>
      </c>
      <c r="P31" s="782"/>
      <c r="Q31" s="845"/>
    </row>
    <row r="32" spans="1:17" s="398" customFormat="1" ht="13.15" customHeight="1" thickBot="1">
      <c r="A32" s="458"/>
      <c r="B32" s="839" t="str">
        <f>IF(E32 ="&lt;&lt;Select applicable option&gt;&gt;", "Make a selection FIRST --&gt;",IF(E32 = "Neither","N/A","Mortgage A"))</f>
        <v>Make a selection FIRST --&gt;</v>
      </c>
      <c r="C32" s="840"/>
      <c r="D32" s="840"/>
      <c r="E32" s="1457" t="s">
        <v>365</v>
      </c>
      <c r="F32" s="1458"/>
      <c r="G32" s="1459"/>
      <c r="H32" s="855">
        <f>IF($E$32="USDA 538 Loan", 'Part III B-USDA 538 Loan'!C5,IF($E$32="HUD Insured Loan", 'Part III C-HUD Insured Loan'!D5,0))</f>
        <v>0</v>
      </c>
      <c r="I32" s="856"/>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66" t="str">
        <f>IF(OR(H32&lt;=0,H32=""),"",IF(O32="Amortizing",-PMT(J32/12,L32*12,H32,0,0)*12,IF(NOT(O32="Amortizing"),'Part VII-Pro Forma'!B23,"")))</f>
        <v/>
      </c>
      <c r="N32" s="867"/>
      <c r="O32" s="873" t="s">
        <v>3018</v>
      </c>
      <c r="P32" s="874"/>
      <c r="Q32" s="1460" t="s">
        <v>2761</v>
      </c>
    </row>
    <row r="33" spans="1:19" s="398" customFormat="1" ht="13.15" customHeight="1">
      <c r="A33" s="458"/>
      <c r="B33" s="841" t="str">
        <f>IF(OR(E32 = "Neither",E32 = "&lt;&lt;Select applicable option&gt;&gt;"), "Mortgage A","Mortgage B")</f>
        <v>Mortgage A</v>
      </c>
      <c r="C33" s="842"/>
      <c r="D33" s="843"/>
      <c r="E33" s="1461" t="s">
        <v>4070</v>
      </c>
      <c r="F33" s="1462"/>
      <c r="G33" s="1463"/>
      <c r="H33" s="1451">
        <v>465000</v>
      </c>
      <c r="I33" s="1452"/>
      <c r="J33" s="1464">
        <v>4.0500000000000001E-2</v>
      </c>
      <c r="K33" s="1441">
        <v>21</v>
      </c>
      <c r="L33" s="1441" t="s">
        <v>2761</v>
      </c>
      <c r="M33" s="1465" t="str">
        <f>IF(OR(H33&lt;=0,H33=""),"",IF(O33="Amortizing",-PMT(J33/12,L33*12,H33,0,0)*12,""))</f>
        <v/>
      </c>
      <c r="N33" s="1466"/>
      <c r="O33" s="1403" t="s">
        <v>1810</v>
      </c>
      <c r="P33" s="1404"/>
      <c r="Q33" s="1467" t="s">
        <v>4071</v>
      </c>
    </row>
    <row r="34" spans="1:19" s="398" customFormat="1" ht="13.15" customHeight="1">
      <c r="A34" s="458"/>
      <c r="B34" s="722" t="str">
        <f>IF(OR(E32 = "Neither",E32 = "&lt;&lt;Select applicable option&gt;&gt;"), "Mortgage B","Mortgage C")</f>
        <v>Mortgage B</v>
      </c>
      <c r="C34" s="723"/>
      <c r="D34" s="724"/>
      <c r="E34" s="1444" t="s">
        <v>3980</v>
      </c>
      <c r="F34" s="1468"/>
      <c r="G34" s="1452"/>
      <c r="H34" s="1451">
        <v>1075029</v>
      </c>
      <c r="I34" s="1452"/>
      <c r="J34" s="1464">
        <v>0.01</v>
      </c>
      <c r="K34" s="1441">
        <v>20</v>
      </c>
      <c r="L34" s="1441">
        <v>30</v>
      </c>
      <c r="M34" s="1465" t="str">
        <f>IF(OR(H34&lt;=0,H34=""),"",IF(O34="Amortizing",-PMT(J34/12,L34*12,H34,0,0)*12,""))</f>
        <v/>
      </c>
      <c r="N34" s="1466"/>
      <c r="O34" s="1403" t="s">
        <v>3989</v>
      </c>
      <c r="P34" s="1404"/>
      <c r="Q34" s="1467">
        <v>1.4</v>
      </c>
    </row>
    <row r="35" spans="1:19" s="398" customFormat="1" ht="13.15" customHeight="1">
      <c r="A35" s="458"/>
      <c r="B35" s="722" t="s">
        <v>1231</v>
      </c>
      <c r="C35" s="1403"/>
      <c r="D35" s="1404"/>
      <c r="E35" s="1444"/>
      <c r="F35" s="1468"/>
      <c r="G35" s="1452"/>
      <c r="H35" s="1451"/>
      <c r="I35" s="1452"/>
      <c r="J35" s="1464"/>
      <c r="K35" s="1441"/>
      <c r="L35" s="1441"/>
      <c r="M35" s="1465" t="str">
        <f>IF(OR(H35&lt;=0,H35=""),"",IF(O35="Amortizing",-PMT(J35/12,L35*12,H35,0,0)*12,""))</f>
        <v/>
      </c>
      <c r="N35" s="1466"/>
      <c r="O35" s="1403"/>
      <c r="P35" s="1404"/>
      <c r="Q35" s="1467"/>
    </row>
    <row r="36" spans="1:19" s="398" customFormat="1" ht="13.15" customHeight="1">
      <c r="A36" s="458"/>
      <c r="B36" s="722" t="s">
        <v>2086</v>
      </c>
      <c r="C36" s="723"/>
      <c r="D36" s="724"/>
      <c r="E36" s="1444"/>
      <c r="F36" s="1468"/>
      <c r="G36" s="1452"/>
      <c r="H36" s="1451"/>
      <c r="I36" s="1452"/>
      <c r="J36" s="1464"/>
      <c r="K36" s="1441"/>
      <c r="L36" s="1441"/>
      <c r="M36" s="1465" t="str">
        <f>IF(OR(H36&lt;=0,H36=""),"",IF(O36="Amortizing",-PMT(J36/12,L36*12,H36,0,0)*12,""))</f>
        <v/>
      </c>
      <c r="N36" s="1466"/>
      <c r="O36" s="1403"/>
      <c r="P36" s="1404"/>
      <c r="Q36" s="1467"/>
    </row>
    <row r="37" spans="1:19" s="398" customFormat="1" ht="13.15" customHeight="1">
      <c r="A37" s="458"/>
      <c r="B37" s="728" t="s">
        <v>292</v>
      </c>
      <c r="C37" s="729"/>
      <c r="D37" s="555" t="str">
        <f>IF(OR(H37="",H37=0,'Part IV-Uses of Funds'!$G$109="",'Part IV-Uses of Funds'!$G$109=0),"",H37/'Part IV-Uses of Funds'!$G$109)</f>
        <v/>
      </c>
      <c r="E37" s="1444"/>
      <c r="F37" s="1468"/>
      <c r="G37" s="1452"/>
      <c r="H37" s="1451"/>
      <c r="I37" s="1452"/>
      <c r="J37" s="1464"/>
      <c r="K37" s="1441"/>
      <c r="L37" s="1441"/>
      <c r="M37" s="1465" t="str">
        <f>IF(OR(H37&lt;=0,H37=""),"",IF(O37="Amortizing",-PMT(J37/12,L37*12,H37,0,0)*12,""))</f>
        <v/>
      </c>
      <c r="N37" s="1466"/>
      <c r="O37" s="1403"/>
      <c r="P37" s="1404"/>
      <c r="Q37" s="1467"/>
    </row>
    <row r="38" spans="1:19" s="398" customFormat="1" ht="13.15" customHeight="1">
      <c r="A38" s="458"/>
      <c r="B38" s="839" t="s">
        <v>3333</v>
      </c>
      <c r="C38" s="840"/>
      <c r="D38" s="863"/>
      <c r="E38" s="1444"/>
      <c r="F38" s="1468"/>
      <c r="G38" s="1452"/>
      <c r="H38" s="1469"/>
      <c r="I38" s="1470"/>
      <c r="K38" s="556"/>
      <c r="L38" s="556"/>
      <c r="M38" s="556"/>
      <c r="N38" s="556"/>
      <c r="O38" s="556"/>
      <c r="P38" s="556"/>
      <c r="Q38" s="556"/>
      <c r="S38" s="648" t="s">
        <v>809</v>
      </c>
    </row>
    <row r="39" spans="1:19" s="398" customFormat="1" ht="13.15" customHeight="1">
      <c r="A39" s="458"/>
      <c r="B39" s="841" t="s">
        <v>1384</v>
      </c>
      <c r="C39" s="842"/>
      <c r="D39" s="843"/>
      <c r="E39" s="1444"/>
      <c r="F39" s="1468"/>
      <c r="G39" s="1452"/>
      <c r="H39" s="1469"/>
      <c r="I39" s="1470"/>
      <c r="J39" s="846" t="s">
        <v>810</v>
      </c>
      <c r="K39" s="847"/>
      <c r="L39" s="652" t="s">
        <v>811</v>
      </c>
      <c r="M39" s="557"/>
      <c r="N39" s="557"/>
      <c r="O39" s="557"/>
      <c r="P39" s="557"/>
      <c r="Q39" s="556"/>
      <c r="S39" s="649" t="s">
        <v>3864</v>
      </c>
    </row>
    <row r="40" spans="1:19" s="398" customFormat="1" ht="13.15" customHeight="1">
      <c r="A40" s="458"/>
      <c r="B40" s="841" t="s">
        <v>1385</v>
      </c>
      <c r="C40" s="842"/>
      <c r="D40" s="843"/>
      <c r="E40" s="1444" t="s">
        <v>4016</v>
      </c>
      <c r="F40" s="1445"/>
      <c r="G40" s="1446"/>
      <c r="H40" s="1392">
        <v>6502600</v>
      </c>
      <c r="I40" s="1393"/>
      <c r="J40" s="848">
        <f>'Part IV-Uses of Funds'!$J$165*10*'Part IV-Uses of Funds'!$N$158</f>
        <v>6502600</v>
      </c>
      <c r="K40" s="849"/>
      <c r="L40" s="653">
        <f>H40-J40</f>
        <v>0</v>
      </c>
      <c r="M40" s="835" t="s">
        <v>2538</v>
      </c>
      <c r="N40" s="850"/>
      <c r="O40" s="850"/>
      <c r="P40" s="850"/>
      <c r="Q40" s="851"/>
      <c r="S40" s="650">
        <f>H40/H50</f>
        <v>0.62342354883562767</v>
      </c>
    </row>
    <row r="41" spans="1:19" s="398" customFormat="1" ht="13.15" customHeight="1">
      <c r="A41" s="458"/>
      <c r="B41" s="841" t="s">
        <v>1386</v>
      </c>
      <c r="C41" s="842"/>
      <c r="D41" s="843"/>
      <c r="E41" s="1444" t="s">
        <v>4016</v>
      </c>
      <c r="F41" s="1445"/>
      <c r="G41" s="1446"/>
      <c r="H41" s="1392">
        <v>2387840</v>
      </c>
      <c r="I41" s="1393"/>
      <c r="J41" s="848">
        <f>'Part IV-Uses of Funds'!$J$165*10*'Part IV-Uses of Funds'!$Q$158</f>
        <v>2387840</v>
      </c>
      <c r="K41" s="849"/>
      <c r="L41" s="653">
        <f>H41-J41</f>
        <v>0</v>
      </c>
      <c r="M41" s="852"/>
      <c r="N41" s="845"/>
      <c r="O41" s="845"/>
      <c r="P41" s="845"/>
      <c r="Q41" s="853"/>
      <c r="S41" s="650">
        <f>H41/H50</f>
        <v>0.22892930317898458</v>
      </c>
    </row>
    <row r="42" spans="1:19" s="398" customFormat="1" ht="13.15" customHeight="1">
      <c r="A42" s="458"/>
      <c r="B42" s="841" t="s">
        <v>2121</v>
      </c>
      <c r="C42" s="842"/>
      <c r="D42" s="843"/>
      <c r="E42" s="1444"/>
      <c r="F42" s="1445"/>
      <c r="G42" s="1446"/>
      <c r="H42" s="1451"/>
      <c r="I42" s="1471"/>
      <c r="M42" s="558" t="s">
        <v>3022</v>
      </c>
      <c r="N42" s="559" t="s">
        <v>3023</v>
      </c>
      <c r="O42" s="558">
        <v>8</v>
      </c>
      <c r="P42" s="558">
        <v>9</v>
      </c>
      <c r="Q42" s="558">
        <v>10</v>
      </c>
      <c r="S42" s="651">
        <f>SUM(S40:S41)</f>
        <v>0.85235285201461219</v>
      </c>
    </row>
    <row r="43" spans="1:19" s="398" customFormat="1" ht="13.15" customHeight="1">
      <c r="A43" s="458"/>
      <c r="B43" s="722" t="s">
        <v>825</v>
      </c>
      <c r="C43" s="723"/>
      <c r="D43" s="724"/>
      <c r="E43" s="1444"/>
      <c r="F43" s="1445"/>
      <c r="G43" s="1446"/>
      <c r="H43" s="1451"/>
      <c r="I43" s="1471"/>
      <c r="K43" s="458"/>
      <c r="L43" s="458"/>
      <c r="M43" s="558" t="s">
        <v>3024</v>
      </c>
      <c r="N43" s="1464">
        <v>0.01</v>
      </c>
      <c r="O43" s="1464">
        <v>5.0000000000000001E-3</v>
      </c>
      <c r="P43" s="1464">
        <v>5.0000000000000001E-3</v>
      </c>
      <c r="Q43" s="1464">
        <v>5.0000000000000001E-3</v>
      </c>
      <c r="S43" s="458"/>
    </row>
    <row r="44" spans="1:19" s="398" customFormat="1" ht="13.15" customHeight="1">
      <c r="A44" s="458"/>
      <c r="B44" s="722" t="s">
        <v>2925</v>
      </c>
      <c r="C44" s="723"/>
      <c r="D44" s="724"/>
      <c r="E44" s="1444"/>
      <c r="F44" s="1445"/>
      <c r="G44" s="1446"/>
      <c r="H44" s="1451"/>
      <c r="I44" s="1471"/>
      <c r="J44" s="458"/>
      <c r="M44" s="560">
        <v>11</v>
      </c>
      <c r="N44" s="560">
        <v>12</v>
      </c>
      <c r="O44" s="715">
        <v>13</v>
      </c>
      <c r="P44" s="558">
        <v>14</v>
      </c>
      <c r="Q44" s="558">
        <v>15</v>
      </c>
    </row>
    <row r="45" spans="1:19" s="398" customFormat="1" ht="13.15" customHeight="1">
      <c r="A45" s="458"/>
      <c r="B45" s="722" t="s">
        <v>2926</v>
      </c>
      <c r="C45" s="723"/>
      <c r="D45" s="724"/>
      <c r="E45" s="1444"/>
      <c r="F45" s="1445"/>
      <c r="G45" s="1446"/>
      <c r="H45" s="1451"/>
      <c r="I45" s="1471"/>
      <c r="J45" s="458"/>
      <c r="M45" s="1464">
        <v>5.0000000000000001E-3</v>
      </c>
      <c r="N45" s="1464">
        <v>5.0000000000000001E-3</v>
      </c>
      <c r="O45" s="1464">
        <v>5.0000000000000001E-3</v>
      </c>
      <c r="P45" s="1464">
        <v>5.0000000000000001E-3</v>
      </c>
      <c r="Q45" s="1464">
        <v>5.0000000000000001E-3</v>
      </c>
    </row>
    <row r="46" spans="1:19" s="398" customFormat="1" ht="13.15" customHeight="1">
      <c r="A46" s="458"/>
      <c r="B46" s="722" t="s">
        <v>1231</v>
      </c>
      <c r="C46" s="1444"/>
      <c r="D46" s="1446"/>
      <c r="E46" s="1444"/>
      <c r="F46" s="1445"/>
      <c r="G46" s="1446"/>
      <c r="H46" s="1451"/>
      <c r="I46" s="1471"/>
      <c r="J46" s="458"/>
      <c r="M46" s="558">
        <v>16</v>
      </c>
      <c r="N46" s="558">
        <v>17</v>
      </c>
      <c r="O46" s="558">
        <v>18</v>
      </c>
      <c r="P46" s="721">
        <v>19</v>
      </c>
      <c r="Q46" s="721">
        <v>20</v>
      </c>
    </row>
    <row r="47" spans="1:19" s="398" customFormat="1" ht="13.15" customHeight="1">
      <c r="A47" s="458"/>
      <c r="B47" s="722" t="s">
        <v>1231</v>
      </c>
      <c r="C47" s="1444"/>
      <c r="D47" s="1446"/>
      <c r="E47" s="1444"/>
      <c r="F47" s="1445"/>
      <c r="G47" s="1446"/>
      <c r="H47" s="1451"/>
      <c r="I47" s="1471"/>
      <c r="J47" s="458"/>
      <c r="K47" s="458"/>
      <c r="L47" s="558"/>
      <c r="M47" s="1464">
        <v>2.5000000000000001E-3</v>
      </c>
      <c r="N47" s="1464">
        <v>2.5000000000000001E-3</v>
      </c>
      <c r="O47" s="1464">
        <v>2.5000000000000001E-3</v>
      </c>
      <c r="P47" s="1464">
        <v>2.5000000000000001E-3</v>
      </c>
      <c r="Q47" s="1464">
        <v>2.5000000000000001E-3</v>
      </c>
    </row>
    <row r="48" spans="1:19" s="398" customFormat="1" ht="13.15" customHeight="1">
      <c r="A48" s="458"/>
      <c r="B48" s="728" t="s">
        <v>1231</v>
      </c>
      <c r="C48" s="1444"/>
      <c r="D48" s="1446"/>
      <c r="E48" s="1444"/>
      <c r="F48" s="1445"/>
      <c r="G48" s="1446"/>
      <c r="H48" s="1451"/>
      <c r="I48" s="1471"/>
      <c r="J48" s="458"/>
      <c r="K48" s="458"/>
      <c r="L48" s="558"/>
      <c r="M48" s="721">
        <v>21</v>
      </c>
      <c r="N48" s="721">
        <v>22</v>
      </c>
      <c r="O48" s="721">
        <v>23</v>
      </c>
      <c r="P48" s="721">
        <v>24</v>
      </c>
      <c r="Q48" s="721">
        <v>25</v>
      </c>
    </row>
    <row r="49" spans="1:17" s="398" customFormat="1" ht="13.15" customHeight="1">
      <c r="A49" s="458"/>
      <c r="B49" s="716" t="s">
        <v>3334</v>
      </c>
      <c r="C49" s="458"/>
      <c r="D49" s="458"/>
      <c r="E49" s="458"/>
      <c r="F49" s="458"/>
      <c r="G49" s="458"/>
      <c r="H49" s="877">
        <f>SUM(H32:I48)</f>
        <v>10430469</v>
      </c>
      <c r="I49" s="878"/>
      <c r="J49" s="482"/>
      <c r="K49" s="458"/>
      <c r="L49" s="558"/>
      <c r="M49" s="1464"/>
      <c r="N49" s="1464"/>
      <c r="O49" s="1464"/>
      <c r="P49" s="1464"/>
      <c r="Q49" s="1464"/>
    </row>
    <row r="50" spans="1:17" s="398" customFormat="1" ht="13.15" customHeight="1" thickBot="1">
      <c r="A50" s="458"/>
      <c r="B50" s="716" t="s">
        <v>3335</v>
      </c>
      <c r="C50" s="458"/>
      <c r="D50" s="458"/>
      <c r="E50" s="458"/>
      <c r="F50" s="458"/>
      <c r="G50" s="458"/>
      <c r="H50" s="875">
        <f>'Part IV-Uses of Funds'!$G$123</f>
        <v>10430469</v>
      </c>
      <c r="I50" s="876"/>
      <c r="J50" s="482"/>
      <c r="K50" s="458"/>
      <c r="L50" s="558"/>
      <c r="M50" s="721">
        <v>26</v>
      </c>
      <c r="N50" s="721">
        <v>27</v>
      </c>
      <c r="O50" s="721">
        <v>28</v>
      </c>
      <c r="P50" s="721">
        <v>29</v>
      </c>
      <c r="Q50" s="721">
        <v>30</v>
      </c>
    </row>
    <row r="51" spans="1:17" s="398" customFormat="1" ht="13.15" customHeight="1" thickBot="1">
      <c r="A51" s="458"/>
      <c r="B51" s="464" t="s">
        <v>2277</v>
      </c>
      <c r="C51" s="458"/>
      <c r="D51" s="458"/>
      <c r="E51" s="458"/>
      <c r="F51" s="458"/>
      <c r="G51" s="458"/>
      <c r="H51" s="861">
        <f>H49-H50</f>
        <v>0</v>
      </c>
      <c r="I51" s="862"/>
      <c r="J51" s="482"/>
      <c r="K51" s="458"/>
      <c r="L51" s="558"/>
      <c r="M51" s="1464"/>
      <c r="N51" s="1464"/>
      <c r="O51" s="1464"/>
      <c r="P51" s="1464"/>
      <c r="Q51" s="1464"/>
    </row>
    <row r="52" spans="1:17" ht="6" customHeight="1">
      <c r="A52" s="482"/>
      <c r="B52" s="482"/>
      <c r="C52" s="482"/>
      <c r="D52" s="482"/>
      <c r="E52" s="482"/>
      <c r="F52" s="482"/>
      <c r="G52" s="482"/>
      <c r="H52" s="482"/>
      <c r="I52" s="482"/>
      <c r="J52" s="482"/>
      <c r="K52" s="482"/>
      <c r="L52" s="482"/>
      <c r="M52" s="482"/>
      <c r="N52" s="482"/>
      <c r="O52" s="482"/>
      <c r="P52" s="482"/>
      <c r="Q52" s="482"/>
    </row>
    <row r="53" spans="1:17" ht="12.4" customHeight="1">
      <c r="A53" s="461" t="s">
        <v>2824</v>
      </c>
      <c r="B53" s="461" t="s">
        <v>880</v>
      </c>
      <c r="C53" s="482"/>
      <c r="D53" s="482"/>
      <c r="E53" s="482"/>
      <c r="F53" s="482"/>
      <c r="G53" s="482"/>
      <c r="H53" s="482"/>
      <c r="I53" s="482"/>
      <c r="J53" s="482"/>
      <c r="K53" s="461" t="s">
        <v>2824</v>
      </c>
      <c r="L53" s="461" t="s">
        <v>89</v>
      </c>
      <c r="M53" s="482"/>
      <c r="N53" s="482"/>
      <c r="O53" s="482"/>
      <c r="P53" s="482"/>
      <c r="Q53" s="482"/>
    </row>
    <row r="54" spans="1:17" ht="5.45" customHeight="1">
      <c r="B54" s="519"/>
    </row>
    <row r="55" spans="1:17" ht="15" customHeight="1">
      <c r="A55" s="1290"/>
      <c r="B55" s="1255"/>
      <c r="C55" s="1255"/>
      <c r="D55" s="1255"/>
      <c r="E55" s="1255"/>
      <c r="F55" s="1255"/>
      <c r="G55" s="1255"/>
      <c r="H55" s="1255"/>
      <c r="I55" s="1255"/>
      <c r="J55" s="1256"/>
      <c r="K55" s="1293"/>
      <c r="L55" s="1255"/>
      <c r="M55" s="1255"/>
      <c r="N55" s="1255"/>
      <c r="O55" s="1255"/>
      <c r="P55" s="1255"/>
      <c r="Q55" s="1256"/>
    </row>
    <row r="56" spans="1:17" ht="3.75" customHeight="1">
      <c r="A56" s="1472"/>
      <c r="B56" s="1473"/>
      <c r="C56" s="1473"/>
      <c r="D56" s="1473"/>
      <c r="E56" s="1473"/>
      <c r="F56" s="1473"/>
      <c r="G56" s="1473"/>
      <c r="H56" s="1473"/>
      <c r="I56" s="1473"/>
      <c r="J56" s="1474"/>
      <c r="K56" s="1297"/>
      <c r="L56" s="1473"/>
      <c r="M56" s="1473"/>
      <c r="N56" s="1473"/>
      <c r="O56" s="1473"/>
      <c r="P56" s="1473"/>
      <c r="Q56" s="1474"/>
    </row>
    <row r="57" spans="1:17" s="398" customFormat="1" ht="92.25" customHeight="1">
      <c r="A57" s="1294" t="s">
        <v>4072</v>
      </c>
      <c r="B57" s="1473"/>
      <c r="C57" s="1473"/>
      <c r="D57" s="1473"/>
      <c r="E57" s="1473"/>
      <c r="F57" s="1473"/>
      <c r="G57" s="1473"/>
      <c r="H57" s="1473"/>
      <c r="I57" s="1473"/>
      <c r="J57" s="1474"/>
      <c r="K57" s="1297"/>
      <c r="L57" s="1473"/>
      <c r="M57" s="1473"/>
      <c r="N57" s="1473"/>
      <c r="O57" s="1473"/>
      <c r="P57" s="1473"/>
      <c r="Q57" s="1474"/>
    </row>
    <row r="58" spans="1:17" ht="51" customHeight="1">
      <c r="A58" s="1475"/>
      <c r="B58" s="1266"/>
      <c r="C58" s="1266"/>
      <c r="D58" s="1266"/>
      <c r="E58" s="1266"/>
      <c r="F58" s="1266"/>
      <c r="G58" s="1266"/>
      <c r="H58" s="1266"/>
      <c r="I58" s="1266"/>
      <c r="J58" s="1267"/>
      <c r="K58" s="1301"/>
      <c r="L58" s="1266"/>
      <c r="M58" s="1266"/>
      <c r="N58" s="1266"/>
      <c r="O58" s="1266"/>
      <c r="P58" s="1266"/>
      <c r="Q58" s="1267"/>
    </row>
    <row r="59" spans="1:17" ht="11.25" customHeight="1"/>
    <row r="60" spans="1:17" ht="12.4" customHeight="1"/>
    <row r="61" spans="1:17" ht="12.4"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C35:D35"/>
    <mergeCell ref="B42:D42"/>
    <mergeCell ref="H45:I45"/>
    <mergeCell ref="H43:I43"/>
    <mergeCell ref="H44:I44"/>
    <mergeCell ref="E45:G45"/>
    <mergeCell ref="E43:G43"/>
    <mergeCell ref="B41:D41"/>
    <mergeCell ref="B40:D40"/>
    <mergeCell ref="H38:I38"/>
    <mergeCell ref="H40:I40"/>
    <mergeCell ref="H37:I37"/>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s>
  <phoneticPr fontId="5" type="noConversion"/>
  <conditionalFormatting sqref="B32:D32">
    <cfRule type="cellIs" dxfId="10" priority="1" stopIfTrue="1" operator="equal">
      <formula>"Make a selection FIRST --&gt;"</formula>
    </cfRule>
  </conditionalFormatting>
  <dataValidations disablePrompts="1"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D27" sqref="D27:E27"/>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285156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87" t="str">
        <f>CONCATENATE("PART III B: USD 538 LOAN","  -  ",'Part I-Project Information'!$O$4," ",'Part I-Project Information'!$F$22,", ",'Part I-Project Information'!$F$24,", ",'Part I-Project Information'!$J$25," County")</f>
        <v>PART III B: USD 538 LOAN  -  2011-044 Brentwood Place Apartments, Forsyth, Monroe County</v>
      </c>
      <c r="B1" s="888"/>
      <c r="C1" s="888"/>
      <c r="D1" s="888"/>
      <c r="E1" s="888"/>
      <c r="F1" s="889"/>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0" t="s">
        <v>278</v>
      </c>
      <c r="B3" s="880"/>
      <c r="C3" s="880"/>
      <c r="D3" s="880"/>
      <c r="E3" s="880"/>
      <c r="F3" s="880"/>
      <c r="G3" s="275"/>
      <c r="H3" s="275"/>
    </row>
    <row r="4" spans="1:17" s="264" customFormat="1" ht="6" customHeight="1"/>
    <row r="5" spans="1:17">
      <c r="A5" s="42" t="s">
        <v>3386</v>
      </c>
      <c r="B5" s="42"/>
      <c r="C5" s="1438"/>
      <c r="D5" s="374">
        <f>IF(C5&gt;1500000,1500000,0)</f>
        <v>0</v>
      </c>
      <c r="E5" s="375">
        <f>IF(C5&gt;1500000,C5-1500000,0)</f>
        <v>0</v>
      </c>
    </row>
    <row r="6" spans="1:17">
      <c r="A6" s="42" t="s">
        <v>3735</v>
      </c>
      <c r="B6" s="300" t="s">
        <v>746</v>
      </c>
      <c r="C6" s="376">
        <v>0</v>
      </c>
      <c r="D6" s="160" t="s">
        <v>747</v>
      </c>
      <c r="E6" s="42"/>
    </row>
    <row r="7" spans="1:17">
      <c r="A7" s="42"/>
      <c r="B7" s="300" t="s">
        <v>3751</v>
      </c>
      <c r="C7" s="1439"/>
      <c r="D7" s="160" t="s">
        <v>2660</v>
      </c>
      <c r="E7" s="42"/>
    </row>
    <row r="8" spans="1:17" ht="13.15" customHeight="1">
      <c r="A8" s="42" t="s">
        <v>3739</v>
      </c>
      <c r="B8" s="42"/>
      <c r="C8" s="376">
        <v>0</v>
      </c>
      <c r="D8" s="160" t="s">
        <v>2661</v>
      </c>
      <c r="E8" s="42"/>
    </row>
    <row r="9" spans="1:17">
      <c r="A9" s="42" t="s">
        <v>2094</v>
      </c>
      <c r="B9" s="42"/>
      <c r="C9" s="1440"/>
      <c r="D9" s="42"/>
      <c r="E9" s="42"/>
    </row>
    <row r="10" spans="1:17">
      <c r="A10" s="42" t="s">
        <v>2095</v>
      </c>
      <c r="B10" s="42"/>
      <c r="C10" s="1440"/>
      <c r="D10" s="42"/>
      <c r="E10" s="42"/>
    </row>
    <row r="11" spans="1:17">
      <c r="A11" s="42" t="s">
        <v>2092</v>
      </c>
      <c r="B11" s="42"/>
      <c r="C11" s="377" t="e">
        <f>PMT(C7/12,C10*12,-C5,0,0)*12</f>
        <v>#DIV/0!</v>
      </c>
      <c r="D11" s="374" t="e">
        <f>PMT($C$7/12,$C$10*12,-D5,0,0)*12</f>
        <v>#DIV/0!</v>
      </c>
      <c r="E11" s="374" t="e">
        <f>PMT($C$7/12,$C$10*12,-E5,0,0)*12</f>
        <v>#DIV/0!</v>
      </c>
    </row>
    <row r="12" spans="1:17">
      <c r="A12" s="42" t="s">
        <v>2093</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1" t="s">
        <v>143</v>
      </c>
      <c r="B14" s="881"/>
      <c r="C14" s="881"/>
      <c r="D14" s="881"/>
      <c r="E14" s="881"/>
      <c r="F14" s="881"/>
      <c r="G14" s="275"/>
      <c r="H14" s="275"/>
    </row>
    <row r="15" spans="1:17" ht="5.45" customHeight="1">
      <c r="A15" s="34"/>
      <c r="E15" s="288"/>
      <c r="F15" s="275"/>
      <c r="G15" s="275"/>
      <c r="H15" s="275"/>
    </row>
    <row r="16" spans="1:17" ht="13.15" customHeight="1">
      <c r="A16" s="290" t="s">
        <v>3753</v>
      </c>
      <c r="B16" s="733" t="s">
        <v>3749</v>
      </c>
      <c r="C16" s="733" t="s">
        <v>3750</v>
      </c>
      <c r="D16" s="890" t="s">
        <v>3385</v>
      </c>
      <c r="E16" s="890"/>
      <c r="F16" s="275"/>
      <c r="G16" s="275"/>
      <c r="H16" s="275"/>
    </row>
    <row r="17" spans="1:8" ht="12.6" customHeight="1">
      <c r="A17" s="111">
        <v>1</v>
      </c>
      <c r="B17" s="265">
        <f>IF(A17&gt;$C$9,0,SUM(C64:C75)*($C$6/$C$7))</f>
        <v>0</v>
      </c>
      <c r="C17" s="289">
        <f>IF(A17&gt;C9,0,(E63+K63)*$C$8)</f>
        <v>0</v>
      </c>
      <c r="D17" s="885">
        <f t="shared" ref="D17:D56" si="0">IF(A17&gt;$C$9,0,$C$11+C17)</f>
        <v>0</v>
      </c>
      <c r="E17" s="885"/>
      <c r="F17" s="275"/>
      <c r="G17" s="275"/>
      <c r="H17" s="275"/>
    </row>
    <row r="18" spans="1:8" ht="12.6" customHeight="1">
      <c r="A18" s="111">
        <v>2</v>
      </c>
      <c r="B18" s="265">
        <f>IF(A18&gt;C9,0,SUM(C76:C87)*($C$6/$C$7))</f>
        <v>0</v>
      </c>
      <c r="C18" s="293">
        <f>IF(A18&gt;C9,0,(E75+K75)*$C$8)</f>
        <v>0</v>
      </c>
      <c r="D18" s="883">
        <f t="shared" si="0"/>
        <v>0</v>
      </c>
      <c r="E18" s="883"/>
      <c r="F18" s="275"/>
      <c r="G18" s="275"/>
      <c r="H18" s="275"/>
    </row>
    <row r="19" spans="1:8" ht="12.6" customHeight="1">
      <c r="A19" s="111">
        <v>3</v>
      </c>
      <c r="B19" s="265">
        <f>IF(A19&gt;C9,0,SUM(C88:C99)*($C$6/$C$7))</f>
        <v>0</v>
      </c>
      <c r="C19" s="289">
        <f>IF(A19&gt;C9,0,(E87+K87)*$C$8)</f>
        <v>0</v>
      </c>
      <c r="D19" s="883">
        <f t="shared" si="0"/>
        <v>0</v>
      </c>
      <c r="E19" s="883"/>
      <c r="F19" s="275"/>
      <c r="G19" s="275"/>
      <c r="H19" s="275"/>
    </row>
    <row r="20" spans="1:8" ht="12.6" customHeight="1">
      <c r="A20" s="111">
        <v>4</v>
      </c>
      <c r="B20" s="265">
        <f>IF(A20&gt;C9,0,SUM(C100:C111)*($C$6/$C$7))</f>
        <v>0</v>
      </c>
      <c r="C20" s="289">
        <f>IF(A20&gt;C9,0,(E99+K99)*$C$8)</f>
        <v>0</v>
      </c>
      <c r="D20" s="883">
        <f t="shared" si="0"/>
        <v>0</v>
      </c>
      <c r="E20" s="883"/>
      <c r="F20" s="275"/>
      <c r="G20" s="275"/>
      <c r="H20" s="275"/>
    </row>
    <row r="21" spans="1:8" ht="12.6" customHeight="1">
      <c r="A21" s="111">
        <v>5</v>
      </c>
      <c r="B21" s="265">
        <f>IF(A21&gt;C9,0,SUM(C112:C123)*($C$6/$C$7))</f>
        <v>0</v>
      </c>
      <c r="C21" s="289">
        <f>IF(A21&gt;C9,0,(E111+K111)*$C$8)</f>
        <v>0</v>
      </c>
      <c r="D21" s="884">
        <f t="shared" si="0"/>
        <v>0</v>
      </c>
      <c r="E21" s="884"/>
      <c r="F21" s="275"/>
      <c r="G21" s="275"/>
      <c r="H21" s="275"/>
    </row>
    <row r="22" spans="1:8" ht="12.6" customHeight="1">
      <c r="A22" s="266">
        <v>6</v>
      </c>
      <c r="B22" s="267">
        <f>IF(A22&gt;C9,0,SUM(C124:C135)*($C$6/$C$7))</f>
        <v>0</v>
      </c>
      <c r="C22" s="732">
        <f>IF(A22&gt;C9,0,(E123+K123)*$C$8)</f>
        <v>0</v>
      </c>
      <c r="D22" s="883">
        <f t="shared" si="0"/>
        <v>0</v>
      </c>
      <c r="E22" s="883"/>
      <c r="F22" s="275"/>
      <c r="G22" s="275"/>
      <c r="H22" s="275"/>
    </row>
    <row r="23" spans="1:8" ht="12.6" customHeight="1">
      <c r="A23" s="268">
        <v>7</v>
      </c>
      <c r="B23" s="269">
        <f>IF(A23&gt;C9,0,SUM(C136:C147)*($C$6/$C$7))</f>
        <v>0</v>
      </c>
      <c r="C23" s="730">
        <f>IF(A23&gt;C9,0,(E135+K135)*$C$8)</f>
        <v>0</v>
      </c>
      <c r="D23" s="883">
        <f t="shared" si="0"/>
        <v>0</v>
      </c>
      <c r="E23" s="883"/>
      <c r="F23" s="275"/>
      <c r="G23" s="275"/>
      <c r="H23" s="275"/>
    </row>
    <row r="24" spans="1:8" ht="12.6" customHeight="1">
      <c r="A24" s="268">
        <v>8</v>
      </c>
      <c r="B24" s="269">
        <f>IF(A24&gt;C9,0,SUM(C148:C159)*($C$6/$C$7))</f>
        <v>0</v>
      </c>
      <c r="C24" s="730">
        <f>IF(A24&gt;C9,0,(E147+K147)*$C$8)</f>
        <v>0</v>
      </c>
      <c r="D24" s="883">
        <f t="shared" si="0"/>
        <v>0</v>
      </c>
      <c r="E24" s="883"/>
      <c r="F24" s="275"/>
      <c r="G24" s="275"/>
      <c r="H24" s="275"/>
    </row>
    <row r="25" spans="1:8" ht="12.6" customHeight="1">
      <c r="A25" s="268">
        <v>9</v>
      </c>
      <c r="B25" s="269">
        <f>IF(A25&gt;C9,0,SUM(C160:C171)*($C$6/$C$7))</f>
        <v>0</v>
      </c>
      <c r="C25" s="730">
        <f>IF(A25&gt;C9,0,(E159+K159)*$C$8)</f>
        <v>0</v>
      </c>
      <c r="D25" s="883">
        <f t="shared" si="0"/>
        <v>0</v>
      </c>
      <c r="E25" s="883"/>
      <c r="F25" s="275"/>
      <c r="G25" s="275"/>
      <c r="H25" s="275"/>
    </row>
    <row r="26" spans="1:8" ht="12.6" customHeight="1">
      <c r="A26" s="270">
        <v>10</v>
      </c>
      <c r="B26" s="271">
        <f>IF(A26&gt;C9,0,SUM(C172:C183)*($C$6/$C$7))</f>
        <v>0</v>
      </c>
      <c r="C26" s="731">
        <f>IF(A26&gt;C9,0,(E171+K171)*$C$8)</f>
        <v>0</v>
      </c>
      <c r="D26" s="884">
        <f t="shared" si="0"/>
        <v>0</v>
      </c>
      <c r="E26" s="884"/>
      <c r="F26" s="275"/>
      <c r="G26" s="275"/>
      <c r="H26" s="275"/>
    </row>
    <row r="27" spans="1:8" ht="12.6" customHeight="1">
      <c r="A27" s="272">
        <v>11</v>
      </c>
      <c r="B27" s="265">
        <f>IF(A27&gt;C9,0,SUM(C184:C195)*($C$6/$C$7))</f>
        <v>0</v>
      </c>
      <c r="C27" s="289">
        <f>IF(A27&gt;C9,0,(E183+K183)*$C$8)</f>
        <v>0</v>
      </c>
      <c r="D27" s="883">
        <f t="shared" si="0"/>
        <v>0</v>
      </c>
      <c r="E27" s="883"/>
      <c r="F27" s="275"/>
      <c r="G27" s="275"/>
      <c r="H27" s="275"/>
    </row>
    <row r="28" spans="1:8" ht="12.6" customHeight="1">
      <c r="A28" s="272">
        <v>12</v>
      </c>
      <c r="B28" s="265">
        <f>IF(A28&gt;C9,0,SUM(C196:C207)*($C$6/$C$7))</f>
        <v>0</v>
      </c>
      <c r="C28" s="289">
        <f>IF(A28&gt;C9,0,(E195+K195)*$C$8)</f>
        <v>0</v>
      </c>
      <c r="D28" s="883">
        <f t="shared" si="0"/>
        <v>0</v>
      </c>
      <c r="E28" s="883"/>
      <c r="F28" s="275"/>
      <c r="G28" s="275"/>
      <c r="H28" s="275"/>
    </row>
    <row r="29" spans="1:8" ht="12.6" customHeight="1">
      <c r="A29" s="272">
        <v>13</v>
      </c>
      <c r="B29" s="265">
        <f>IF(A29&gt;C9,0,SUM(C208:C219)*($C$6/$C$7))</f>
        <v>0</v>
      </c>
      <c r="C29" s="289">
        <f>IF(A29&gt;C9,0,(E207+K207)*$C$8)</f>
        <v>0</v>
      </c>
      <c r="D29" s="883">
        <f t="shared" si="0"/>
        <v>0</v>
      </c>
      <c r="E29" s="883"/>
      <c r="F29" s="275"/>
      <c r="G29" s="275"/>
      <c r="H29" s="275"/>
    </row>
    <row r="30" spans="1:8" ht="12.6" customHeight="1">
      <c r="A30" s="272">
        <v>14</v>
      </c>
      <c r="B30" s="265">
        <f>IF(A30&gt;C9,0,SUM(C220:C231)*($C$6/$C$7))</f>
        <v>0</v>
      </c>
      <c r="C30" s="289">
        <f>IF(A30&gt;C9,0,(E219+K219)*$C$8)</f>
        <v>0</v>
      </c>
      <c r="D30" s="883">
        <f t="shared" si="0"/>
        <v>0</v>
      </c>
      <c r="E30" s="883"/>
      <c r="F30" s="275"/>
      <c r="G30" s="275"/>
      <c r="H30" s="275"/>
    </row>
    <row r="31" spans="1:8" ht="12.6" customHeight="1">
      <c r="A31" s="272">
        <v>15</v>
      </c>
      <c r="B31" s="265">
        <f>IF(A31&gt;C9,0,SUM(C232:C243)*($C$6/$C$7))</f>
        <v>0</v>
      </c>
      <c r="C31" s="289">
        <f>IF(A31&gt;C9,0,(E231+K231)*$C$8)</f>
        <v>0</v>
      </c>
      <c r="D31" s="884">
        <f t="shared" si="0"/>
        <v>0</v>
      </c>
      <c r="E31" s="884"/>
      <c r="F31" s="275"/>
      <c r="G31" s="275"/>
      <c r="H31" s="275"/>
    </row>
    <row r="32" spans="1:8" ht="12.6" customHeight="1">
      <c r="A32" s="274">
        <v>16</v>
      </c>
      <c r="B32" s="267">
        <f>IF(A32&gt;C9,0,SUM(C244:C255)*($C$6/$C$7))</f>
        <v>0</v>
      </c>
      <c r="C32" s="732">
        <f>IF(A32&gt;C9,0,(E243+K243)*$C$8)</f>
        <v>0</v>
      </c>
      <c r="D32" s="883">
        <f t="shared" si="0"/>
        <v>0</v>
      </c>
      <c r="E32" s="883"/>
      <c r="F32" s="275"/>
      <c r="G32" s="275"/>
      <c r="H32" s="275"/>
    </row>
    <row r="33" spans="1:8" ht="12.6" customHeight="1">
      <c r="A33" s="268">
        <v>17</v>
      </c>
      <c r="B33" s="269">
        <f>IF(A33&gt;C9,0,SUM(C256:C267)*($C$6/$C$7))</f>
        <v>0</v>
      </c>
      <c r="C33" s="730">
        <f>IF(A33&gt;C9,0,(E255+K255)*$C$8)</f>
        <v>0</v>
      </c>
      <c r="D33" s="883">
        <f t="shared" si="0"/>
        <v>0</v>
      </c>
      <c r="E33" s="883"/>
      <c r="F33" s="275"/>
      <c r="G33" s="275"/>
      <c r="H33" s="275"/>
    </row>
    <row r="34" spans="1:8" ht="12.6" customHeight="1">
      <c r="A34" s="268">
        <v>18</v>
      </c>
      <c r="B34" s="269">
        <f>IF(A34&gt;C9,0,SUM(C268:C279)*($C$6/$C$7))</f>
        <v>0</v>
      </c>
      <c r="C34" s="730">
        <f>IF(A34&gt;C9,0,(E267+K267)*$C$8)</f>
        <v>0</v>
      </c>
      <c r="D34" s="883">
        <f t="shared" si="0"/>
        <v>0</v>
      </c>
      <c r="E34" s="883"/>
      <c r="F34" s="275"/>
      <c r="G34" s="275"/>
      <c r="H34" s="275"/>
    </row>
    <row r="35" spans="1:8" ht="12.6" customHeight="1">
      <c r="A35" s="268">
        <v>19</v>
      </c>
      <c r="B35" s="269">
        <f>IF(A35&gt;C9,0,SUM(C280:C291)*($C$6/$C$7))</f>
        <v>0</v>
      </c>
      <c r="C35" s="730">
        <f>IF(A35&gt;C9,0,(E279+K279)*$C$8)</f>
        <v>0</v>
      </c>
      <c r="D35" s="883">
        <f t="shared" si="0"/>
        <v>0</v>
      </c>
      <c r="E35" s="883"/>
      <c r="F35" s="275"/>
      <c r="G35" s="275"/>
      <c r="H35" s="275"/>
    </row>
    <row r="36" spans="1:8" ht="12.6" customHeight="1">
      <c r="A36" s="270">
        <v>20</v>
      </c>
      <c r="B36" s="271">
        <f>IF(A36&gt;C9,0,SUM(C292:C303)*($C$6/$C$7))</f>
        <v>0</v>
      </c>
      <c r="C36" s="731">
        <f>IF(A36&gt;C9,0,(E291+K291)*$C$8)</f>
        <v>0</v>
      </c>
      <c r="D36" s="884">
        <f t="shared" si="0"/>
        <v>0</v>
      </c>
      <c r="E36" s="884"/>
      <c r="F36" s="275"/>
      <c r="G36" s="275"/>
      <c r="H36" s="275"/>
    </row>
    <row r="37" spans="1:8" ht="12.6" customHeight="1">
      <c r="A37" s="111">
        <v>21</v>
      </c>
      <c r="B37" s="267">
        <f>IF(A37&gt;C9,0,SUM(C293:C304)*($C$6/$C$7))</f>
        <v>0</v>
      </c>
      <c r="C37" s="732">
        <f>IF(A37&gt;C9,0,(E303+K303)*$C$8)</f>
        <v>0</v>
      </c>
      <c r="D37" s="886">
        <f t="shared" si="0"/>
        <v>0</v>
      </c>
      <c r="E37" s="886"/>
      <c r="F37" s="275"/>
      <c r="G37" s="275"/>
      <c r="H37" s="275"/>
    </row>
    <row r="38" spans="1:8" ht="12.6" customHeight="1">
      <c r="A38" s="111">
        <v>22</v>
      </c>
      <c r="B38" s="269">
        <f>IF(A38&gt;C9,0,SUM(C294:C305)*($C$6/$C$7))</f>
        <v>0</v>
      </c>
      <c r="C38" s="730">
        <f>IF(A38&gt;C9,0,(E315+K315)*$C$8)</f>
        <v>0</v>
      </c>
      <c r="D38" s="883">
        <f t="shared" si="0"/>
        <v>0</v>
      </c>
      <c r="E38" s="883"/>
      <c r="F38" s="275"/>
      <c r="G38" s="275"/>
      <c r="H38" s="275"/>
    </row>
    <row r="39" spans="1:8" ht="12.6" customHeight="1">
      <c r="A39" s="111">
        <v>23</v>
      </c>
      <c r="B39" s="269">
        <f>IF(A39&gt;C9,0,SUM(C295:C306)*($C$6/$C$7))</f>
        <v>0</v>
      </c>
      <c r="C39" s="730">
        <f>IF(A39&gt;C9,0,(E327+K327)*$C$8)</f>
        <v>0</v>
      </c>
      <c r="D39" s="883">
        <f t="shared" si="0"/>
        <v>0</v>
      </c>
      <c r="E39" s="883"/>
      <c r="F39" s="275"/>
      <c r="G39" s="275"/>
      <c r="H39" s="275"/>
    </row>
    <row r="40" spans="1:8" ht="12.6" customHeight="1">
      <c r="A40" s="111">
        <v>24</v>
      </c>
      <c r="B40" s="269">
        <f>IF(A40&gt;C9,0,SUM(C296:C307)*($C$6/$C$7))</f>
        <v>0</v>
      </c>
      <c r="C40" s="730">
        <f>IF(A40&gt;C9,0,(E339+K339)*$C$8)</f>
        <v>0</v>
      </c>
      <c r="D40" s="883">
        <f t="shared" si="0"/>
        <v>0</v>
      </c>
      <c r="E40" s="883"/>
      <c r="F40" s="275"/>
      <c r="G40" s="275"/>
      <c r="H40" s="275"/>
    </row>
    <row r="41" spans="1:8" ht="12.6" customHeight="1">
      <c r="A41" s="111">
        <v>25</v>
      </c>
      <c r="B41" s="271">
        <f>IF(A41&gt;C9,0,SUM(C297:C308)*($C$6/$C$7))</f>
        <v>0</v>
      </c>
      <c r="C41" s="731">
        <f>IF(A41&gt;C9,0,(E351+K351)*$C$8)</f>
        <v>0</v>
      </c>
      <c r="D41" s="884">
        <f t="shared" si="0"/>
        <v>0</v>
      </c>
      <c r="E41" s="884"/>
      <c r="F41" s="275"/>
      <c r="G41" s="275"/>
      <c r="H41" s="275"/>
    </row>
    <row r="42" spans="1:8" ht="12.6" customHeight="1">
      <c r="A42" s="266">
        <v>26</v>
      </c>
      <c r="B42" s="267">
        <f>IF(A42&gt;C9,0,SUM(C298:C309)*($C$6/$C$7))</f>
        <v>0</v>
      </c>
      <c r="C42" s="732">
        <f>IF(A42&gt;C9,0,(E363+K363)*$C$8)</f>
        <v>0</v>
      </c>
      <c r="D42" s="886">
        <f t="shared" si="0"/>
        <v>0</v>
      </c>
      <c r="E42" s="886"/>
      <c r="F42" s="275"/>
      <c r="G42" s="275"/>
      <c r="H42" s="275"/>
    </row>
    <row r="43" spans="1:8" ht="12.6" customHeight="1">
      <c r="A43" s="268">
        <v>27</v>
      </c>
      <c r="B43" s="269">
        <f>IF(A43&gt;C9,0,SUM(C299:C310)*($C$6/$C$7))</f>
        <v>0</v>
      </c>
      <c r="C43" s="730">
        <f>IF(A43&gt;C9,0,(E375+K375)*$C$8)</f>
        <v>0</v>
      </c>
      <c r="D43" s="883">
        <f t="shared" si="0"/>
        <v>0</v>
      </c>
      <c r="E43" s="883"/>
      <c r="F43" s="275"/>
      <c r="G43" s="275"/>
      <c r="H43" s="275"/>
    </row>
    <row r="44" spans="1:8" ht="12.6" customHeight="1">
      <c r="A44" s="268">
        <v>28</v>
      </c>
      <c r="B44" s="269">
        <f>IF(A44&gt;C9,0,SUM(C300:C311)*($C$6/$C$7))</f>
        <v>0</v>
      </c>
      <c r="C44" s="730">
        <f>IF(A44&gt;C9,0,(E387+K387)*$C$8)</f>
        <v>0</v>
      </c>
      <c r="D44" s="883">
        <f t="shared" si="0"/>
        <v>0</v>
      </c>
      <c r="E44" s="883"/>
      <c r="F44" s="275"/>
      <c r="G44" s="275"/>
      <c r="H44" s="275"/>
    </row>
    <row r="45" spans="1:8" ht="12.6" customHeight="1">
      <c r="A45" s="268">
        <v>29</v>
      </c>
      <c r="B45" s="269">
        <f>IF(A45&gt;C9,0,SUM(C301:C312)*($C$6/$C$7))</f>
        <v>0</v>
      </c>
      <c r="C45" s="730">
        <f>IF(A45&gt;C9,0,(E411+K411)*$C$8)</f>
        <v>0</v>
      </c>
      <c r="D45" s="883">
        <f t="shared" si="0"/>
        <v>0</v>
      </c>
      <c r="E45" s="883"/>
      <c r="F45" s="275"/>
      <c r="G45" s="275"/>
      <c r="H45" s="275"/>
    </row>
    <row r="46" spans="1:8" ht="12.6" customHeight="1">
      <c r="A46" s="270">
        <v>30</v>
      </c>
      <c r="B46" s="271">
        <f>IF(A46&gt;C9,0,SUM(C302:C313)*($C$6/$C$7))</f>
        <v>0</v>
      </c>
      <c r="C46" s="731">
        <f>IF(A46&gt;C9,0,(E423+K423)*$C$8)</f>
        <v>0</v>
      </c>
      <c r="D46" s="884">
        <f t="shared" si="0"/>
        <v>0</v>
      </c>
      <c r="E46" s="884"/>
      <c r="F46" s="275"/>
      <c r="G46" s="275"/>
      <c r="H46" s="275"/>
    </row>
    <row r="47" spans="1:8" ht="12.6" customHeight="1">
      <c r="A47" s="274">
        <v>31</v>
      </c>
      <c r="B47" s="267">
        <f>IF(A47&gt;C9,0,SUM(C303:C314)*($C$6/$C$7))</f>
        <v>0</v>
      </c>
      <c r="C47" s="732">
        <f>IF(A47&gt;C9,0,(E435+K435)*$C$8)</f>
        <v>0</v>
      </c>
      <c r="D47" s="886">
        <f t="shared" si="0"/>
        <v>0</v>
      </c>
      <c r="E47" s="886"/>
      <c r="F47" s="275"/>
      <c r="G47" s="275"/>
      <c r="H47" s="275"/>
    </row>
    <row r="48" spans="1:8" ht="12.6" customHeight="1">
      <c r="A48" s="268">
        <v>32</v>
      </c>
      <c r="B48" s="269">
        <f>IF(A48&gt;C9,0,SUM(C304:C315)*($C$6/$C$7))</f>
        <v>0</v>
      </c>
      <c r="C48" s="730">
        <f>IF(A48&gt;C9,0,(E447+K447)*$C$8)</f>
        <v>0</v>
      </c>
      <c r="D48" s="883">
        <f t="shared" si="0"/>
        <v>0</v>
      </c>
      <c r="E48" s="883"/>
      <c r="F48" s="275"/>
      <c r="G48" s="275"/>
      <c r="H48" s="275"/>
    </row>
    <row r="49" spans="1:12" ht="12.6" customHeight="1">
      <c r="A49" s="268">
        <v>33</v>
      </c>
      <c r="B49" s="269">
        <f>IF(A49&gt;C9,0,SUM(C305:C316)*($C$6/$C$7))</f>
        <v>0</v>
      </c>
      <c r="C49" s="730">
        <f>IF(A49&gt;C9,0,(E459+K459)*$C$8)</f>
        <v>0</v>
      </c>
      <c r="D49" s="883">
        <f t="shared" si="0"/>
        <v>0</v>
      </c>
      <c r="E49" s="883"/>
      <c r="F49" s="275"/>
      <c r="G49" s="275"/>
      <c r="H49" s="275"/>
    </row>
    <row r="50" spans="1:12" ht="12.6" customHeight="1">
      <c r="A50" s="268">
        <v>34</v>
      </c>
      <c r="B50" s="269">
        <f>IF(A50&gt;C9,0,SUM(C306:C317)*($C$6/$C$7))</f>
        <v>0</v>
      </c>
      <c r="C50" s="730">
        <f>IF(A50&gt;C9,0,(E471+K471)*$C$8)</f>
        <v>0</v>
      </c>
      <c r="D50" s="883">
        <f t="shared" si="0"/>
        <v>0</v>
      </c>
      <c r="E50" s="883"/>
      <c r="F50" s="275"/>
      <c r="G50" s="275"/>
      <c r="H50" s="275"/>
    </row>
    <row r="51" spans="1:12" ht="12.6" customHeight="1">
      <c r="A51" s="270">
        <v>35</v>
      </c>
      <c r="B51" s="271">
        <f>IF(A51&gt;C9,0,SUM(C307:C318)*($C$6/$C$7))</f>
        <v>0</v>
      </c>
      <c r="C51" s="731">
        <f>IF(A51&gt;C9,0,(E483+K483)*$C$8)</f>
        <v>0</v>
      </c>
      <c r="D51" s="884">
        <f t="shared" si="0"/>
        <v>0</v>
      </c>
      <c r="E51" s="884"/>
      <c r="F51" s="275"/>
      <c r="G51" s="275"/>
      <c r="H51" s="275"/>
    </row>
    <row r="52" spans="1:12" ht="12.6" customHeight="1">
      <c r="A52" s="274">
        <v>36</v>
      </c>
      <c r="B52" s="267">
        <f>IF(A52&gt;C9,0,SUM(C308:C319)*($C$6/$C$7))</f>
        <v>0</v>
      </c>
      <c r="C52" s="732">
        <f>IF(A52&gt;C9,0,(E495+K495)*$C$8)</f>
        <v>0</v>
      </c>
      <c r="D52" s="886">
        <f t="shared" si="0"/>
        <v>0</v>
      </c>
      <c r="E52" s="886"/>
      <c r="F52" s="275"/>
      <c r="G52" s="275"/>
      <c r="H52" s="275"/>
    </row>
    <row r="53" spans="1:12" ht="12.6" customHeight="1">
      <c r="A53" s="268">
        <v>37</v>
      </c>
      <c r="B53" s="269">
        <f>IF(A53&gt;C9,0,SUM(C309:C320)*($C$6/$C$7))</f>
        <v>0</v>
      </c>
      <c r="C53" s="730">
        <f>IF(A53&gt;C9,0,(E507+K507)*$C$8)</f>
        <v>0</v>
      </c>
      <c r="D53" s="883">
        <f t="shared" si="0"/>
        <v>0</v>
      </c>
      <c r="E53" s="883"/>
      <c r="F53" s="275"/>
      <c r="G53" s="275"/>
      <c r="H53" s="275"/>
    </row>
    <row r="54" spans="1:12" ht="12.6" customHeight="1">
      <c r="A54" s="268">
        <v>38</v>
      </c>
      <c r="B54" s="269">
        <f>IF(A54&gt;C9,0,SUM(C310:C321)*($C$6/$C$7))</f>
        <v>0</v>
      </c>
      <c r="C54" s="730">
        <f>IF(A54&gt;C9,0,(E519+K519)*$C$8)</f>
        <v>0</v>
      </c>
      <c r="D54" s="883">
        <f t="shared" si="0"/>
        <v>0</v>
      </c>
      <c r="E54" s="883"/>
      <c r="F54" s="275"/>
      <c r="G54" s="275"/>
      <c r="H54" s="275"/>
    </row>
    <row r="55" spans="1:12" ht="12.6" customHeight="1">
      <c r="A55" s="268">
        <v>39</v>
      </c>
      <c r="B55" s="269">
        <f>IF(A55&gt;C9,0,SUM(C311:C322)*($C$6/$C$7))</f>
        <v>0</v>
      </c>
      <c r="C55" s="730">
        <f>IF(A55&gt;C9,0,(E531+K531)*$C$8)</f>
        <v>0</v>
      </c>
      <c r="D55" s="883">
        <f t="shared" si="0"/>
        <v>0</v>
      </c>
      <c r="E55" s="883"/>
      <c r="F55" s="275"/>
      <c r="G55" s="275"/>
      <c r="H55" s="275"/>
    </row>
    <row r="56" spans="1:12" ht="12.6" customHeight="1">
      <c r="A56" s="270">
        <v>40</v>
      </c>
      <c r="B56" s="271">
        <f>IF(A56&gt;C9,0,SUM(C312:C323)*($C$6/$C$7))</f>
        <v>0</v>
      </c>
      <c r="C56" s="731">
        <f>IF(A56&gt;C9,0,(E543+K543)*$C$8)</f>
        <v>0</v>
      </c>
      <c r="D56" s="884">
        <f t="shared" si="0"/>
        <v>0</v>
      </c>
      <c r="E56" s="884"/>
      <c r="F56" s="275"/>
      <c r="G56" s="275"/>
      <c r="H56" s="275"/>
    </row>
    <row r="57" spans="1:12" ht="3.4" customHeight="1">
      <c r="A57" s="275"/>
      <c r="B57" s="275"/>
      <c r="C57" s="275"/>
      <c r="D57" s="275"/>
      <c r="E57" s="275"/>
      <c r="F57" s="275"/>
      <c r="G57" s="275"/>
      <c r="H57" s="275"/>
    </row>
    <row r="58" spans="1:12" ht="13.15" customHeight="1">
      <c r="A58" s="882" t="str">
        <f>CONCATENATE('Part I-Project Information'!$O$4," ",'Part I-Project Information'!$F$22,", ",'Part I-Project Information'!$F$24,", ",'Part I-Project Information'!$J$25," County")</f>
        <v>2011-044 Brentwood Place Apartments, Forsyth, Monroe County</v>
      </c>
      <c r="B58" s="882"/>
      <c r="C58" s="882"/>
      <c r="D58" s="882"/>
      <c r="E58" s="882"/>
      <c r="F58" s="882"/>
      <c r="G58" s="882" t="str">
        <f>CONCATENATE('Part I-Project Information'!$O$4," ",'Part I-Project Information'!$F$22,", ",'Part I-Project Information'!$F$24,", ",'Part I-Project Information'!$J$25," County")</f>
        <v>2011-044 Brentwood Place Apartments, Forsyth, Monroe County</v>
      </c>
      <c r="H58" s="882"/>
      <c r="I58" s="882"/>
      <c r="J58" s="882"/>
      <c r="K58" s="882"/>
      <c r="L58" s="882"/>
    </row>
    <row r="59" spans="1:12" ht="15">
      <c r="A59" s="879" t="s">
        <v>3743</v>
      </c>
      <c r="B59" s="879"/>
      <c r="C59" s="879"/>
      <c r="D59" s="879"/>
      <c r="E59" s="879"/>
      <c r="F59" s="879"/>
      <c r="G59" s="879" t="s">
        <v>3743</v>
      </c>
      <c r="H59" s="879"/>
      <c r="I59" s="879"/>
      <c r="J59" s="879"/>
      <c r="K59" s="879"/>
      <c r="L59" s="879"/>
    </row>
    <row r="60" spans="1:12" ht="6" customHeight="1">
      <c r="C60" s="273"/>
      <c r="D60" s="273"/>
      <c r="I60" s="273"/>
      <c r="J60" s="273"/>
    </row>
    <row r="61" spans="1:12">
      <c r="A61" s="276" t="s">
        <v>3744</v>
      </c>
      <c r="B61" s="277" t="s">
        <v>3745</v>
      </c>
      <c r="C61" s="277" t="s">
        <v>1995</v>
      </c>
      <c r="D61" s="277" t="s">
        <v>3746</v>
      </c>
      <c r="E61" s="276" t="s">
        <v>3747</v>
      </c>
      <c r="F61" s="307" t="s">
        <v>3753</v>
      </c>
      <c r="G61" s="276" t="s">
        <v>3744</v>
      </c>
      <c r="H61" s="277" t="s">
        <v>3745</v>
      </c>
      <c r="I61" s="277" t="s">
        <v>1995</v>
      </c>
      <c r="J61" s="277" t="s">
        <v>3746</v>
      </c>
      <c r="K61" s="276" t="s">
        <v>3747</v>
      </c>
      <c r="L61" s="307" t="s">
        <v>3753</v>
      </c>
    </row>
    <row r="62" spans="1:12" ht="3.6" customHeight="1">
      <c r="A62" s="279"/>
      <c r="B62" s="159"/>
      <c r="C62" s="159"/>
      <c r="D62" s="159"/>
      <c r="E62" s="159"/>
      <c r="F62" s="111"/>
      <c r="G62" s="279"/>
      <c r="H62" s="159"/>
      <c r="I62" s="159"/>
      <c r="J62" s="159"/>
      <c r="K62" s="159"/>
      <c r="L62" s="111"/>
    </row>
    <row r="63" spans="1:12">
      <c r="A63" s="280" t="s">
        <v>3748</v>
      </c>
      <c r="B63" s="281"/>
      <c r="C63" s="281"/>
      <c r="D63" s="281"/>
      <c r="E63" s="282">
        <f>IF($C$5&gt;1500000,$D$5,$C$5)</f>
        <v>0</v>
      </c>
      <c r="F63" s="111"/>
      <c r="G63" s="280" t="s">
        <v>3748</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topLeftCell="A3" workbookViewId="0">
      <selection activeCell="E27" sqref="E27"/>
    </sheetView>
  </sheetViews>
  <sheetFormatPr defaultColWidth="8.85546875" defaultRowHeight="12.75"/>
  <cols>
    <col min="1" max="1" width="7.140625" style="31" customWidth="1"/>
    <col min="2" max="6" width="16.7109375" style="31" customWidth="1"/>
    <col min="7" max="7" width="11.7109375" style="31" customWidth="1"/>
    <col min="8" max="8" width="2.28515625" style="111" customWidth="1"/>
    <col min="9" max="9" width="10.28515625" style="31" bestFit="1" customWidth="1"/>
    <col min="10" max="10" width="12.28515625" style="31" customWidth="1"/>
    <col min="11" max="11" width="10.7109375" style="31" customWidth="1"/>
    <col min="12" max="16384" width="8.85546875" style="31"/>
  </cols>
  <sheetData>
    <row r="1" spans="1:17" s="236" customFormat="1" ht="16.149999999999999" customHeight="1">
      <c r="A1" s="887" t="str">
        <f>CONCATENATE("PART III C  - HUD INSURED LOAN","  -  ",'Part I-Project Information'!$O$4," ",'Part I-Project Information'!$F$22,", ",'Part I-Project Information'!$F$24,", ",'Part I-Project Information'!$J$25," County")</f>
        <v>PART III C  - HUD INSURED LOAN  -  2011-044 Brentwood Place Apartments, Forsyth, Monroe County</v>
      </c>
      <c r="B1" s="888"/>
      <c r="C1" s="888"/>
      <c r="D1" s="888"/>
      <c r="E1" s="888"/>
      <c r="F1" s="889"/>
      <c r="G1" s="231"/>
      <c r="H1" s="231"/>
      <c r="I1" s="231"/>
      <c r="J1" s="231"/>
      <c r="K1" s="231"/>
      <c r="L1" s="231"/>
      <c r="M1" s="231"/>
      <c r="N1" s="231"/>
      <c r="O1" s="231"/>
      <c r="P1" s="231"/>
      <c r="Q1" s="231"/>
    </row>
    <row r="2" spans="1:17">
      <c r="A2" s="16"/>
      <c r="B2" s="264"/>
      <c r="C2" s="264"/>
      <c r="D2" s="264"/>
    </row>
    <row r="3" spans="1:17" ht="15.6" customHeight="1">
      <c r="A3" s="880" t="s">
        <v>278</v>
      </c>
      <c r="B3" s="880"/>
      <c r="C3" s="880"/>
      <c r="D3" s="880"/>
      <c r="E3" s="880"/>
      <c r="F3" s="880"/>
      <c r="G3" s="317"/>
      <c r="H3" s="317"/>
    </row>
    <row r="4" spans="1:17">
      <c r="A4" s="16"/>
      <c r="B4" s="264"/>
      <c r="C4" s="264"/>
      <c r="D4" s="264"/>
    </row>
    <row r="5" spans="1:17" ht="13.15" customHeight="1">
      <c r="A5" s="31" t="s">
        <v>3386</v>
      </c>
      <c r="D5" s="1434"/>
      <c r="E5" s="891" t="s">
        <v>1553</v>
      </c>
      <c r="F5" s="892"/>
      <c r="G5" s="219"/>
    </row>
    <row r="6" spans="1:17">
      <c r="E6" s="892"/>
      <c r="F6" s="892"/>
      <c r="G6" s="219"/>
    </row>
    <row r="7" spans="1:17">
      <c r="A7" s="31" t="s">
        <v>3735</v>
      </c>
      <c r="C7" s="31" t="s">
        <v>3736</v>
      </c>
      <c r="D7" s="1435"/>
      <c r="E7" s="892"/>
      <c r="F7" s="892"/>
      <c r="G7" s="219"/>
    </row>
    <row r="8" spans="1:17">
      <c r="C8" s="31" t="s">
        <v>3737</v>
      </c>
      <c r="D8" s="1435"/>
      <c r="E8" s="892"/>
      <c r="F8" s="892"/>
      <c r="G8" s="219"/>
    </row>
    <row r="9" spans="1:17">
      <c r="C9" s="31" t="s">
        <v>3738</v>
      </c>
      <c r="D9" s="1435"/>
      <c r="E9" s="892"/>
      <c r="F9" s="892"/>
      <c r="G9" s="219"/>
    </row>
    <row r="10" spans="1:17">
      <c r="C10" s="31" t="s">
        <v>3751</v>
      </c>
      <c r="D10" s="318">
        <f>D7+D8+D9</f>
        <v>0</v>
      </c>
      <c r="E10" s="892"/>
      <c r="F10" s="892"/>
      <c r="G10" s="219"/>
    </row>
    <row r="11" spans="1:17">
      <c r="F11" s="219"/>
      <c r="G11" s="219"/>
    </row>
    <row r="12" spans="1:17">
      <c r="A12" s="31" t="s">
        <v>2742</v>
      </c>
      <c r="D12" s="1436"/>
      <c r="E12" s="31" t="s">
        <v>3231</v>
      </c>
      <c r="F12" s="219"/>
      <c r="G12" s="219"/>
    </row>
    <row r="13" spans="1:17">
      <c r="D13" s="273"/>
      <c r="F13" s="219"/>
      <c r="G13" s="219"/>
    </row>
    <row r="14" spans="1:17">
      <c r="A14" s="31" t="s">
        <v>3740</v>
      </c>
      <c r="D14" s="1437"/>
      <c r="E14" s="31" t="s">
        <v>3741</v>
      </c>
      <c r="F14" s="319"/>
    </row>
    <row r="15" spans="1:17">
      <c r="D15" s="292"/>
      <c r="F15" s="319"/>
    </row>
    <row r="16" spans="1:17">
      <c r="A16" s="31" t="s">
        <v>3742</v>
      </c>
      <c r="D16" s="1437"/>
      <c r="E16" s="31" t="s">
        <v>3741</v>
      </c>
      <c r="F16" s="319"/>
    </row>
    <row r="17" spans="1:10">
      <c r="D17" s="273"/>
      <c r="F17" s="319"/>
    </row>
    <row r="18" spans="1:10">
      <c r="A18" s="31" t="s">
        <v>1526</v>
      </c>
      <c r="D18" s="320" t="e">
        <f>PMT(D10/12,D16*12,-D5,0,0)*12</f>
        <v>#DIV/0!</v>
      </c>
      <c r="E18" s="31" t="s">
        <v>2246</v>
      </c>
      <c r="F18" s="319"/>
    </row>
    <row r="19" spans="1:10">
      <c r="D19" s="273"/>
      <c r="F19" s="319"/>
    </row>
    <row r="20" spans="1:10">
      <c r="A20" s="31" t="s">
        <v>2247</v>
      </c>
      <c r="D20" s="273" t="e">
        <f>D18/12</f>
        <v>#DIV/0!</v>
      </c>
      <c r="E20" s="31" t="s">
        <v>2246</v>
      </c>
      <c r="F20" s="319"/>
    </row>
    <row r="24" spans="1:10" ht="18" customHeight="1">
      <c r="A24" s="881" t="s">
        <v>2743</v>
      </c>
      <c r="B24" s="881"/>
      <c r="C24" s="881"/>
      <c r="D24" s="881"/>
      <c r="E24" s="881"/>
      <c r="F24" s="881"/>
      <c r="J24" s="321"/>
    </row>
    <row r="25" spans="1:10">
      <c r="C25" s="273"/>
      <c r="J25" s="321"/>
    </row>
    <row r="26" spans="1:10">
      <c r="A26" s="141"/>
      <c r="B26" s="111"/>
      <c r="C26" s="893" t="s">
        <v>3385</v>
      </c>
      <c r="D26" s="316"/>
      <c r="E26" s="111"/>
      <c r="F26" s="893" t="s">
        <v>3385</v>
      </c>
      <c r="J26" s="321"/>
    </row>
    <row r="27" spans="1:10">
      <c r="A27" s="322" t="s">
        <v>3753</v>
      </c>
      <c r="B27" s="738" t="s">
        <v>1647</v>
      </c>
      <c r="C27" s="894"/>
      <c r="D27" s="323" t="s">
        <v>3753</v>
      </c>
      <c r="E27" s="738" t="s">
        <v>1647</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2" t="str">
        <f>CONCATENATE('Part I-Project Information'!$O$4," ",'Part I-Project Information'!$F$22,", ",'Part I-Project Information'!$F$24,", ",'Part I-Project Information'!$J$25," County")</f>
        <v>2011-044 Brentwood Place Apartments, Forsyth, Monroe County</v>
      </c>
      <c r="B50" s="882"/>
      <c r="C50" s="882"/>
      <c r="D50" s="882"/>
      <c r="E50" s="882"/>
      <c r="F50" s="882"/>
      <c r="G50" s="300"/>
      <c r="H50" s="300"/>
    </row>
    <row r="51" spans="1:10" ht="15">
      <c r="A51" s="879" t="s">
        <v>3743</v>
      </c>
      <c r="B51" s="879"/>
      <c r="C51" s="879"/>
      <c r="D51" s="879"/>
      <c r="E51" s="879"/>
      <c r="F51" s="879"/>
      <c r="G51" s="333"/>
      <c r="H51" s="333"/>
      <c r="I51" s="333"/>
      <c r="J51" s="333"/>
    </row>
    <row r="52" spans="1:10" ht="5.45" customHeight="1">
      <c r="C52" s="273"/>
      <c r="D52" s="273"/>
      <c r="G52" s="278"/>
      <c r="H52" s="272"/>
      <c r="I52" s="278"/>
    </row>
    <row r="53" spans="1:10">
      <c r="A53" s="276" t="s">
        <v>3744</v>
      </c>
      <c r="B53" s="276" t="s">
        <v>3745</v>
      </c>
      <c r="C53" s="276" t="s">
        <v>1995</v>
      </c>
      <c r="D53" s="276" t="s">
        <v>3746</v>
      </c>
      <c r="E53" s="276" t="s">
        <v>3747</v>
      </c>
      <c r="F53" s="307" t="s">
        <v>3753</v>
      </c>
      <c r="G53" s="334"/>
      <c r="H53" s="334"/>
      <c r="I53" s="334"/>
    </row>
    <row r="54" spans="1:10" ht="3.6" customHeight="1">
      <c r="F54" s="111"/>
      <c r="G54" s="278"/>
      <c r="H54" s="272"/>
      <c r="I54" s="278"/>
    </row>
    <row r="55" spans="1:10">
      <c r="A55" s="31" t="s">
        <v>3748</v>
      </c>
      <c r="E55" s="273">
        <f>D5</f>
        <v>0</v>
      </c>
      <c r="F55" s="111"/>
      <c r="G55" s="278"/>
      <c r="H55" s="272"/>
      <c r="I55" s="278"/>
    </row>
    <row r="56" spans="1:10">
      <c r="A56" s="746">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6">
        <v>2</v>
      </c>
      <c r="B57" s="284">
        <f t="shared" si="2"/>
        <v>0</v>
      </c>
      <c r="C57" s="284">
        <f t="shared" si="3"/>
        <v>0</v>
      </c>
      <c r="D57" s="284">
        <f t="shared" si="4"/>
        <v>0</v>
      </c>
      <c r="E57" s="284">
        <f t="shared" si="5"/>
        <v>0</v>
      </c>
      <c r="F57" s="283"/>
      <c r="G57" s="335"/>
      <c r="H57" s="291"/>
      <c r="I57" s="278"/>
    </row>
    <row r="58" spans="1:10">
      <c r="A58" s="746">
        <v>3</v>
      </c>
      <c r="B58" s="284">
        <f t="shared" si="2"/>
        <v>0</v>
      </c>
      <c r="C58" s="284">
        <f t="shared" si="3"/>
        <v>0</v>
      </c>
      <c r="D58" s="284">
        <f t="shared" si="4"/>
        <v>0</v>
      </c>
      <c r="E58" s="284">
        <f t="shared" si="5"/>
        <v>0</v>
      </c>
      <c r="F58" s="283"/>
      <c r="G58" s="335"/>
      <c r="H58" s="291"/>
      <c r="I58" s="278"/>
    </row>
    <row r="59" spans="1:10">
      <c r="A59" s="746">
        <v>4</v>
      </c>
      <c r="B59" s="284">
        <f t="shared" si="2"/>
        <v>0</v>
      </c>
      <c r="C59" s="284">
        <f t="shared" si="3"/>
        <v>0</v>
      </c>
      <c r="D59" s="284">
        <f t="shared" si="4"/>
        <v>0</v>
      </c>
      <c r="E59" s="284">
        <f t="shared" si="5"/>
        <v>0</v>
      </c>
      <c r="F59" s="283"/>
      <c r="G59" s="335"/>
      <c r="H59" s="291"/>
      <c r="I59" s="278"/>
    </row>
    <row r="60" spans="1:10">
      <c r="A60" s="746">
        <v>5</v>
      </c>
      <c r="B60" s="284">
        <f t="shared" si="2"/>
        <v>0</v>
      </c>
      <c r="C60" s="284">
        <f t="shared" si="3"/>
        <v>0</v>
      </c>
      <c r="D60" s="284">
        <f t="shared" si="4"/>
        <v>0</v>
      </c>
      <c r="E60" s="284">
        <f t="shared" si="5"/>
        <v>0</v>
      </c>
      <c r="F60" s="283"/>
      <c r="G60" s="335"/>
      <c r="H60" s="291"/>
      <c r="I60" s="278"/>
    </row>
    <row r="61" spans="1:10">
      <c r="A61" s="746">
        <v>6</v>
      </c>
      <c r="B61" s="284">
        <f t="shared" si="2"/>
        <v>0</v>
      </c>
      <c r="C61" s="284">
        <f t="shared" si="3"/>
        <v>0</v>
      </c>
      <c r="D61" s="284">
        <f t="shared" si="4"/>
        <v>0</v>
      </c>
      <c r="E61" s="284">
        <f t="shared" si="5"/>
        <v>0</v>
      </c>
      <c r="F61" s="283"/>
      <c r="G61" s="335"/>
      <c r="H61" s="291"/>
      <c r="I61" s="278"/>
    </row>
    <row r="62" spans="1:10">
      <c r="A62" s="746">
        <v>7</v>
      </c>
      <c r="B62" s="284">
        <f t="shared" si="2"/>
        <v>0</v>
      </c>
      <c r="C62" s="284">
        <f t="shared" si="3"/>
        <v>0</v>
      </c>
      <c r="D62" s="284">
        <f t="shared" si="4"/>
        <v>0</v>
      </c>
      <c r="E62" s="284">
        <f t="shared" si="5"/>
        <v>0</v>
      </c>
      <c r="F62" s="283"/>
      <c r="G62" s="335"/>
      <c r="H62" s="291"/>
      <c r="I62" s="278"/>
    </row>
    <row r="63" spans="1:10">
      <c r="A63" s="746">
        <v>8</v>
      </c>
      <c r="B63" s="284">
        <f t="shared" si="2"/>
        <v>0</v>
      </c>
      <c r="C63" s="284">
        <f t="shared" si="3"/>
        <v>0</v>
      </c>
      <c r="D63" s="284">
        <f t="shared" si="4"/>
        <v>0</v>
      </c>
      <c r="E63" s="284">
        <f t="shared" si="5"/>
        <v>0</v>
      </c>
      <c r="F63" s="283"/>
      <c r="G63" s="335"/>
      <c r="H63" s="291"/>
      <c r="I63" s="278"/>
    </row>
    <row r="64" spans="1:10">
      <c r="A64" s="746">
        <v>9</v>
      </c>
      <c r="B64" s="284">
        <f t="shared" si="2"/>
        <v>0</v>
      </c>
      <c r="C64" s="284">
        <f t="shared" si="3"/>
        <v>0</v>
      </c>
      <c r="D64" s="284">
        <f t="shared" si="4"/>
        <v>0</v>
      </c>
      <c r="E64" s="284">
        <f t="shared" si="5"/>
        <v>0</v>
      </c>
      <c r="F64" s="283"/>
      <c r="G64" s="335"/>
      <c r="H64" s="291"/>
      <c r="I64" s="278"/>
    </row>
    <row r="65" spans="1:9">
      <c r="A65" s="746">
        <v>10</v>
      </c>
      <c r="B65" s="284">
        <f t="shared" si="2"/>
        <v>0</v>
      </c>
      <c r="C65" s="284">
        <f t="shared" si="3"/>
        <v>0</v>
      </c>
      <c r="D65" s="284">
        <f t="shared" si="4"/>
        <v>0</v>
      </c>
      <c r="E65" s="284">
        <f t="shared" si="5"/>
        <v>0</v>
      </c>
      <c r="F65" s="283"/>
      <c r="G65" s="278"/>
      <c r="H65" s="272"/>
      <c r="I65" s="278"/>
    </row>
    <row r="66" spans="1:9">
      <c r="A66" s="746">
        <v>11</v>
      </c>
      <c r="B66" s="284">
        <f t="shared" si="2"/>
        <v>0</v>
      </c>
      <c r="C66" s="284">
        <f t="shared" si="3"/>
        <v>0</v>
      </c>
      <c r="D66" s="284">
        <f t="shared" si="4"/>
        <v>0</v>
      </c>
      <c r="E66" s="284">
        <f t="shared" si="5"/>
        <v>0</v>
      </c>
      <c r="F66" s="283"/>
      <c r="G66" s="278"/>
      <c r="H66" s="272"/>
      <c r="I66" s="278"/>
    </row>
    <row r="67" spans="1:9">
      <c r="A67" s="746">
        <v>12</v>
      </c>
      <c r="B67" s="284">
        <f t="shared" si="2"/>
        <v>0</v>
      </c>
      <c r="C67" s="284">
        <f t="shared" si="3"/>
        <v>0</v>
      </c>
      <c r="D67" s="284">
        <f t="shared" si="4"/>
        <v>0</v>
      </c>
      <c r="E67" s="284">
        <f t="shared" si="5"/>
        <v>0</v>
      </c>
      <c r="F67" s="283">
        <v>1</v>
      </c>
      <c r="G67" s="335"/>
      <c r="H67" s="291"/>
      <c r="I67" s="335"/>
    </row>
    <row r="68" spans="1:9">
      <c r="A68" s="746">
        <v>13</v>
      </c>
      <c r="B68" s="284">
        <f t="shared" si="2"/>
        <v>0</v>
      </c>
      <c r="C68" s="284">
        <f t="shared" si="3"/>
        <v>0</v>
      </c>
      <c r="D68" s="284">
        <f t="shared" si="4"/>
        <v>0</v>
      </c>
      <c r="E68" s="284">
        <f t="shared" si="5"/>
        <v>0</v>
      </c>
      <c r="F68" s="283"/>
      <c r="G68" s="278"/>
      <c r="H68" s="272"/>
      <c r="I68" s="335"/>
    </row>
    <row r="69" spans="1:9">
      <c r="A69" s="746">
        <v>14</v>
      </c>
      <c r="B69" s="284">
        <f t="shared" si="2"/>
        <v>0</v>
      </c>
      <c r="C69" s="284">
        <f t="shared" si="3"/>
        <v>0</v>
      </c>
      <c r="D69" s="284">
        <f t="shared" si="4"/>
        <v>0</v>
      </c>
      <c r="E69" s="284">
        <f t="shared" si="5"/>
        <v>0</v>
      </c>
      <c r="F69" s="283"/>
      <c r="G69" s="278"/>
      <c r="H69" s="272"/>
      <c r="I69" s="278"/>
    </row>
    <row r="70" spans="1:9">
      <c r="A70" s="746">
        <v>15</v>
      </c>
      <c r="B70" s="284">
        <f t="shared" si="2"/>
        <v>0</v>
      </c>
      <c r="C70" s="284">
        <f t="shared" si="3"/>
        <v>0</v>
      </c>
      <c r="D70" s="284">
        <f t="shared" si="4"/>
        <v>0</v>
      </c>
      <c r="E70" s="284">
        <f t="shared" si="5"/>
        <v>0</v>
      </c>
      <c r="F70" s="283"/>
      <c r="G70" s="278"/>
      <c r="H70" s="272"/>
      <c r="I70" s="278"/>
    </row>
    <row r="71" spans="1:9">
      <c r="A71" s="746">
        <v>16</v>
      </c>
      <c r="B71" s="284">
        <f t="shared" si="2"/>
        <v>0</v>
      </c>
      <c r="C71" s="284">
        <f t="shared" si="3"/>
        <v>0</v>
      </c>
      <c r="D71" s="284">
        <f t="shared" si="4"/>
        <v>0</v>
      </c>
      <c r="E71" s="284">
        <f t="shared" si="5"/>
        <v>0</v>
      </c>
      <c r="F71" s="283"/>
      <c r="G71" s="278"/>
      <c r="H71" s="272"/>
      <c r="I71" s="278"/>
    </row>
    <row r="72" spans="1:9">
      <c r="A72" s="746">
        <v>17</v>
      </c>
      <c r="B72" s="284">
        <f t="shared" si="2"/>
        <v>0</v>
      </c>
      <c r="C72" s="284">
        <f t="shared" si="3"/>
        <v>0</v>
      </c>
      <c r="D72" s="284">
        <f t="shared" si="4"/>
        <v>0</v>
      </c>
      <c r="E72" s="284">
        <f t="shared" si="5"/>
        <v>0</v>
      </c>
      <c r="F72" s="283"/>
      <c r="G72" s="278"/>
      <c r="H72" s="272"/>
      <c r="I72" s="278"/>
    </row>
    <row r="73" spans="1:9">
      <c r="A73" s="746">
        <v>18</v>
      </c>
      <c r="B73" s="284">
        <f t="shared" si="2"/>
        <v>0</v>
      </c>
      <c r="C73" s="284">
        <f t="shared" si="3"/>
        <v>0</v>
      </c>
      <c r="D73" s="284">
        <f t="shared" si="4"/>
        <v>0</v>
      </c>
      <c r="E73" s="284">
        <f t="shared" si="5"/>
        <v>0</v>
      </c>
      <c r="F73" s="283"/>
      <c r="G73" s="335"/>
      <c r="H73" s="291"/>
      <c r="I73" s="278"/>
    </row>
    <row r="74" spans="1:9">
      <c r="A74" s="746">
        <v>19</v>
      </c>
      <c r="B74" s="284">
        <f t="shared" si="2"/>
        <v>0</v>
      </c>
      <c r="C74" s="284">
        <f t="shared" si="3"/>
        <v>0</v>
      </c>
      <c r="D74" s="284">
        <f t="shared" si="4"/>
        <v>0</v>
      </c>
      <c r="E74" s="284">
        <f t="shared" si="5"/>
        <v>0</v>
      </c>
      <c r="F74" s="283"/>
      <c r="G74" s="335"/>
      <c r="H74" s="291"/>
      <c r="I74" s="278"/>
    </row>
    <row r="75" spans="1:9">
      <c r="A75" s="746">
        <v>20</v>
      </c>
      <c r="B75" s="284">
        <f t="shared" si="2"/>
        <v>0</v>
      </c>
      <c r="C75" s="284">
        <f t="shared" si="3"/>
        <v>0</v>
      </c>
      <c r="D75" s="284">
        <f t="shared" si="4"/>
        <v>0</v>
      </c>
      <c r="E75" s="284">
        <f t="shared" si="5"/>
        <v>0</v>
      </c>
      <c r="F75" s="283"/>
      <c r="G75" s="335"/>
      <c r="H75" s="291"/>
      <c r="I75" s="278"/>
    </row>
    <row r="76" spans="1:9">
      <c r="A76" s="746">
        <v>21</v>
      </c>
      <c r="B76" s="284">
        <f t="shared" si="2"/>
        <v>0</v>
      </c>
      <c r="C76" s="284">
        <f t="shared" si="3"/>
        <v>0</v>
      </c>
      <c r="D76" s="284">
        <f t="shared" si="4"/>
        <v>0</v>
      </c>
      <c r="E76" s="284">
        <f t="shared" si="5"/>
        <v>0</v>
      </c>
      <c r="F76" s="283"/>
      <c r="G76" s="335"/>
      <c r="H76" s="291"/>
      <c r="I76" s="278"/>
    </row>
    <row r="77" spans="1:9">
      <c r="A77" s="746">
        <v>22</v>
      </c>
      <c r="B77" s="284">
        <f t="shared" si="2"/>
        <v>0</v>
      </c>
      <c r="C77" s="284">
        <f t="shared" si="3"/>
        <v>0</v>
      </c>
      <c r="D77" s="284">
        <f t="shared" si="4"/>
        <v>0</v>
      </c>
      <c r="E77" s="284">
        <f t="shared" si="5"/>
        <v>0</v>
      </c>
      <c r="F77" s="283"/>
      <c r="G77" s="278"/>
      <c r="H77" s="272"/>
      <c r="I77" s="278"/>
    </row>
    <row r="78" spans="1:9">
      <c r="A78" s="746">
        <v>23</v>
      </c>
      <c r="B78" s="284">
        <f t="shared" si="2"/>
        <v>0</v>
      </c>
      <c r="C78" s="284">
        <f t="shared" si="3"/>
        <v>0</v>
      </c>
      <c r="D78" s="284">
        <f t="shared" si="4"/>
        <v>0</v>
      </c>
      <c r="E78" s="284">
        <f t="shared" si="5"/>
        <v>0</v>
      </c>
      <c r="F78" s="283"/>
      <c r="G78" s="278"/>
      <c r="H78" s="272"/>
      <c r="I78" s="278"/>
    </row>
    <row r="79" spans="1:9">
      <c r="A79" s="746">
        <v>24</v>
      </c>
      <c r="B79" s="284">
        <f t="shared" si="2"/>
        <v>0</v>
      </c>
      <c r="C79" s="284">
        <f t="shared" si="3"/>
        <v>0</v>
      </c>
      <c r="D79" s="284">
        <f t="shared" si="4"/>
        <v>0</v>
      </c>
      <c r="E79" s="284">
        <f t="shared" si="5"/>
        <v>0</v>
      </c>
      <c r="F79" s="283">
        <v>2</v>
      </c>
      <c r="G79" s="335"/>
      <c r="H79" s="291"/>
      <c r="I79" s="335"/>
    </row>
    <row r="80" spans="1:9">
      <c r="A80" s="746">
        <v>25</v>
      </c>
      <c r="B80" s="284">
        <f t="shared" si="2"/>
        <v>0</v>
      </c>
      <c r="C80" s="284">
        <f t="shared" si="3"/>
        <v>0</v>
      </c>
      <c r="D80" s="284">
        <f t="shared" si="4"/>
        <v>0</v>
      </c>
      <c r="E80" s="284">
        <f t="shared" si="5"/>
        <v>0</v>
      </c>
      <c r="F80" s="283"/>
      <c r="G80" s="278"/>
      <c r="H80" s="272"/>
      <c r="I80" s="335"/>
    </row>
    <row r="81" spans="1:9">
      <c r="A81" s="746">
        <v>26</v>
      </c>
      <c r="B81" s="284">
        <f t="shared" si="2"/>
        <v>0</v>
      </c>
      <c r="C81" s="284">
        <f t="shared" si="3"/>
        <v>0</v>
      </c>
      <c r="D81" s="284">
        <f t="shared" si="4"/>
        <v>0</v>
      </c>
      <c r="E81" s="284">
        <f t="shared" si="5"/>
        <v>0</v>
      </c>
      <c r="F81" s="283"/>
      <c r="G81" s="278"/>
      <c r="H81" s="272"/>
      <c r="I81" s="278"/>
    </row>
    <row r="82" spans="1:9">
      <c r="A82" s="746">
        <v>27</v>
      </c>
      <c r="B82" s="284">
        <f t="shared" si="2"/>
        <v>0</v>
      </c>
      <c r="C82" s="284">
        <f t="shared" si="3"/>
        <v>0</v>
      </c>
      <c r="D82" s="284">
        <f t="shared" si="4"/>
        <v>0</v>
      </c>
      <c r="E82" s="284">
        <f t="shared" si="5"/>
        <v>0</v>
      </c>
      <c r="F82" s="283"/>
      <c r="G82" s="278"/>
      <c r="H82" s="272"/>
      <c r="I82" s="278"/>
    </row>
    <row r="83" spans="1:9">
      <c r="A83" s="746">
        <v>28</v>
      </c>
      <c r="B83" s="284">
        <f t="shared" si="2"/>
        <v>0</v>
      </c>
      <c r="C83" s="284">
        <f t="shared" si="3"/>
        <v>0</v>
      </c>
      <c r="D83" s="284">
        <f t="shared" si="4"/>
        <v>0</v>
      </c>
      <c r="E83" s="284">
        <f t="shared" si="5"/>
        <v>0</v>
      </c>
      <c r="F83" s="283"/>
      <c r="G83" s="278"/>
      <c r="H83" s="272"/>
      <c r="I83" s="278"/>
    </row>
    <row r="84" spans="1:9">
      <c r="A84" s="746">
        <v>29</v>
      </c>
      <c r="B84" s="284">
        <f t="shared" si="2"/>
        <v>0</v>
      </c>
      <c r="C84" s="284">
        <f t="shared" si="3"/>
        <v>0</v>
      </c>
      <c r="D84" s="284">
        <f t="shared" si="4"/>
        <v>0</v>
      </c>
      <c r="E84" s="284">
        <f t="shared" si="5"/>
        <v>0</v>
      </c>
      <c r="F84" s="283"/>
      <c r="G84" s="278"/>
      <c r="H84" s="272"/>
      <c r="I84" s="278"/>
    </row>
    <row r="85" spans="1:9">
      <c r="A85" s="746">
        <v>30</v>
      </c>
      <c r="B85" s="284">
        <f t="shared" si="2"/>
        <v>0</v>
      </c>
      <c r="C85" s="284">
        <f t="shared" si="3"/>
        <v>0</v>
      </c>
      <c r="D85" s="284">
        <f t="shared" si="4"/>
        <v>0</v>
      </c>
      <c r="E85" s="284">
        <f t="shared" si="5"/>
        <v>0</v>
      </c>
      <c r="F85" s="283"/>
      <c r="G85" s="335"/>
      <c r="H85" s="291"/>
      <c r="I85" s="278"/>
    </row>
    <row r="86" spans="1:9">
      <c r="A86" s="746">
        <v>31</v>
      </c>
      <c r="B86" s="284">
        <f t="shared" si="2"/>
        <v>0</v>
      </c>
      <c r="C86" s="284">
        <f t="shared" si="3"/>
        <v>0</v>
      </c>
      <c r="D86" s="284">
        <f t="shared" si="4"/>
        <v>0</v>
      </c>
      <c r="E86" s="284">
        <f t="shared" si="5"/>
        <v>0</v>
      </c>
      <c r="F86" s="283"/>
      <c r="G86" s="278"/>
      <c r="H86" s="272"/>
      <c r="I86" s="278"/>
    </row>
    <row r="87" spans="1:9">
      <c r="A87" s="746">
        <v>32</v>
      </c>
      <c r="B87" s="284">
        <f t="shared" si="2"/>
        <v>0</v>
      </c>
      <c r="C87" s="284">
        <f t="shared" si="3"/>
        <v>0</v>
      </c>
      <c r="D87" s="284">
        <f t="shared" si="4"/>
        <v>0</v>
      </c>
      <c r="E87" s="284">
        <f t="shared" si="5"/>
        <v>0</v>
      </c>
      <c r="F87" s="283"/>
      <c r="G87" s="278"/>
      <c r="H87" s="272"/>
      <c r="I87" s="278"/>
    </row>
    <row r="88" spans="1:9">
      <c r="A88" s="746">
        <v>33</v>
      </c>
      <c r="B88" s="284">
        <f t="shared" si="2"/>
        <v>0</v>
      </c>
      <c r="C88" s="284">
        <f t="shared" si="3"/>
        <v>0</v>
      </c>
      <c r="D88" s="284">
        <f t="shared" si="4"/>
        <v>0</v>
      </c>
      <c r="E88" s="284">
        <f t="shared" si="5"/>
        <v>0</v>
      </c>
      <c r="F88" s="283"/>
      <c r="G88" s="278"/>
      <c r="H88" s="272"/>
      <c r="I88" s="278"/>
    </row>
    <row r="89" spans="1:9">
      <c r="A89" s="746">
        <v>34</v>
      </c>
      <c r="B89" s="284">
        <f t="shared" si="2"/>
        <v>0</v>
      </c>
      <c r="C89" s="284">
        <f t="shared" si="3"/>
        <v>0</v>
      </c>
      <c r="D89" s="284">
        <f t="shared" si="4"/>
        <v>0</v>
      </c>
      <c r="E89" s="284">
        <f t="shared" si="5"/>
        <v>0</v>
      </c>
      <c r="F89" s="283"/>
      <c r="G89" s="278"/>
      <c r="H89" s="272"/>
      <c r="I89" s="278"/>
    </row>
    <row r="90" spans="1:9">
      <c r="A90" s="746">
        <v>35</v>
      </c>
      <c r="B90" s="284">
        <f t="shared" si="2"/>
        <v>0</v>
      </c>
      <c r="C90" s="284">
        <f t="shared" si="3"/>
        <v>0</v>
      </c>
      <c r="D90" s="284">
        <f t="shared" si="4"/>
        <v>0</v>
      </c>
      <c r="E90" s="284">
        <f t="shared" si="5"/>
        <v>0</v>
      </c>
      <c r="F90" s="283"/>
      <c r="G90" s="278"/>
      <c r="H90" s="272"/>
      <c r="I90" s="278"/>
    </row>
    <row r="91" spans="1:9">
      <c r="A91" s="746">
        <v>36</v>
      </c>
      <c r="B91" s="284">
        <f t="shared" si="2"/>
        <v>0</v>
      </c>
      <c r="C91" s="284">
        <f t="shared" si="3"/>
        <v>0</v>
      </c>
      <c r="D91" s="284">
        <f t="shared" si="4"/>
        <v>0</v>
      </c>
      <c r="E91" s="284">
        <f t="shared" si="5"/>
        <v>0</v>
      </c>
      <c r="F91" s="283">
        <v>3</v>
      </c>
      <c r="G91" s="335"/>
      <c r="H91" s="291"/>
      <c r="I91" s="335"/>
    </row>
    <row r="92" spans="1:9">
      <c r="A92" s="746">
        <v>37</v>
      </c>
      <c r="B92" s="284">
        <f t="shared" si="2"/>
        <v>0</v>
      </c>
      <c r="C92" s="284">
        <f t="shared" si="3"/>
        <v>0</v>
      </c>
      <c r="D92" s="284">
        <f t="shared" si="4"/>
        <v>0</v>
      </c>
      <c r="E92" s="284">
        <f t="shared" si="5"/>
        <v>0</v>
      </c>
      <c r="F92" s="283"/>
      <c r="G92" s="278"/>
      <c r="H92" s="272"/>
      <c r="I92" s="335"/>
    </row>
    <row r="93" spans="1:9">
      <c r="A93" s="746">
        <v>38</v>
      </c>
      <c r="B93" s="284">
        <f t="shared" si="2"/>
        <v>0</v>
      </c>
      <c r="C93" s="284">
        <f t="shared" si="3"/>
        <v>0</v>
      </c>
      <c r="D93" s="284">
        <f t="shared" si="4"/>
        <v>0</v>
      </c>
      <c r="E93" s="284">
        <f t="shared" si="5"/>
        <v>0</v>
      </c>
      <c r="F93" s="283"/>
      <c r="G93" s="278"/>
      <c r="H93" s="272"/>
      <c r="I93" s="278"/>
    </row>
    <row r="94" spans="1:9">
      <c r="A94" s="746">
        <v>39</v>
      </c>
      <c r="B94" s="284">
        <f t="shared" si="2"/>
        <v>0</v>
      </c>
      <c r="C94" s="284">
        <f t="shared" si="3"/>
        <v>0</v>
      </c>
      <c r="D94" s="284">
        <f t="shared" si="4"/>
        <v>0</v>
      </c>
      <c r="E94" s="284">
        <f t="shared" si="5"/>
        <v>0</v>
      </c>
      <c r="F94" s="283"/>
      <c r="G94" s="278"/>
      <c r="H94" s="272"/>
      <c r="I94" s="278"/>
    </row>
    <row r="95" spans="1:9">
      <c r="A95" s="746">
        <v>40</v>
      </c>
      <c r="B95" s="284">
        <f t="shared" si="2"/>
        <v>0</v>
      </c>
      <c r="C95" s="284">
        <f t="shared" si="3"/>
        <v>0</v>
      </c>
      <c r="D95" s="284">
        <f t="shared" si="4"/>
        <v>0</v>
      </c>
      <c r="E95" s="284">
        <f t="shared" si="5"/>
        <v>0</v>
      </c>
      <c r="F95" s="283"/>
      <c r="G95" s="278"/>
      <c r="H95" s="272"/>
      <c r="I95" s="278"/>
    </row>
    <row r="96" spans="1:9">
      <c r="A96" s="746">
        <v>41</v>
      </c>
      <c r="B96" s="284">
        <f t="shared" si="2"/>
        <v>0</v>
      </c>
      <c r="C96" s="284">
        <f t="shared" si="3"/>
        <v>0</v>
      </c>
      <c r="D96" s="284">
        <f t="shared" si="4"/>
        <v>0</v>
      </c>
      <c r="E96" s="284">
        <f t="shared" si="5"/>
        <v>0</v>
      </c>
      <c r="F96" s="283"/>
      <c r="G96" s="278"/>
      <c r="H96" s="272"/>
      <c r="I96" s="278"/>
    </row>
    <row r="97" spans="1:9">
      <c r="A97" s="746">
        <v>42</v>
      </c>
      <c r="B97" s="284">
        <f t="shared" si="2"/>
        <v>0</v>
      </c>
      <c r="C97" s="284">
        <f t="shared" si="3"/>
        <v>0</v>
      </c>
      <c r="D97" s="284">
        <f t="shared" si="4"/>
        <v>0</v>
      </c>
      <c r="E97" s="284">
        <f t="shared" si="5"/>
        <v>0</v>
      </c>
      <c r="F97" s="283"/>
      <c r="G97" s="335"/>
      <c r="H97" s="291"/>
      <c r="I97" s="278"/>
    </row>
    <row r="98" spans="1:9">
      <c r="A98" s="746">
        <v>43</v>
      </c>
      <c r="B98" s="284">
        <f t="shared" si="2"/>
        <v>0</v>
      </c>
      <c r="C98" s="284">
        <f t="shared" si="3"/>
        <v>0</v>
      </c>
      <c r="D98" s="284">
        <f t="shared" si="4"/>
        <v>0</v>
      </c>
      <c r="E98" s="284">
        <f t="shared" si="5"/>
        <v>0</v>
      </c>
      <c r="F98" s="283"/>
      <c r="G98" s="278"/>
      <c r="H98" s="272"/>
      <c r="I98" s="278"/>
    </row>
    <row r="99" spans="1:9">
      <c r="A99" s="746">
        <v>44</v>
      </c>
      <c r="B99" s="284">
        <f t="shared" si="2"/>
        <v>0</v>
      </c>
      <c r="C99" s="284">
        <f t="shared" si="3"/>
        <v>0</v>
      </c>
      <c r="D99" s="284">
        <f t="shared" si="4"/>
        <v>0</v>
      </c>
      <c r="E99" s="284">
        <f t="shared" si="5"/>
        <v>0</v>
      </c>
      <c r="F99" s="283"/>
      <c r="G99" s="278"/>
      <c r="H99" s="272"/>
      <c r="I99" s="278"/>
    </row>
    <row r="100" spans="1:9">
      <c r="A100" s="746">
        <v>45</v>
      </c>
      <c r="B100" s="284">
        <f t="shared" si="2"/>
        <v>0</v>
      </c>
      <c r="C100" s="284">
        <f t="shared" si="3"/>
        <v>0</v>
      </c>
      <c r="D100" s="284">
        <f t="shared" si="4"/>
        <v>0</v>
      </c>
      <c r="E100" s="284">
        <f t="shared" si="5"/>
        <v>0</v>
      </c>
      <c r="F100" s="283"/>
      <c r="G100" s="278"/>
      <c r="H100" s="272"/>
      <c r="I100" s="278"/>
    </row>
    <row r="101" spans="1:9">
      <c r="A101" s="746">
        <v>46</v>
      </c>
      <c r="B101" s="284">
        <f t="shared" si="2"/>
        <v>0</v>
      </c>
      <c r="C101" s="284">
        <f t="shared" si="3"/>
        <v>0</v>
      </c>
      <c r="D101" s="284">
        <f t="shared" si="4"/>
        <v>0</v>
      </c>
      <c r="E101" s="284">
        <f t="shared" si="5"/>
        <v>0</v>
      </c>
      <c r="F101" s="283"/>
      <c r="G101" s="278"/>
      <c r="H101" s="272"/>
      <c r="I101" s="278"/>
    </row>
    <row r="102" spans="1:9">
      <c r="A102" s="746">
        <v>47</v>
      </c>
      <c r="B102" s="284">
        <f t="shared" si="2"/>
        <v>0</v>
      </c>
      <c r="C102" s="284">
        <f t="shared" si="3"/>
        <v>0</v>
      </c>
      <c r="D102" s="284">
        <f t="shared" si="4"/>
        <v>0</v>
      </c>
      <c r="E102" s="284">
        <f t="shared" si="5"/>
        <v>0</v>
      </c>
      <c r="F102" s="283"/>
      <c r="G102" s="278"/>
      <c r="H102" s="272"/>
      <c r="I102" s="278"/>
    </row>
    <row r="103" spans="1:9">
      <c r="A103" s="746">
        <v>48</v>
      </c>
      <c r="B103" s="284">
        <f t="shared" si="2"/>
        <v>0</v>
      </c>
      <c r="C103" s="284">
        <f t="shared" si="3"/>
        <v>0</v>
      </c>
      <c r="D103" s="284">
        <f t="shared" si="4"/>
        <v>0</v>
      </c>
      <c r="E103" s="284">
        <f t="shared" si="5"/>
        <v>0</v>
      </c>
      <c r="F103" s="283">
        <v>4</v>
      </c>
      <c r="G103" s="335"/>
      <c r="H103" s="291"/>
      <c r="I103" s="335"/>
    </row>
    <row r="104" spans="1:9">
      <c r="A104" s="746">
        <v>49</v>
      </c>
      <c r="B104" s="284">
        <f t="shared" si="2"/>
        <v>0</v>
      </c>
      <c r="C104" s="284">
        <f t="shared" si="3"/>
        <v>0</v>
      </c>
      <c r="D104" s="284">
        <f t="shared" si="4"/>
        <v>0</v>
      </c>
      <c r="E104" s="284">
        <f t="shared" si="5"/>
        <v>0</v>
      </c>
      <c r="F104" s="283"/>
      <c r="G104" s="278"/>
      <c r="H104" s="272"/>
      <c r="I104" s="335"/>
    </row>
    <row r="105" spans="1:9">
      <c r="A105" s="746">
        <v>50</v>
      </c>
      <c r="B105" s="284">
        <f t="shared" si="2"/>
        <v>0</v>
      </c>
      <c r="C105" s="284">
        <f t="shared" si="3"/>
        <v>0</v>
      </c>
      <c r="D105" s="284">
        <f t="shared" si="4"/>
        <v>0</v>
      </c>
      <c r="E105" s="284">
        <f t="shared" si="5"/>
        <v>0</v>
      </c>
      <c r="F105" s="283"/>
      <c r="G105" s="278"/>
      <c r="H105" s="272"/>
      <c r="I105" s="278"/>
    </row>
    <row r="106" spans="1:9">
      <c r="A106" s="746">
        <v>51</v>
      </c>
      <c r="B106" s="284">
        <f t="shared" si="2"/>
        <v>0</v>
      </c>
      <c r="C106" s="284">
        <f t="shared" si="3"/>
        <v>0</v>
      </c>
      <c r="D106" s="284">
        <f t="shared" si="4"/>
        <v>0</v>
      </c>
      <c r="E106" s="284">
        <f t="shared" si="5"/>
        <v>0</v>
      </c>
      <c r="F106" s="283"/>
      <c r="G106" s="278"/>
      <c r="H106" s="272"/>
      <c r="I106" s="278"/>
    </row>
    <row r="107" spans="1:9">
      <c r="A107" s="746">
        <v>52</v>
      </c>
      <c r="B107" s="284">
        <f t="shared" si="2"/>
        <v>0</v>
      </c>
      <c r="C107" s="284">
        <f t="shared" si="3"/>
        <v>0</v>
      </c>
      <c r="D107" s="284">
        <f t="shared" si="4"/>
        <v>0</v>
      </c>
      <c r="E107" s="284">
        <f t="shared" si="5"/>
        <v>0</v>
      </c>
      <c r="F107" s="283"/>
      <c r="G107" s="278"/>
      <c r="H107" s="272"/>
      <c r="I107" s="278"/>
    </row>
    <row r="108" spans="1:9">
      <c r="A108" s="746">
        <v>53</v>
      </c>
      <c r="B108" s="284">
        <f t="shared" si="2"/>
        <v>0</v>
      </c>
      <c r="C108" s="284">
        <f t="shared" si="3"/>
        <v>0</v>
      </c>
      <c r="D108" s="284">
        <f t="shared" si="4"/>
        <v>0</v>
      </c>
      <c r="E108" s="284">
        <f t="shared" si="5"/>
        <v>0</v>
      </c>
      <c r="F108" s="283"/>
      <c r="G108" s="278"/>
      <c r="H108" s="272"/>
      <c r="I108" s="278"/>
    </row>
    <row r="109" spans="1:9">
      <c r="A109" s="746">
        <v>54</v>
      </c>
      <c r="B109" s="284">
        <f t="shared" si="2"/>
        <v>0</v>
      </c>
      <c r="C109" s="284">
        <f t="shared" si="3"/>
        <v>0</v>
      </c>
      <c r="D109" s="284">
        <f t="shared" si="4"/>
        <v>0</v>
      </c>
      <c r="E109" s="284">
        <f t="shared" si="5"/>
        <v>0</v>
      </c>
      <c r="F109" s="283"/>
      <c r="G109" s="335"/>
      <c r="H109" s="291"/>
      <c r="I109" s="278"/>
    </row>
    <row r="110" spans="1:9">
      <c r="A110" s="746">
        <v>55</v>
      </c>
      <c r="B110" s="284">
        <f t="shared" si="2"/>
        <v>0</v>
      </c>
      <c r="C110" s="284">
        <f t="shared" si="3"/>
        <v>0</v>
      </c>
      <c r="D110" s="284">
        <f t="shared" si="4"/>
        <v>0</v>
      </c>
      <c r="E110" s="284">
        <f t="shared" si="5"/>
        <v>0</v>
      </c>
      <c r="F110" s="283"/>
      <c r="G110" s="278"/>
      <c r="H110" s="272"/>
      <c r="I110" s="278"/>
    </row>
    <row r="111" spans="1:9">
      <c r="A111" s="746">
        <v>56</v>
      </c>
      <c r="B111" s="284">
        <f t="shared" si="2"/>
        <v>0</v>
      </c>
      <c r="C111" s="284">
        <f t="shared" si="3"/>
        <v>0</v>
      </c>
      <c r="D111" s="284">
        <f t="shared" si="4"/>
        <v>0</v>
      </c>
      <c r="E111" s="284">
        <f t="shared" si="5"/>
        <v>0</v>
      </c>
      <c r="F111" s="283"/>
      <c r="G111" s="278"/>
      <c r="H111" s="272"/>
      <c r="I111" s="278"/>
    </row>
    <row r="112" spans="1:9">
      <c r="A112" s="746">
        <v>57</v>
      </c>
      <c r="B112" s="284">
        <f t="shared" si="2"/>
        <v>0</v>
      </c>
      <c r="C112" s="284">
        <f t="shared" si="3"/>
        <v>0</v>
      </c>
      <c r="D112" s="284">
        <f t="shared" si="4"/>
        <v>0</v>
      </c>
      <c r="E112" s="284">
        <f t="shared" si="5"/>
        <v>0</v>
      </c>
      <c r="F112" s="283"/>
      <c r="G112" s="278"/>
      <c r="H112" s="272"/>
      <c r="I112" s="278"/>
    </row>
    <row r="113" spans="1:9">
      <c r="A113" s="746">
        <v>58</v>
      </c>
      <c r="B113" s="284">
        <f t="shared" si="2"/>
        <v>0</v>
      </c>
      <c r="C113" s="284">
        <f t="shared" si="3"/>
        <v>0</v>
      </c>
      <c r="D113" s="284">
        <f t="shared" si="4"/>
        <v>0</v>
      </c>
      <c r="E113" s="284">
        <f t="shared" si="5"/>
        <v>0</v>
      </c>
      <c r="F113" s="283"/>
      <c r="G113" s="278"/>
      <c r="H113" s="272"/>
      <c r="I113" s="278"/>
    </row>
    <row r="114" spans="1:9">
      <c r="A114" s="746">
        <v>59</v>
      </c>
      <c r="B114" s="284">
        <f t="shared" si="2"/>
        <v>0</v>
      </c>
      <c r="C114" s="284">
        <f t="shared" si="3"/>
        <v>0</v>
      </c>
      <c r="D114" s="284">
        <f t="shared" si="4"/>
        <v>0</v>
      </c>
      <c r="E114" s="284">
        <f t="shared" si="5"/>
        <v>0</v>
      </c>
      <c r="F114" s="283"/>
      <c r="G114" s="278"/>
      <c r="H114" s="272"/>
      <c r="I114" s="278"/>
    </row>
    <row r="115" spans="1:9">
      <c r="A115" s="746">
        <v>60</v>
      </c>
      <c r="B115" s="284">
        <f t="shared" si="2"/>
        <v>0</v>
      </c>
      <c r="C115" s="284">
        <f t="shared" si="3"/>
        <v>0</v>
      </c>
      <c r="D115" s="284">
        <f t="shared" si="4"/>
        <v>0</v>
      </c>
      <c r="E115" s="284">
        <f t="shared" si="5"/>
        <v>0</v>
      </c>
      <c r="F115" s="283"/>
      <c r="G115" s="335"/>
      <c r="H115" s="291"/>
      <c r="I115" s="335"/>
    </row>
    <row r="116" spans="1:9">
      <c r="A116" s="746">
        <v>61</v>
      </c>
      <c r="B116" s="284">
        <f t="shared" si="2"/>
        <v>0</v>
      </c>
      <c r="C116" s="284">
        <f t="shared" si="3"/>
        <v>0</v>
      </c>
      <c r="D116" s="284">
        <f t="shared" si="4"/>
        <v>0</v>
      </c>
      <c r="E116" s="284">
        <f t="shared" si="5"/>
        <v>0</v>
      </c>
      <c r="F116" s="283"/>
      <c r="G116" s="278"/>
      <c r="H116" s="272"/>
      <c r="I116" s="335"/>
    </row>
    <row r="117" spans="1:9">
      <c r="A117" s="746">
        <v>62</v>
      </c>
      <c r="B117" s="284">
        <f t="shared" si="2"/>
        <v>0</v>
      </c>
      <c r="C117" s="284">
        <f t="shared" si="3"/>
        <v>0</v>
      </c>
      <c r="D117" s="284">
        <f t="shared" si="4"/>
        <v>0</v>
      </c>
      <c r="E117" s="284">
        <f t="shared" si="5"/>
        <v>0</v>
      </c>
      <c r="F117" s="283">
        <v>5</v>
      </c>
      <c r="G117" s="278"/>
      <c r="H117" s="272"/>
      <c r="I117" s="278"/>
    </row>
    <row r="118" spans="1:9">
      <c r="A118" s="746">
        <v>63</v>
      </c>
      <c r="B118" s="284">
        <f t="shared" si="2"/>
        <v>0</v>
      </c>
      <c r="C118" s="284">
        <f t="shared" si="3"/>
        <v>0</v>
      </c>
      <c r="D118" s="284">
        <f t="shared" si="4"/>
        <v>0</v>
      </c>
      <c r="E118" s="284">
        <f t="shared" si="5"/>
        <v>0</v>
      </c>
      <c r="F118" s="283"/>
      <c r="G118" s="278"/>
      <c r="H118" s="272"/>
      <c r="I118" s="278"/>
    </row>
    <row r="119" spans="1:9">
      <c r="A119" s="746">
        <v>64</v>
      </c>
      <c r="B119" s="284">
        <f t="shared" si="2"/>
        <v>0</v>
      </c>
      <c r="C119" s="284">
        <f t="shared" si="3"/>
        <v>0</v>
      </c>
      <c r="D119" s="284">
        <f t="shared" si="4"/>
        <v>0</v>
      </c>
      <c r="E119" s="284">
        <f t="shared" si="5"/>
        <v>0</v>
      </c>
      <c r="F119" s="283"/>
      <c r="G119" s="278"/>
      <c r="H119" s="272"/>
      <c r="I119" s="278"/>
    </row>
    <row r="120" spans="1:9">
      <c r="A120" s="746">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6">
        <v>66</v>
      </c>
      <c r="B121" s="284">
        <f t="shared" si="6"/>
        <v>0</v>
      </c>
      <c r="C121" s="284">
        <f t="shared" si="7"/>
        <v>0</v>
      </c>
      <c r="D121" s="284">
        <f t="shared" si="8"/>
        <v>0</v>
      </c>
      <c r="E121" s="284">
        <f t="shared" si="9"/>
        <v>0</v>
      </c>
      <c r="F121" s="283"/>
      <c r="G121" s="335"/>
      <c r="H121" s="291"/>
      <c r="I121" s="278"/>
    </row>
    <row r="122" spans="1:9">
      <c r="A122" s="746">
        <v>67</v>
      </c>
      <c r="B122" s="284">
        <f t="shared" si="6"/>
        <v>0</v>
      </c>
      <c r="C122" s="284">
        <f t="shared" si="7"/>
        <v>0</v>
      </c>
      <c r="D122" s="284">
        <f t="shared" si="8"/>
        <v>0</v>
      </c>
      <c r="E122" s="284">
        <f t="shared" si="9"/>
        <v>0</v>
      </c>
      <c r="F122" s="283"/>
      <c r="G122" s="278"/>
      <c r="H122" s="272"/>
      <c r="I122" s="278"/>
    </row>
    <row r="123" spans="1:9">
      <c r="A123" s="746">
        <v>68</v>
      </c>
      <c r="B123" s="284">
        <f t="shared" si="6"/>
        <v>0</v>
      </c>
      <c r="C123" s="284">
        <f t="shared" si="7"/>
        <v>0</v>
      </c>
      <c r="D123" s="284">
        <f t="shared" si="8"/>
        <v>0</v>
      </c>
      <c r="E123" s="284">
        <f t="shared" si="9"/>
        <v>0</v>
      </c>
      <c r="F123" s="283"/>
      <c r="G123" s="278"/>
      <c r="H123" s="272"/>
      <c r="I123" s="278"/>
    </row>
    <row r="124" spans="1:9">
      <c r="A124" s="746">
        <v>69</v>
      </c>
      <c r="B124" s="284">
        <f t="shared" si="6"/>
        <v>0</v>
      </c>
      <c r="C124" s="284">
        <f t="shared" si="7"/>
        <v>0</v>
      </c>
      <c r="D124" s="284">
        <f t="shared" si="8"/>
        <v>0</v>
      </c>
      <c r="E124" s="284">
        <f t="shared" si="9"/>
        <v>0</v>
      </c>
      <c r="F124" s="283"/>
      <c r="G124" s="278"/>
      <c r="H124" s="272"/>
      <c r="I124" s="278"/>
    </row>
    <row r="125" spans="1:9">
      <c r="A125" s="746">
        <v>70</v>
      </c>
      <c r="B125" s="284">
        <f t="shared" si="6"/>
        <v>0</v>
      </c>
      <c r="C125" s="284">
        <f t="shared" si="7"/>
        <v>0</v>
      </c>
      <c r="D125" s="284">
        <f t="shared" si="8"/>
        <v>0</v>
      </c>
      <c r="E125" s="284">
        <f t="shared" si="9"/>
        <v>0</v>
      </c>
      <c r="F125" s="283"/>
      <c r="G125" s="278"/>
      <c r="H125" s="272"/>
      <c r="I125" s="278"/>
    </row>
    <row r="126" spans="1:9">
      <c r="A126" s="746">
        <v>71</v>
      </c>
      <c r="B126" s="284">
        <f t="shared" si="6"/>
        <v>0</v>
      </c>
      <c r="C126" s="284">
        <f t="shared" si="7"/>
        <v>0</v>
      </c>
      <c r="D126" s="284">
        <f t="shared" si="8"/>
        <v>0</v>
      </c>
      <c r="E126" s="284">
        <f t="shared" si="9"/>
        <v>0</v>
      </c>
      <c r="F126" s="283"/>
      <c r="G126" s="278"/>
      <c r="H126" s="272"/>
      <c r="I126" s="278"/>
    </row>
    <row r="127" spans="1:9">
      <c r="A127" s="746">
        <v>72</v>
      </c>
      <c r="B127" s="284">
        <f t="shared" si="6"/>
        <v>0</v>
      </c>
      <c r="C127" s="284">
        <f t="shared" si="7"/>
        <v>0</v>
      </c>
      <c r="D127" s="284">
        <f t="shared" si="8"/>
        <v>0</v>
      </c>
      <c r="E127" s="284">
        <f t="shared" si="9"/>
        <v>0</v>
      </c>
      <c r="F127" s="283"/>
      <c r="G127" s="335"/>
      <c r="H127" s="291"/>
      <c r="I127" s="335"/>
    </row>
    <row r="128" spans="1:9">
      <c r="A128" s="746">
        <v>73</v>
      </c>
      <c r="B128" s="284">
        <f t="shared" si="6"/>
        <v>0</v>
      </c>
      <c r="C128" s="284">
        <f t="shared" si="7"/>
        <v>0</v>
      </c>
      <c r="D128" s="284">
        <f t="shared" si="8"/>
        <v>0</v>
      </c>
      <c r="E128" s="284">
        <f t="shared" si="9"/>
        <v>0</v>
      </c>
      <c r="F128" s="283"/>
      <c r="G128" s="278"/>
      <c r="H128" s="272"/>
      <c r="I128" s="335"/>
    </row>
    <row r="129" spans="1:9">
      <c r="A129" s="746">
        <v>74</v>
      </c>
      <c r="B129" s="284">
        <f t="shared" si="6"/>
        <v>0</v>
      </c>
      <c r="C129" s="284">
        <f t="shared" si="7"/>
        <v>0</v>
      </c>
      <c r="D129" s="284">
        <f t="shared" si="8"/>
        <v>0</v>
      </c>
      <c r="E129" s="284">
        <f t="shared" si="9"/>
        <v>0</v>
      </c>
      <c r="F129" s="283">
        <v>6</v>
      </c>
      <c r="G129" s="278"/>
      <c r="H129" s="272"/>
      <c r="I129" s="278"/>
    </row>
    <row r="130" spans="1:9">
      <c r="A130" s="746">
        <v>75</v>
      </c>
      <c r="B130" s="284">
        <f t="shared" si="6"/>
        <v>0</v>
      </c>
      <c r="C130" s="284">
        <f t="shared" si="7"/>
        <v>0</v>
      </c>
      <c r="D130" s="284">
        <f t="shared" si="8"/>
        <v>0</v>
      </c>
      <c r="E130" s="284">
        <f t="shared" si="9"/>
        <v>0</v>
      </c>
      <c r="F130" s="283"/>
      <c r="G130" s="278"/>
      <c r="H130" s="272"/>
      <c r="I130" s="278"/>
    </row>
    <row r="131" spans="1:9">
      <c r="A131" s="746">
        <v>76</v>
      </c>
      <c r="B131" s="284">
        <f t="shared" si="6"/>
        <v>0</v>
      </c>
      <c r="C131" s="284">
        <f t="shared" si="7"/>
        <v>0</v>
      </c>
      <c r="D131" s="284">
        <f t="shared" si="8"/>
        <v>0</v>
      </c>
      <c r="E131" s="284">
        <f t="shared" si="9"/>
        <v>0</v>
      </c>
      <c r="F131" s="283"/>
      <c r="G131" s="278"/>
      <c r="H131" s="272"/>
      <c r="I131" s="278"/>
    </row>
    <row r="132" spans="1:9">
      <c r="A132" s="746">
        <v>77</v>
      </c>
      <c r="B132" s="284">
        <f t="shared" si="6"/>
        <v>0</v>
      </c>
      <c r="C132" s="284">
        <f t="shared" si="7"/>
        <v>0</v>
      </c>
      <c r="D132" s="284">
        <f t="shared" si="8"/>
        <v>0</v>
      </c>
      <c r="E132" s="284">
        <f t="shared" si="9"/>
        <v>0</v>
      </c>
      <c r="F132" s="283"/>
      <c r="G132" s="278"/>
      <c r="H132" s="272"/>
      <c r="I132" s="278"/>
    </row>
    <row r="133" spans="1:9">
      <c r="A133" s="746">
        <v>78</v>
      </c>
      <c r="B133" s="284">
        <f t="shared" si="6"/>
        <v>0</v>
      </c>
      <c r="C133" s="284">
        <f t="shared" si="7"/>
        <v>0</v>
      </c>
      <c r="D133" s="284">
        <f t="shared" si="8"/>
        <v>0</v>
      </c>
      <c r="E133" s="284">
        <f t="shared" si="9"/>
        <v>0</v>
      </c>
      <c r="F133" s="283"/>
      <c r="G133" s="335"/>
      <c r="H133" s="291"/>
      <c r="I133" s="278"/>
    </row>
    <row r="134" spans="1:9">
      <c r="A134" s="746">
        <v>79</v>
      </c>
      <c r="B134" s="284">
        <f t="shared" si="6"/>
        <v>0</v>
      </c>
      <c r="C134" s="284">
        <f t="shared" si="7"/>
        <v>0</v>
      </c>
      <c r="D134" s="284">
        <f t="shared" si="8"/>
        <v>0</v>
      </c>
      <c r="E134" s="284">
        <f t="shared" si="9"/>
        <v>0</v>
      </c>
      <c r="F134" s="283"/>
      <c r="G134" s="278"/>
      <c r="H134" s="272"/>
      <c r="I134" s="278"/>
    </row>
    <row r="135" spans="1:9">
      <c r="A135" s="746">
        <v>80</v>
      </c>
      <c r="B135" s="284">
        <f t="shared" si="6"/>
        <v>0</v>
      </c>
      <c r="C135" s="284">
        <f t="shared" si="7"/>
        <v>0</v>
      </c>
      <c r="D135" s="284">
        <f t="shared" si="8"/>
        <v>0</v>
      </c>
      <c r="E135" s="284">
        <f t="shared" si="9"/>
        <v>0</v>
      </c>
      <c r="F135" s="283"/>
      <c r="G135" s="278"/>
      <c r="H135" s="272"/>
      <c r="I135" s="278"/>
    </row>
    <row r="136" spans="1:9">
      <c r="A136" s="746">
        <v>81</v>
      </c>
      <c r="B136" s="284">
        <f t="shared" si="6"/>
        <v>0</v>
      </c>
      <c r="C136" s="284">
        <f t="shared" si="7"/>
        <v>0</v>
      </c>
      <c r="D136" s="284">
        <f t="shared" si="8"/>
        <v>0</v>
      </c>
      <c r="E136" s="284">
        <f t="shared" si="9"/>
        <v>0</v>
      </c>
      <c r="F136" s="283"/>
      <c r="G136" s="278"/>
      <c r="H136" s="272"/>
      <c r="I136" s="278"/>
    </row>
    <row r="137" spans="1:9">
      <c r="A137" s="746">
        <v>82</v>
      </c>
      <c r="B137" s="284">
        <f t="shared" si="6"/>
        <v>0</v>
      </c>
      <c r="C137" s="284">
        <f t="shared" si="7"/>
        <v>0</v>
      </c>
      <c r="D137" s="284">
        <f t="shared" si="8"/>
        <v>0</v>
      </c>
      <c r="E137" s="284">
        <f t="shared" si="9"/>
        <v>0</v>
      </c>
      <c r="F137" s="283"/>
      <c r="G137" s="278"/>
      <c r="H137" s="272"/>
      <c r="I137" s="278"/>
    </row>
    <row r="138" spans="1:9">
      <c r="A138" s="746">
        <v>83</v>
      </c>
      <c r="B138" s="284">
        <f t="shared" si="6"/>
        <v>0</v>
      </c>
      <c r="C138" s="284">
        <f t="shared" si="7"/>
        <v>0</v>
      </c>
      <c r="D138" s="284">
        <f t="shared" si="8"/>
        <v>0</v>
      </c>
      <c r="E138" s="284">
        <f t="shared" si="9"/>
        <v>0</v>
      </c>
      <c r="F138" s="283"/>
      <c r="G138" s="278"/>
      <c r="H138" s="272"/>
      <c r="I138" s="278"/>
    </row>
    <row r="139" spans="1:9">
      <c r="A139" s="746">
        <v>84</v>
      </c>
      <c r="B139" s="284">
        <f t="shared" si="6"/>
        <v>0</v>
      </c>
      <c r="C139" s="284">
        <f t="shared" si="7"/>
        <v>0</v>
      </c>
      <c r="D139" s="284">
        <f t="shared" si="8"/>
        <v>0</v>
      </c>
      <c r="E139" s="284">
        <f t="shared" si="9"/>
        <v>0</v>
      </c>
      <c r="F139" s="283">
        <v>7</v>
      </c>
      <c r="G139" s="335"/>
      <c r="H139" s="291"/>
      <c r="I139" s="335"/>
    </row>
    <row r="140" spans="1:9">
      <c r="A140" s="746">
        <v>85</v>
      </c>
      <c r="B140" s="284">
        <f t="shared" si="6"/>
        <v>0</v>
      </c>
      <c r="C140" s="284">
        <f t="shared" si="7"/>
        <v>0</v>
      </c>
      <c r="D140" s="284">
        <f t="shared" si="8"/>
        <v>0</v>
      </c>
      <c r="E140" s="284">
        <f t="shared" si="9"/>
        <v>0</v>
      </c>
      <c r="F140" s="283"/>
      <c r="G140" s="278"/>
      <c r="H140" s="272"/>
      <c r="I140" s="335"/>
    </row>
    <row r="141" spans="1:9">
      <c r="A141" s="746">
        <v>86</v>
      </c>
      <c r="B141" s="284">
        <f t="shared" si="6"/>
        <v>0</v>
      </c>
      <c r="C141" s="284">
        <f t="shared" si="7"/>
        <v>0</v>
      </c>
      <c r="D141" s="284">
        <f t="shared" si="8"/>
        <v>0</v>
      </c>
      <c r="E141" s="284">
        <f t="shared" si="9"/>
        <v>0</v>
      </c>
      <c r="F141" s="283"/>
      <c r="G141" s="278"/>
      <c r="H141" s="272"/>
      <c r="I141" s="278"/>
    </row>
    <row r="142" spans="1:9">
      <c r="A142" s="746">
        <v>87</v>
      </c>
      <c r="B142" s="284">
        <f t="shared" si="6"/>
        <v>0</v>
      </c>
      <c r="C142" s="284">
        <f t="shared" si="7"/>
        <v>0</v>
      </c>
      <c r="D142" s="284">
        <f t="shared" si="8"/>
        <v>0</v>
      </c>
      <c r="E142" s="284">
        <f t="shared" si="9"/>
        <v>0</v>
      </c>
      <c r="F142" s="283"/>
      <c r="G142" s="278"/>
      <c r="H142" s="272"/>
      <c r="I142" s="278"/>
    </row>
    <row r="143" spans="1:9">
      <c r="A143" s="746">
        <v>88</v>
      </c>
      <c r="B143" s="284">
        <f t="shared" si="6"/>
        <v>0</v>
      </c>
      <c r="C143" s="284">
        <f t="shared" si="7"/>
        <v>0</v>
      </c>
      <c r="D143" s="284">
        <f t="shared" si="8"/>
        <v>0</v>
      </c>
      <c r="E143" s="284">
        <f t="shared" si="9"/>
        <v>0</v>
      </c>
      <c r="F143" s="283"/>
      <c r="G143" s="278"/>
      <c r="H143" s="272"/>
      <c r="I143" s="278"/>
    </row>
    <row r="144" spans="1:9">
      <c r="A144" s="746">
        <v>89</v>
      </c>
      <c r="B144" s="284">
        <f t="shared" si="6"/>
        <v>0</v>
      </c>
      <c r="C144" s="284">
        <f t="shared" si="7"/>
        <v>0</v>
      </c>
      <c r="D144" s="284">
        <f t="shared" si="8"/>
        <v>0</v>
      </c>
      <c r="E144" s="284">
        <f t="shared" si="9"/>
        <v>0</v>
      </c>
      <c r="F144" s="283"/>
      <c r="G144" s="278"/>
      <c r="H144" s="272"/>
      <c r="I144" s="278"/>
    </row>
    <row r="145" spans="1:9">
      <c r="A145" s="746">
        <v>90</v>
      </c>
      <c r="B145" s="284">
        <f t="shared" si="6"/>
        <v>0</v>
      </c>
      <c r="C145" s="284">
        <f t="shared" si="7"/>
        <v>0</v>
      </c>
      <c r="D145" s="284">
        <f t="shared" si="8"/>
        <v>0</v>
      </c>
      <c r="E145" s="284">
        <f t="shared" si="9"/>
        <v>0</v>
      </c>
      <c r="F145" s="283"/>
      <c r="G145" s="335"/>
      <c r="H145" s="291"/>
      <c r="I145" s="278"/>
    </row>
    <row r="146" spans="1:9">
      <c r="A146" s="746">
        <v>91</v>
      </c>
      <c r="B146" s="284">
        <f t="shared" si="6"/>
        <v>0</v>
      </c>
      <c r="C146" s="284">
        <f t="shared" si="7"/>
        <v>0</v>
      </c>
      <c r="D146" s="284">
        <f t="shared" si="8"/>
        <v>0</v>
      </c>
      <c r="E146" s="284">
        <f t="shared" si="9"/>
        <v>0</v>
      </c>
      <c r="F146" s="283"/>
      <c r="G146" s="278"/>
      <c r="H146" s="272"/>
      <c r="I146" s="278"/>
    </row>
    <row r="147" spans="1:9">
      <c r="A147" s="746">
        <v>92</v>
      </c>
      <c r="B147" s="284">
        <f t="shared" si="6"/>
        <v>0</v>
      </c>
      <c r="C147" s="284">
        <f t="shared" si="7"/>
        <v>0</v>
      </c>
      <c r="D147" s="284">
        <f t="shared" si="8"/>
        <v>0</v>
      </c>
      <c r="E147" s="284">
        <f t="shared" si="9"/>
        <v>0</v>
      </c>
      <c r="F147" s="283"/>
      <c r="G147" s="278"/>
      <c r="H147" s="272"/>
      <c r="I147" s="278"/>
    </row>
    <row r="148" spans="1:9">
      <c r="A148" s="746">
        <v>93</v>
      </c>
      <c r="B148" s="284">
        <f t="shared" si="6"/>
        <v>0</v>
      </c>
      <c r="C148" s="284">
        <f t="shared" si="7"/>
        <v>0</v>
      </c>
      <c r="D148" s="284">
        <f t="shared" si="8"/>
        <v>0</v>
      </c>
      <c r="E148" s="284">
        <f t="shared" si="9"/>
        <v>0</v>
      </c>
      <c r="F148" s="283"/>
      <c r="G148" s="278"/>
      <c r="H148" s="272"/>
      <c r="I148" s="278"/>
    </row>
    <row r="149" spans="1:9">
      <c r="A149" s="746">
        <v>94</v>
      </c>
      <c r="B149" s="284">
        <f t="shared" si="6"/>
        <v>0</v>
      </c>
      <c r="C149" s="284">
        <f t="shared" si="7"/>
        <v>0</v>
      </c>
      <c r="D149" s="284">
        <f t="shared" si="8"/>
        <v>0</v>
      </c>
      <c r="E149" s="284">
        <f t="shared" si="9"/>
        <v>0</v>
      </c>
      <c r="F149" s="283"/>
      <c r="G149" s="278"/>
      <c r="H149" s="272"/>
      <c r="I149" s="278"/>
    </row>
    <row r="150" spans="1:9">
      <c r="A150" s="746">
        <v>95</v>
      </c>
      <c r="B150" s="284">
        <f t="shared" si="6"/>
        <v>0</v>
      </c>
      <c r="C150" s="284">
        <f t="shared" si="7"/>
        <v>0</v>
      </c>
      <c r="D150" s="284">
        <f t="shared" si="8"/>
        <v>0</v>
      </c>
      <c r="E150" s="284">
        <f t="shared" si="9"/>
        <v>0</v>
      </c>
      <c r="F150" s="283"/>
      <c r="G150" s="278"/>
      <c r="H150" s="272"/>
      <c r="I150" s="278"/>
    </row>
    <row r="151" spans="1:9">
      <c r="A151" s="746">
        <v>96</v>
      </c>
      <c r="B151" s="284">
        <f t="shared" si="6"/>
        <v>0</v>
      </c>
      <c r="C151" s="284">
        <f t="shared" si="7"/>
        <v>0</v>
      </c>
      <c r="D151" s="284">
        <f t="shared" si="8"/>
        <v>0</v>
      </c>
      <c r="E151" s="284">
        <f t="shared" si="9"/>
        <v>0</v>
      </c>
      <c r="F151" s="283">
        <v>8</v>
      </c>
      <c r="G151" s="335"/>
      <c r="H151" s="291"/>
      <c r="I151" s="335"/>
    </row>
    <row r="152" spans="1:9">
      <c r="A152" s="746">
        <v>97</v>
      </c>
      <c r="B152" s="284">
        <f t="shared" si="6"/>
        <v>0</v>
      </c>
      <c r="C152" s="284">
        <f t="shared" si="7"/>
        <v>0</v>
      </c>
      <c r="D152" s="284">
        <f t="shared" si="8"/>
        <v>0</v>
      </c>
      <c r="E152" s="284">
        <f t="shared" si="9"/>
        <v>0</v>
      </c>
      <c r="F152" s="283"/>
      <c r="G152" s="278"/>
      <c r="H152" s="272"/>
      <c r="I152" s="335"/>
    </row>
    <row r="153" spans="1:9">
      <c r="A153" s="746">
        <v>98</v>
      </c>
      <c r="B153" s="284">
        <f t="shared" si="6"/>
        <v>0</v>
      </c>
      <c r="C153" s="284">
        <f t="shared" si="7"/>
        <v>0</v>
      </c>
      <c r="D153" s="284">
        <f t="shared" si="8"/>
        <v>0</v>
      </c>
      <c r="E153" s="284">
        <f t="shared" si="9"/>
        <v>0</v>
      </c>
      <c r="F153" s="283"/>
      <c r="G153" s="278"/>
      <c r="H153" s="272"/>
      <c r="I153" s="278"/>
    </row>
    <row r="154" spans="1:9">
      <c r="A154" s="746">
        <v>99</v>
      </c>
      <c r="B154" s="284">
        <f t="shared" si="6"/>
        <v>0</v>
      </c>
      <c r="C154" s="284">
        <f t="shared" si="7"/>
        <v>0</v>
      </c>
      <c r="D154" s="284">
        <f t="shared" si="8"/>
        <v>0</v>
      </c>
      <c r="E154" s="284">
        <f t="shared" si="9"/>
        <v>0</v>
      </c>
      <c r="F154" s="283"/>
      <c r="G154" s="278"/>
      <c r="H154" s="272"/>
      <c r="I154" s="278"/>
    </row>
    <row r="155" spans="1:9">
      <c r="A155" s="746">
        <v>100</v>
      </c>
      <c r="B155" s="284">
        <f t="shared" si="6"/>
        <v>0</v>
      </c>
      <c r="C155" s="284">
        <f t="shared" si="7"/>
        <v>0</v>
      </c>
      <c r="D155" s="284">
        <f t="shared" si="8"/>
        <v>0</v>
      </c>
      <c r="E155" s="284">
        <f t="shared" si="9"/>
        <v>0</v>
      </c>
      <c r="F155" s="283"/>
      <c r="G155" s="278"/>
      <c r="H155" s="272"/>
      <c r="I155" s="278"/>
    </row>
    <row r="156" spans="1:9">
      <c r="A156" s="746">
        <v>101</v>
      </c>
      <c r="B156" s="284">
        <f t="shared" si="6"/>
        <v>0</v>
      </c>
      <c r="C156" s="284">
        <f t="shared" si="7"/>
        <v>0</v>
      </c>
      <c r="D156" s="284">
        <f t="shared" si="8"/>
        <v>0</v>
      </c>
      <c r="E156" s="284">
        <f t="shared" si="9"/>
        <v>0</v>
      </c>
      <c r="F156" s="283"/>
      <c r="G156" s="278"/>
      <c r="H156" s="272"/>
      <c r="I156" s="278"/>
    </row>
    <row r="157" spans="1:9">
      <c r="A157" s="746">
        <v>102</v>
      </c>
      <c r="B157" s="284">
        <f t="shared" si="6"/>
        <v>0</v>
      </c>
      <c r="C157" s="284">
        <f t="shared" si="7"/>
        <v>0</v>
      </c>
      <c r="D157" s="284">
        <f t="shared" si="8"/>
        <v>0</v>
      </c>
      <c r="E157" s="284">
        <f t="shared" si="9"/>
        <v>0</v>
      </c>
      <c r="F157" s="283"/>
      <c r="G157" s="335"/>
      <c r="H157" s="291"/>
      <c r="I157" s="278"/>
    </row>
    <row r="158" spans="1:9">
      <c r="A158" s="746">
        <v>103</v>
      </c>
      <c r="B158" s="284">
        <f t="shared" si="6"/>
        <v>0</v>
      </c>
      <c r="C158" s="284">
        <f t="shared" si="7"/>
        <v>0</v>
      </c>
      <c r="D158" s="284">
        <f t="shared" si="8"/>
        <v>0</v>
      </c>
      <c r="E158" s="284">
        <f t="shared" si="9"/>
        <v>0</v>
      </c>
      <c r="F158" s="283"/>
      <c r="G158" s="278"/>
      <c r="H158" s="272"/>
      <c r="I158" s="278"/>
    </row>
    <row r="159" spans="1:9">
      <c r="A159" s="746">
        <v>104</v>
      </c>
      <c r="B159" s="284">
        <f t="shared" si="6"/>
        <v>0</v>
      </c>
      <c r="C159" s="284">
        <f t="shared" si="7"/>
        <v>0</v>
      </c>
      <c r="D159" s="284">
        <f t="shared" si="8"/>
        <v>0</v>
      </c>
      <c r="E159" s="284">
        <f t="shared" si="9"/>
        <v>0</v>
      </c>
      <c r="F159" s="283"/>
      <c r="G159" s="278"/>
      <c r="H159" s="272"/>
      <c r="I159" s="278"/>
    </row>
    <row r="160" spans="1:9">
      <c r="A160" s="746">
        <v>105</v>
      </c>
      <c r="B160" s="284">
        <f t="shared" si="6"/>
        <v>0</v>
      </c>
      <c r="C160" s="284">
        <f t="shared" si="7"/>
        <v>0</v>
      </c>
      <c r="D160" s="284">
        <f t="shared" si="8"/>
        <v>0</v>
      </c>
      <c r="E160" s="284">
        <f t="shared" si="9"/>
        <v>0</v>
      </c>
      <c r="F160" s="283"/>
      <c r="G160" s="278"/>
      <c r="H160" s="272"/>
      <c r="I160" s="278"/>
    </row>
    <row r="161" spans="1:9">
      <c r="A161" s="746">
        <v>106</v>
      </c>
      <c r="B161" s="284">
        <f t="shared" si="6"/>
        <v>0</v>
      </c>
      <c r="C161" s="284">
        <f t="shared" si="7"/>
        <v>0</v>
      </c>
      <c r="D161" s="284">
        <f t="shared" si="8"/>
        <v>0</v>
      </c>
      <c r="E161" s="284">
        <f t="shared" si="9"/>
        <v>0</v>
      </c>
      <c r="F161" s="283"/>
      <c r="G161" s="278"/>
      <c r="H161" s="272"/>
      <c r="I161" s="278"/>
    </row>
    <row r="162" spans="1:9">
      <c r="A162" s="746">
        <v>107</v>
      </c>
      <c r="B162" s="284">
        <f t="shared" si="6"/>
        <v>0</v>
      </c>
      <c r="C162" s="284">
        <f t="shared" si="7"/>
        <v>0</v>
      </c>
      <c r="D162" s="284">
        <f t="shared" si="8"/>
        <v>0</v>
      </c>
      <c r="E162" s="284">
        <f t="shared" si="9"/>
        <v>0</v>
      </c>
      <c r="F162" s="283"/>
      <c r="G162" s="278"/>
      <c r="H162" s="272"/>
      <c r="I162" s="278"/>
    </row>
    <row r="163" spans="1:9">
      <c r="A163" s="746">
        <v>108</v>
      </c>
      <c r="B163" s="284">
        <f t="shared" si="6"/>
        <v>0</v>
      </c>
      <c r="C163" s="284">
        <f t="shared" si="7"/>
        <v>0</v>
      </c>
      <c r="D163" s="284">
        <f t="shared" si="8"/>
        <v>0</v>
      </c>
      <c r="E163" s="284">
        <f t="shared" si="9"/>
        <v>0</v>
      </c>
      <c r="F163" s="283">
        <v>9</v>
      </c>
      <c r="G163" s="335"/>
      <c r="H163" s="291"/>
      <c r="I163" s="335"/>
    </row>
    <row r="164" spans="1:9">
      <c r="A164" s="746">
        <v>109</v>
      </c>
      <c r="B164" s="284">
        <f t="shared" si="6"/>
        <v>0</v>
      </c>
      <c r="C164" s="284">
        <f t="shared" si="7"/>
        <v>0</v>
      </c>
      <c r="D164" s="284">
        <f t="shared" si="8"/>
        <v>0</v>
      </c>
      <c r="E164" s="284">
        <f t="shared" si="9"/>
        <v>0</v>
      </c>
      <c r="F164" s="283"/>
      <c r="G164" s="278"/>
      <c r="H164" s="272"/>
      <c r="I164" s="335"/>
    </row>
    <row r="165" spans="1:9">
      <c r="A165" s="746">
        <v>110</v>
      </c>
      <c r="B165" s="284">
        <f t="shared" si="6"/>
        <v>0</v>
      </c>
      <c r="C165" s="284">
        <f t="shared" si="7"/>
        <v>0</v>
      </c>
      <c r="D165" s="284">
        <f t="shared" si="8"/>
        <v>0</v>
      </c>
      <c r="E165" s="284">
        <f t="shared" si="9"/>
        <v>0</v>
      </c>
      <c r="F165" s="283"/>
      <c r="G165" s="278"/>
      <c r="H165" s="272"/>
      <c r="I165" s="278"/>
    </row>
    <row r="166" spans="1:9">
      <c r="A166" s="746">
        <v>111</v>
      </c>
      <c r="B166" s="284">
        <f t="shared" si="6"/>
        <v>0</v>
      </c>
      <c r="C166" s="284">
        <f t="shared" si="7"/>
        <v>0</v>
      </c>
      <c r="D166" s="284">
        <f t="shared" si="8"/>
        <v>0</v>
      </c>
      <c r="E166" s="284">
        <f t="shared" si="9"/>
        <v>0</v>
      </c>
      <c r="F166" s="283"/>
      <c r="G166" s="278"/>
      <c r="H166" s="272"/>
      <c r="I166" s="278"/>
    </row>
    <row r="167" spans="1:9">
      <c r="A167" s="746">
        <v>112</v>
      </c>
      <c r="B167" s="284">
        <f t="shared" si="6"/>
        <v>0</v>
      </c>
      <c r="C167" s="284">
        <f t="shared" si="7"/>
        <v>0</v>
      </c>
      <c r="D167" s="284">
        <f t="shared" si="8"/>
        <v>0</v>
      </c>
      <c r="E167" s="284">
        <f t="shared" si="9"/>
        <v>0</v>
      </c>
      <c r="F167" s="283"/>
      <c r="G167" s="278"/>
      <c r="H167" s="272"/>
      <c r="I167" s="278"/>
    </row>
    <row r="168" spans="1:9">
      <c r="A168" s="746">
        <v>113</v>
      </c>
      <c r="B168" s="284">
        <f t="shared" si="6"/>
        <v>0</v>
      </c>
      <c r="C168" s="284">
        <f t="shared" si="7"/>
        <v>0</v>
      </c>
      <c r="D168" s="284">
        <f t="shared" si="8"/>
        <v>0</v>
      </c>
      <c r="E168" s="284">
        <f t="shared" si="9"/>
        <v>0</v>
      </c>
      <c r="F168" s="283"/>
      <c r="G168" s="278"/>
      <c r="H168" s="272"/>
      <c r="I168" s="278"/>
    </row>
    <row r="169" spans="1:9">
      <c r="A169" s="746">
        <v>114</v>
      </c>
      <c r="B169" s="284">
        <f t="shared" si="6"/>
        <v>0</v>
      </c>
      <c r="C169" s="284">
        <f t="shared" si="7"/>
        <v>0</v>
      </c>
      <c r="D169" s="284">
        <f t="shared" si="8"/>
        <v>0</v>
      </c>
      <c r="E169" s="284">
        <f t="shared" si="9"/>
        <v>0</v>
      </c>
      <c r="F169" s="283"/>
      <c r="G169" s="335"/>
      <c r="H169" s="291"/>
      <c r="I169" s="278"/>
    </row>
    <row r="170" spans="1:9">
      <c r="A170" s="746">
        <v>115</v>
      </c>
      <c r="B170" s="284">
        <f t="shared" si="6"/>
        <v>0</v>
      </c>
      <c r="C170" s="284">
        <f t="shared" si="7"/>
        <v>0</v>
      </c>
      <c r="D170" s="284">
        <f t="shared" si="8"/>
        <v>0</v>
      </c>
      <c r="E170" s="284">
        <f t="shared" si="9"/>
        <v>0</v>
      </c>
      <c r="F170" s="283"/>
      <c r="G170" s="278"/>
      <c r="H170" s="272"/>
      <c r="I170" s="278"/>
    </row>
    <row r="171" spans="1:9">
      <c r="A171" s="746">
        <v>116</v>
      </c>
      <c r="B171" s="284">
        <f t="shared" si="6"/>
        <v>0</v>
      </c>
      <c r="C171" s="284">
        <f t="shared" si="7"/>
        <v>0</v>
      </c>
      <c r="D171" s="284">
        <f t="shared" si="8"/>
        <v>0</v>
      </c>
      <c r="E171" s="284">
        <f t="shared" si="9"/>
        <v>0</v>
      </c>
      <c r="F171" s="283"/>
      <c r="G171" s="278"/>
      <c r="H171" s="272"/>
      <c r="I171" s="278"/>
    </row>
    <row r="172" spans="1:9">
      <c r="A172" s="746">
        <v>117</v>
      </c>
      <c r="B172" s="284">
        <f t="shared" si="6"/>
        <v>0</v>
      </c>
      <c r="C172" s="284">
        <f t="shared" si="7"/>
        <v>0</v>
      </c>
      <c r="D172" s="284">
        <f t="shared" si="8"/>
        <v>0</v>
      </c>
      <c r="E172" s="284">
        <f t="shared" si="9"/>
        <v>0</v>
      </c>
      <c r="F172" s="283"/>
      <c r="G172" s="278"/>
      <c r="H172" s="272"/>
      <c r="I172" s="278"/>
    </row>
    <row r="173" spans="1:9">
      <c r="A173" s="746">
        <v>118</v>
      </c>
      <c r="B173" s="284">
        <f t="shared" si="6"/>
        <v>0</v>
      </c>
      <c r="C173" s="284">
        <f t="shared" si="7"/>
        <v>0</v>
      </c>
      <c r="D173" s="284">
        <f t="shared" si="8"/>
        <v>0</v>
      </c>
      <c r="E173" s="284">
        <f t="shared" si="9"/>
        <v>0</v>
      </c>
      <c r="F173" s="283"/>
      <c r="G173" s="278"/>
      <c r="H173" s="272"/>
      <c r="I173" s="278"/>
    </row>
    <row r="174" spans="1:9">
      <c r="A174" s="746">
        <v>119</v>
      </c>
      <c r="B174" s="284">
        <f t="shared" si="6"/>
        <v>0</v>
      </c>
      <c r="C174" s="284">
        <f t="shared" si="7"/>
        <v>0</v>
      </c>
      <c r="D174" s="284">
        <f t="shared" si="8"/>
        <v>0</v>
      </c>
      <c r="E174" s="284">
        <f t="shared" si="9"/>
        <v>0</v>
      </c>
      <c r="F174" s="283"/>
      <c r="G174" s="278"/>
      <c r="H174" s="272"/>
      <c r="I174" s="278"/>
    </row>
    <row r="175" spans="1:9">
      <c r="A175" s="746">
        <v>120</v>
      </c>
      <c r="B175" s="284">
        <f t="shared" si="6"/>
        <v>0</v>
      </c>
      <c r="C175" s="284">
        <f t="shared" si="7"/>
        <v>0</v>
      </c>
      <c r="D175" s="284">
        <f t="shared" si="8"/>
        <v>0</v>
      </c>
      <c r="E175" s="284">
        <f t="shared" si="9"/>
        <v>0</v>
      </c>
      <c r="F175" s="283">
        <v>10</v>
      </c>
      <c r="G175" s="335"/>
      <c r="H175" s="291"/>
      <c r="I175" s="335"/>
    </row>
    <row r="176" spans="1:9">
      <c r="A176" s="746">
        <v>121</v>
      </c>
      <c r="B176" s="284">
        <f t="shared" si="6"/>
        <v>0</v>
      </c>
      <c r="C176" s="284">
        <f t="shared" si="7"/>
        <v>0</v>
      </c>
      <c r="D176" s="284">
        <f t="shared" si="8"/>
        <v>0</v>
      </c>
      <c r="E176" s="284">
        <f t="shared" si="9"/>
        <v>0</v>
      </c>
      <c r="F176" s="283"/>
      <c r="G176" s="278"/>
      <c r="H176" s="272"/>
      <c r="I176" s="335"/>
    </row>
    <row r="177" spans="1:9">
      <c r="A177" s="746">
        <v>122</v>
      </c>
      <c r="B177" s="284">
        <f t="shared" si="6"/>
        <v>0</v>
      </c>
      <c r="C177" s="284">
        <f t="shared" si="7"/>
        <v>0</v>
      </c>
      <c r="D177" s="284">
        <f t="shared" si="8"/>
        <v>0</v>
      </c>
      <c r="E177" s="284">
        <f t="shared" si="9"/>
        <v>0</v>
      </c>
      <c r="F177" s="283"/>
      <c r="G177" s="278"/>
      <c r="H177" s="272"/>
      <c r="I177" s="278"/>
    </row>
    <row r="178" spans="1:9">
      <c r="A178" s="746">
        <v>123</v>
      </c>
      <c r="B178" s="284">
        <f t="shared" si="6"/>
        <v>0</v>
      </c>
      <c r="C178" s="284">
        <f t="shared" si="7"/>
        <v>0</v>
      </c>
      <c r="D178" s="284">
        <f t="shared" si="8"/>
        <v>0</v>
      </c>
      <c r="E178" s="284">
        <f t="shared" si="9"/>
        <v>0</v>
      </c>
      <c r="F178" s="283"/>
      <c r="G178" s="278"/>
      <c r="H178" s="272"/>
      <c r="I178" s="278"/>
    </row>
    <row r="179" spans="1:9">
      <c r="A179" s="746">
        <v>124</v>
      </c>
      <c r="B179" s="284">
        <f t="shared" si="6"/>
        <v>0</v>
      </c>
      <c r="C179" s="284">
        <f t="shared" si="7"/>
        <v>0</v>
      </c>
      <c r="D179" s="284">
        <f t="shared" si="8"/>
        <v>0</v>
      </c>
      <c r="E179" s="284">
        <f t="shared" si="9"/>
        <v>0</v>
      </c>
      <c r="F179" s="283"/>
      <c r="G179" s="278"/>
      <c r="H179" s="272"/>
      <c r="I179" s="278"/>
    </row>
    <row r="180" spans="1:9">
      <c r="A180" s="746">
        <v>125</v>
      </c>
      <c r="B180" s="284">
        <f t="shared" si="6"/>
        <v>0</v>
      </c>
      <c r="C180" s="284">
        <f t="shared" si="7"/>
        <v>0</v>
      </c>
      <c r="D180" s="284">
        <f t="shared" si="8"/>
        <v>0</v>
      </c>
      <c r="E180" s="284">
        <f t="shared" si="9"/>
        <v>0</v>
      </c>
      <c r="F180" s="283"/>
      <c r="G180" s="278"/>
      <c r="H180" s="272"/>
      <c r="I180" s="278"/>
    </row>
    <row r="181" spans="1:9">
      <c r="A181" s="746">
        <v>126</v>
      </c>
      <c r="B181" s="284">
        <f t="shared" si="6"/>
        <v>0</v>
      </c>
      <c r="C181" s="284">
        <f t="shared" si="7"/>
        <v>0</v>
      </c>
      <c r="D181" s="284">
        <f t="shared" si="8"/>
        <v>0</v>
      </c>
      <c r="E181" s="284">
        <f t="shared" si="9"/>
        <v>0</v>
      </c>
      <c r="F181" s="283"/>
      <c r="G181" s="335"/>
      <c r="H181" s="291"/>
      <c r="I181" s="278"/>
    </row>
    <row r="182" spans="1:9">
      <c r="A182" s="746">
        <v>127</v>
      </c>
      <c r="B182" s="284">
        <f t="shared" si="6"/>
        <v>0</v>
      </c>
      <c r="C182" s="284">
        <f t="shared" si="7"/>
        <v>0</v>
      </c>
      <c r="D182" s="284">
        <f t="shared" si="8"/>
        <v>0</v>
      </c>
      <c r="E182" s="284">
        <f t="shared" si="9"/>
        <v>0</v>
      </c>
      <c r="F182" s="283"/>
      <c r="G182" s="278"/>
      <c r="H182" s="272"/>
      <c r="I182" s="278"/>
    </row>
    <row r="183" spans="1:9">
      <c r="A183" s="746">
        <v>128</v>
      </c>
      <c r="B183" s="284">
        <f t="shared" si="6"/>
        <v>0</v>
      </c>
      <c r="C183" s="284">
        <f t="shared" si="7"/>
        <v>0</v>
      </c>
      <c r="D183" s="284">
        <f t="shared" si="8"/>
        <v>0</v>
      </c>
      <c r="E183" s="284">
        <f t="shared" si="9"/>
        <v>0</v>
      </c>
      <c r="F183" s="283"/>
      <c r="G183" s="278"/>
      <c r="H183" s="272"/>
      <c r="I183" s="278"/>
    </row>
    <row r="184" spans="1:9">
      <c r="A184" s="746">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6">
        <v>130</v>
      </c>
      <c r="B185" s="284">
        <f t="shared" si="10"/>
        <v>0</v>
      </c>
      <c r="C185" s="284">
        <f t="shared" si="11"/>
        <v>0</v>
      </c>
      <c r="D185" s="284">
        <f t="shared" si="12"/>
        <v>0</v>
      </c>
      <c r="E185" s="284">
        <f t="shared" si="13"/>
        <v>0</v>
      </c>
      <c r="F185" s="283"/>
      <c r="G185" s="278"/>
      <c r="H185" s="272"/>
      <c r="I185" s="278"/>
    </row>
    <row r="186" spans="1:9">
      <c r="A186" s="746">
        <v>131</v>
      </c>
      <c r="B186" s="284">
        <f t="shared" si="10"/>
        <v>0</v>
      </c>
      <c r="C186" s="284">
        <f t="shared" si="11"/>
        <v>0</v>
      </c>
      <c r="D186" s="284">
        <f t="shared" si="12"/>
        <v>0</v>
      </c>
      <c r="E186" s="284">
        <f t="shared" si="13"/>
        <v>0</v>
      </c>
      <c r="F186" s="283"/>
      <c r="G186" s="278"/>
      <c r="H186" s="272"/>
      <c r="I186" s="278"/>
    </row>
    <row r="187" spans="1:9">
      <c r="A187" s="746">
        <v>132</v>
      </c>
      <c r="B187" s="284">
        <f t="shared" si="10"/>
        <v>0</v>
      </c>
      <c r="C187" s="284">
        <f t="shared" si="11"/>
        <v>0</v>
      </c>
      <c r="D187" s="284">
        <f t="shared" si="12"/>
        <v>0</v>
      </c>
      <c r="E187" s="284">
        <f t="shared" si="13"/>
        <v>0</v>
      </c>
      <c r="F187" s="283">
        <v>11</v>
      </c>
      <c r="G187" s="335"/>
      <c r="H187" s="291"/>
      <c r="I187" s="335"/>
    </row>
    <row r="188" spans="1:9">
      <c r="A188" s="746">
        <v>133</v>
      </c>
      <c r="B188" s="284">
        <f t="shared" si="10"/>
        <v>0</v>
      </c>
      <c r="C188" s="284">
        <f t="shared" si="11"/>
        <v>0</v>
      </c>
      <c r="D188" s="284">
        <f t="shared" si="12"/>
        <v>0</v>
      </c>
      <c r="E188" s="284">
        <f t="shared" si="13"/>
        <v>0</v>
      </c>
      <c r="F188" s="283"/>
      <c r="G188" s="278"/>
      <c r="H188" s="272"/>
      <c r="I188" s="335"/>
    </row>
    <row r="189" spans="1:9">
      <c r="A189" s="746">
        <v>134</v>
      </c>
      <c r="B189" s="284">
        <f t="shared" si="10"/>
        <v>0</v>
      </c>
      <c r="C189" s="284">
        <f t="shared" si="11"/>
        <v>0</v>
      </c>
      <c r="D189" s="284">
        <f t="shared" si="12"/>
        <v>0</v>
      </c>
      <c r="E189" s="284">
        <f t="shared" si="13"/>
        <v>0</v>
      </c>
      <c r="F189" s="283"/>
      <c r="G189" s="278"/>
      <c r="H189" s="272"/>
      <c r="I189" s="278"/>
    </row>
    <row r="190" spans="1:9">
      <c r="A190" s="746">
        <v>135</v>
      </c>
      <c r="B190" s="284">
        <f t="shared" si="10"/>
        <v>0</v>
      </c>
      <c r="C190" s="284">
        <f t="shared" si="11"/>
        <v>0</v>
      </c>
      <c r="D190" s="284">
        <f t="shared" si="12"/>
        <v>0</v>
      </c>
      <c r="E190" s="284">
        <f t="shared" si="13"/>
        <v>0</v>
      </c>
      <c r="F190" s="283"/>
      <c r="G190" s="278"/>
      <c r="H190" s="272"/>
      <c r="I190" s="278"/>
    </row>
    <row r="191" spans="1:9">
      <c r="A191" s="746">
        <v>136</v>
      </c>
      <c r="B191" s="284">
        <f t="shared" si="10"/>
        <v>0</v>
      </c>
      <c r="C191" s="284">
        <f t="shared" si="11"/>
        <v>0</v>
      </c>
      <c r="D191" s="284">
        <f t="shared" si="12"/>
        <v>0</v>
      </c>
      <c r="E191" s="284">
        <f t="shared" si="13"/>
        <v>0</v>
      </c>
      <c r="F191" s="283"/>
      <c r="G191" s="278"/>
      <c r="H191" s="272"/>
      <c r="I191" s="278"/>
    </row>
    <row r="192" spans="1:9">
      <c r="A192" s="746">
        <v>137</v>
      </c>
      <c r="B192" s="284">
        <f t="shared" si="10"/>
        <v>0</v>
      </c>
      <c r="C192" s="284">
        <f t="shared" si="11"/>
        <v>0</v>
      </c>
      <c r="D192" s="284">
        <f t="shared" si="12"/>
        <v>0</v>
      </c>
      <c r="E192" s="284">
        <f t="shared" si="13"/>
        <v>0</v>
      </c>
      <c r="F192" s="283"/>
      <c r="G192" s="278"/>
      <c r="H192" s="272"/>
      <c r="I192" s="278"/>
    </row>
    <row r="193" spans="1:9">
      <c r="A193" s="746">
        <v>138</v>
      </c>
      <c r="B193" s="284">
        <f t="shared" si="10"/>
        <v>0</v>
      </c>
      <c r="C193" s="284">
        <f t="shared" si="11"/>
        <v>0</v>
      </c>
      <c r="D193" s="284">
        <f t="shared" si="12"/>
        <v>0</v>
      </c>
      <c r="E193" s="284">
        <f t="shared" si="13"/>
        <v>0</v>
      </c>
      <c r="F193" s="283"/>
      <c r="G193" s="335"/>
      <c r="H193" s="291"/>
      <c r="I193" s="278"/>
    </row>
    <row r="194" spans="1:9">
      <c r="A194" s="746">
        <v>139</v>
      </c>
      <c r="B194" s="284">
        <f t="shared" si="10"/>
        <v>0</v>
      </c>
      <c r="C194" s="284">
        <f t="shared" si="11"/>
        <v>0</v>
      </c>
      <c r="D194" s="284">
        <f t="shared" si="12"/>
        <v>0</v>
      </c>
      <c r="E194" s="284">
        <f t="shared" si="13"/>
        <v>0</v>
      </c>
      <c r="F194" s="283"/>
      <c r="G194" s="278"/>
      <c r="H194" s="272"/>
      <c r="I194" s="278"/>
    </row>
    <row r="195" spans="1:9">
      <c r="A195" s="746">
        <v>140</v>
      </c>
      <c r="B195" s="284">
        <f t="shared" si="10"/>
        <v>0</v>
      </c>
      <c r="C195" s="284">
        <f t="shared" si="11"/>
        <v>0</v>
      </c>
      <c r="D195" s="284">
        <f t="shared" si="12"/>
        <v>0</v>
      </c>
      <c r="E195" s="284">
        <f t="shared" si="13"/>
        <v>0</v>
      </c>
      <c r="F195" s="283"/>
      <c r="G195" s="278"/>
      <c r="H195" s="272"/>
      <c r="I195" s="278"/>
    </row>
    <row r="196" spans="1:9">
      <c r="A196" s="746">
        <v>141</v>
      </c>
      <c r="B196" s="284">
        <f t="shared" si="10"/>
        <v>0</v>
      </c>
      <c r="C196" s="284">
        <f t="shared" si="11"/>
        <v>0</v>
      </c>
      <c r="D196" s="284">
        <f t="shared" si="12"/>
        <v>0</v>
      </c>
      <c r="E196" s="284">
        <f t="shared" si="13"/>
        <v>0</v>
      </c>
      <c r="F196" s="283"/>
      <c r="G196" s="278"/>
      <c r="H196" s="272"/>
      <c r="I196" s="278"/>
    </row>
    <row r="197" spans="1:9">
      <c r="A197" s="746">
        <v>142</v>
      </c>
      <c r="B197" s="284">
        <f t="shared" si="10"/>
        <v>0</v>
      </c>
      <c r="C197" s="284">
        <f t="shared" si="11"/>
        <v>0</v>
      </c>
      <c r="D197" s="284">
        <f t="shared" si="12"/>
        <v>0</v>
      </c>
      <c r="E197" s="284">
        <f t="shared" si="13"/>
        <v>0</v>
      </c>
      <c r="F197" s="283"/>
      <c r="G197" s="278"/>
      <c r="H197" s="272"/>
      <c r="I197" s="278"/>
    </row>
    <row r="198" spans="1:9">
      <c r="A198" s="746">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6">
        <v>145</v>
      </c>
      <c r="B200" s="284">
        <f t="shared" si="10"/>
        <v>0</v>
      </c>
      <c r="C200" s="284">
        <f t="shared" si="11"/>
        <v>0</v>
      </c>
      <c r="D200" s="284">
        <f t="shared" si="12"/>
        <v>0</v>
      </c>
      <c r="E200" s="284">
        <f t="shared" si="13"/>
        <v>0</v>
      </c>
      <c r="F200" s="283"/>
      <c r="G200" s="278"/>
      <c r="H200" s="272"/>
      <c r="I200" s="335"/>
    </row>
    <row r="201" spans="1:9">
      <c r="A201" s="746">
        <v>146</v>
      </c>
      <c r="B201" s="284">
        <f t="shared" si="10"/>
        <v>0</v>
      </c>
      <c r="C201" s="284">
        <f t="shared" si="11"/>
        <v>0</v>
      </c>
      <c r="D201" s="284">
        <f t="shared" si="12"/>
        <v>0</v>
      </c>
      <c r="E201" s="284">
        <f t="shared" si="13"/>
        <v>0</v>
      </c>
      <c r="F201" s="283"/>
      <c r="G201" s="278"/>
      <c r="H201" s="272"/>
      <c r="I201" s="278"/>
    </row>
    <row r="202" spans="1:9">
      <c r="A202" s="746">
        <v>147</v>
      </c>
      <c r="B202" s="284">
        <f t="shared" si="10"/>
        <v>0</v>
      </c>
      <c r="C202" s="284">
        <f t="shared" si="11"/>
        <v>0</v>
      </c>
      <c r="D202" s="284">
        <f t="shared" si="12"/>
        <v>0</v>
      </c>
      <c r="E202" s="284">
        <f t="shared" si="13"/>
        <v>0</v>
      </c>
      <c r="F202" s="283"/>
      <c r="G202" s="278"/>
      <c r="H202" s="272"/>
      <c r="I202" s="278"/>
    </row>
    <row r="203" spans="1:9">
      <c r="A203" s="746">
        <v>148</v>
      </c>
      <c r="B203" s="284">
        <f t="shared" si="10"/>
        <v>0</v>
      </c>
      <c r="C203" s="284">
        <f t="shared" si="11"/>
        <v>0</v>
      </c>
      <c r="D203" s="284">
        <f t="shared" si="12"/>
        <v>0</v>
      </c>
      <c r="E203" s="284">
        <f t="shared" si="13"/>
        <v>0</v>
      </c>
      <c r="F203" s="283"/>
      <c r="G203" s="278"/>
      <c r="H203" s="272"/>
      <c r="I203" s="278"/>
    </row>
    <row r="204" spans="1:9">
      <c r="A204" s="746">
        <v>149</v>
      </c>
      <c r="B204" s="284">
        <f t="shared" si="10"/>
        <v>0</v>
      </c>
      <c r="C204" s="284">
        <f t="shared" si="11"/>
        <v>0</v>
      </c>
      <c r="D204" s="284">
        <f t="shared" si="12"/>
        <v>0</v>
      </c>
      <c r="E204" s="284">
        <f t="shared" si="13"/>
        <v>0</v>
      </c>
      <c r="F204" s="283"/>
      <c r="G204" s="278"/>
      <c r="H204" s="272"/>
      <c r="I204" s="278"/>
    </row>
    <row r="205" spans="1:9">
      <c r="A205" s="746">
        <v>150</v>
      </c>
      <c r="B205" s="284">
        <f t="shared" si="10"/>
        <v>0</v>
      </c>
      <c r="C205" s="284">
        <f t="shared" si="11"/>
        <v>0</v>
      </c>
      <c r="D205" s="284">
        <f t="shared" si="12"/>
        <v>0</v>
      </c>
      <c r="E205" s="284">
        <f t="shared" si="13"/>
        <v>0</v>
      </c>
      <c r="F205" s="283"/>
      <c r="G205" s="335"/>
      <c r="H205" s="291"/>
      <c r="I205" s="278"/>
    </row>
    <row r="206" spans="1:9">
      <c r="A206" s="746">
        <v>151</v>
      </c>
      <c r="B206" s="284">
        <f t="shared" si="10"/>
        <v>0</v>
      </c>
      <c r="C206" s="284">
        <f t="shared" si="11"/>
        <v>0</v>
      </c>
      <c r="D206" s="284">
        <f t="shared" si="12"/>
        <v>0</v>
      </c>
      <c r="E206" s="284">
        <f t="shared" si="13"/>
        <v>0</v>
      </c>
      <c r="F206" s="283"/>
      <c r="G206" s="278"/>
      <c r="H206" s="272"/>
      <c r="I206" s="278"/>
    </row>
    <row r="207" spans="1:9">
      <c r="A207" s="746">
        <v>152</v>
      </c>
      <c r="B207" s="284">
        <f t="shared" si="10"/>
        <v>0</v>
      </c>
      <c r="C207" s="284">
        <f t="shared" si="11"/>
        <v>0</v>
      </c>
      <c r="D207" s="284">
        <f t="shared" si="12"/>
        <v>0</v>
      </c>
      <c r="E207" s="284">
        <f t="shared" si="13"/>
        <v>0</v>
      </c>
      <c r="F207" s="283"/>
      <c r="G207" s="278"/>
      <c r="H207" s="272"/>
      <c r="I207" s="278"/>
    </row>
    <row r="208" spans="1:9">
      <c r="A208" s="746">
        <v>153</v>
      </c>
      <c r="B208" s="284">
        <f t="shared" si="10"/>
        <v>0</v>
      </c>
      <c r="C208" s="284">
        <f t="shared" si="11"/>
        <v>0</v>
      </c>
      <c r="D208" s="284">
        <f t="shared" si="12"/>
        <v>0</v>
      </c>
      <c r="E208" s="284">
        <f t="shared" si="13"/>
        <v>0</v>
      </c>
      <c r="F208" s="283"/>
      <c r="G208" s="278"/>
      <c r="H208" s="272"/>
      <c r="I208" s="278"/>
    </row>
    <row r="209" spans="1:9">
      <c r="A209" s="746">
        <v>154</v>
      </c>
      <c r="B209" s="284">
        <f t="shared" si="10"/>
        <v>0</v>
      </c>
      <c r="C209" s="284">
        <f t="shared" si="11"/>
        <v>0</v>
      </c>
      <c r="D209" s="284">
        <f t="shared" si="12"/>
        <v>0</v>
      </c>
      <c r="E209" s="284">
        <f t="shared" si="13"/>
        <v>0</v>
      </c>
      <c r="F209" s="283"/>
      <c r="G209" s="278"/>
      <c r="H209" s="272"/>
      <c r="I209" s="278"/>
    </row>
    <row r="210" spans="1:9">
      <c r="A210" s="746">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6">
        <v>157</v>
      </c>
      <c r="B212" s="284">
        <f t="shared" si="10"/>
        <v>0</v>
      </c>
      <c r="C212" s="284">
        <f t="shared" si="11"/>
        <v>0</v>
      </c>
      <c r="D212" s="284">
        <f t="shared" si="12"/>
        <v>0</v>
      </c>
      <c r="E212" s="284">
        <f t="shared" si="13"/>
        <v>0</v>
      </c>
      <c r="F212" s="283"/>
      <c r="G212" s="278"/>
      <c r="H212" s="272"/>
      <c r="I212" s="335"/>
    </row>
    <row r="213" spans="1:9">
      <c r="A213" s="746">
        <v>158</v>
      </c>
      <c r="B213" s="284">
        <f t="shared" si="10"/>
        <v>0</v>
      </c>
      <c r="C213" s="284">
        <f t="shared" si="11"/>
        <v>0</v>
      </c>
      <c r="D213" s="284">
        <f t="shared" si="12"/>
        <v>0</v>
      </c>
      <c r="E213" s="284">
        <f t="shared" si="13"/>
        <v>0</v>
      </c>
      <c r="F213" s="283"/>
      <c r="G213" s="278"/>
      <c r="H213" s="272"/>
      <c r="I213" s="278"/>
    </row>
    <row r="214" spans="1:9">
      <c r="A214" s="746">
        <v>159</v>
      </c>
      <c r="B214" s="284">
        <f t="shared" si="10"/>
        <v>0</v>
      </c>
      <c r="C214" s="284">
        <f t="shared" si="11"/>
        <v>0</v>
      </c>
      <c r="D214" s="284">
        <f t="shared" si="12"/>
        <v>0</v>
      </c>
      <c r="E214" s="284">
        <f t="shared" si="13"/>
        <v>0</v>
      </c>
      <c r="F214" s="283"/>
      <c r="G214" s="278"/>
      <c r="H214" s="272"/>
      <c r="I214" s="278"/>
    </row>
    <row r="215" spans="1:9">
      <c r="A215" s="746">
        <v>160</v>
      </c>
      <c r="B215" s="284">
        <f t="shared" si="10"/>
        <v>0</v>
      </c>
      <c r="C215" s="284">
        <f t="shared" si="11"/>
        <v>0</v>
      </c>
      <c r="D215" s="284">
        <f t="shared" si="12"/>
        <v>0</v>
      </c>
      <c r="E215" s="284">
        <f t="shared" si="13"/>
        <v>0</v>
      </c>
      <c r="F215" s="283"/>
      <c r="G215" s="278"/>
      <c r="H215" s="272"/>
      <c r="I215" s="278"/>
    </row>
    <row r="216" spans="1:9">
      <c r="A216" s="746">
        <v>161</v>
      </c>
      <c r="B216" s="284">
        <f t="shared" si="10"/>
        <v>0</v>
      </c>
      <c r="C216" s="284">
        <f t="shared" si="11"/>
        <v>0</v>
      </c>
      <c r="D216" s="284">
        <f t="shared" si="12"/>
        <v>0</v>
      </c>
      <c r="E216" s="284">
        <f t="shared" si="13"/>
        <v>0</v>
      </c>
      <c r="F216" s="283"/>
      <c r="G216" s="278"/>
      <c r="H216" s="272"/>
      <c r="I216" s="278"/>
    </row>
    <row r="217" spans="1:9">
      <c r="A217" s="746">
        <v>162</v>
      </c>
      <c r="B217" s="284">
        <f t="shared" si="10"/>
        <v>0</v>
      </c>
      <c r="C217" s="284">
        <f t="shared" si="11"/>
        <v>0</v>
      </c>
      <c r="D217" s="284">
        <f t="shared" si="12"/>
        <v>0</v>
      </c>
      <c r="E217" s="284">
        <f t="shared" si="13"/>
        <v>0</v>
      </c>
      <c r="F217" s="283"/>
      <c r="G217" s="335"/>
      <c r="H217" s="291"/>
      <c r="I217" s="278"/>
    </row>
    <row r="218" spans="1:9">
      <c r="A218" s="746">
        <v>163</v>
      </c>
      <c r="B218" s="284">
        <f t="shared" si="10"/>
        <v>0</v>
      </c>
      <c r="C218" s="284">
        <f t="shared" si="11"/>
        <v>0</v>
      </c>
      <c r="D218" s="284">
        <f t="shared" si="12"/>
        <v>0</v>
      </c>
      <c r="E218" s="284">
        <f t="shared" si="13"/>
        <v>0</v>
      </c>
      <c r="F218" s="283"/>
      <c r="G218" s="278"/>
      <c r="H218" s="272"/>
      <c r="I218" s="278"/>
    </row>
    <row r="219" spans="1:9">
      <c r="A219" s="746">
        <v>164</v>
      </c>
      <c r="B219" s="284">
        <f t="shared" si="10"/>
        <v>0</v>
      </c>
      <c r="C219" s="284">
        <f t="shared" si="11"/>
        <v>0</v>
      </c>
      <c r="D219" s="284">
        <f t="shared" si="12"/>
        <v>0</v>
      </c>
      <c r="E219" s="284">
        <f t="shared" si="13"/>
        <v>0</v>
      </c>
      <c r="F219" s="283"/>
      <c r="G219" s="278"/>
      <c r="H219" s="272"/>
      <c r="I219" s="278"/>
    </row>
    <row r="220" spans="1:9">
      <c r="A220" s="746">
        <v>165</v>
      </c>
      <c r="B220" s="284">
        <f t="shared" si="10"/>
        <v>0</v>
      </c>
      <c r="C220" s="284">
        <f t="shared" si="11"/>
        <v>0</v>
      </c>
      <c r="D220" s="284">
        <f t="shared" si="12"/>
        <v>0</v>
      </c>
      <c r="E220" s="284">
        <f t="shared" si="13"/>
        <v>0</v>
      </c>
      <c r="F220" s="283"/>
      <c r="G220" s="278"/>
      <c r="H220" s="272"/>
      <c r="I220" s="278"/>
    </row>
    <row r="221" spans="1:9">
      <c r="A221" s="746">
        <v>166</v>
      </c>
      <c r="B221" s="284">
        <f t="shared" si="10"/>
        <v>0</v>
      </c>
      <c r="C221" s="284">
        <f t="shared" si="11"/>
        <v>0</v>
      </c>
      <c r="D221" s="284">
        <f t="shared" si="12"/>
        <v>0</v>
      </c>
      <c r="E221" s="284">
        <f t="shared" si="13"/>
        <v>0</v>
      </c>
      <c r="F221" s="283"/>
      <c r="G221" s="278"/>
      <c r="H221" s="272"/>
      <c r="I221" s="278"/>
    </row>
    <row r="222" spans="1:9">
      <c r="A222" s="746">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6">
        <v>169</v>
      </c>
      <c r="B224" s="284">
        <f t="shared" si="10"/>
        <v>0</v>
      </c>
      <c r="C224" s="284">
        <f t="shared" si="11"/>
        <v>0</v>
      </c>
      <c r="D224" s="284">
        <f t="shared" si="12"/>
        <v>0</v>
      </c>
      <c r="E224" s="284">
        <f t="shared" si="13"/>
        <v>0</v>
      </c>
      <c r="F224" s="283"/>
      <c r="G224" s="278"/>
      <c r="H224" s="272"/>
      <c r="I224" s="335"/>
    </row>
    <row r="225" spans="1:9">
      <c r="A225" s="746">
        <v>170</v>
      </c>
      <c r="B225" s="284">
        <f t="shared" si="10"/>
        <v>0</v>
      </c>
      <c r="C225" s="284">
        <f t="shared" si="11"/>
        <v>0</v>
      </c>
      <c r="D225" s="284">
        <f t="shared" si="12"/>
        <v>0</v>
      </c>
      <c r="E225" s="284">
        <f t="shared" si="13"/>
        <v>0</v>
      </c>
      <c r="F225" s="283"/>
      <c r="G225" s="278"/>
      <c r="H225" s="272"/>
      <c r="I225" s="278"/>
    </row>
    <row r="226" spans="1:9">
      <c r="A226" s="746">
        <v>171</v>
      </c>
      <c r="B226" s="284">
        <f t="shared" si="10"/>
        <v>0</v>
      </c>
      <c r="C226" s="284">
        <f t="shared" si="11"/>
        <v>0</v>
      </c>
      <c r="D226" s="284">
        <f t="shared" si="12"/>
        <v>0</v>
      </c>
      <c r="E226" s="284">
        <f t="shared" si="13"/>
        <v>0</v>
      </c>
      <c r="F226" s="283"/>
      <c r="G226" s="278"/>
      <c r="H226" s="272"/>
      <c r="I226" s="278"/>
    </row>
    <row r="227" spans="1:9">
      <c r="A227" s="746">
        <v>172</v>
      </c>
      <c r="B227" s="284">
        <f t="shared" si="10"/>
        <v>0</v>
      </c>
      <c r="C227" s="284">
        <f t="shared" si="11"/>
        <v>0</v>
      </c>
      <c r="D227" s="284">
        <f t="shared" si="12"/>
        <v>0</v>
      </c>
      <c r="E227" s="284">
        <f t="shared" si="13"/>
        <v>0</v>
      </c>
      <c r="F227" s="283"/>
      <c r="G227" s="278"/>
      <c r="H227" s="272"/>
      <c r="I227" s="278"/>
    </row>
    <row r="228" spans="1:9">
      <c r="A228" s="746">
        <v>173</v>
      </c>
      <c r="B228" s="284">
        <f t="shared" si="10"/>
        <v>0</v>
      </c>
      <c r="C228" s="284">
        <f t="shared" si="11"/>
        <v>0</v>
      </c>
      <c r="D228" s="284">
        <f t="shared" si="12"/>
        <v>0</v>
      </c>
      <c r="E228" s="284">
        <f t="shared" si="13"/>
        <v>0</v>
      </c>
      <c r="F228" s="283"/>
      <c r="G228" s="278"/>
      <c r="H228" s="272"/>
      <c r="I228" s="278"/>
    </row>
    <row r="229" spans="1:9">
      <c r="A229" s="746">
        <v>174</v>
      </c>
      <c r="B229" s="284">
        <f t="shared" si="10"/>
        <v>0</v>
      </c>
      <c r="C229" s="284">
        <f t="shared" si="11"/>
        <v>0</v>
      </c>
      <c r="D229" s="284">
        <f t="shared" si="12"/>
        <v>0</v>
      </c>
      <c r="E229" s="284">
        <f t="shared" si="13"/>
        <v>0</v>
      </c>
      <c r="F229" s="283"/>
      <c r="G229" s="335"/>
      <c r="H229" s="291"/>
      <c r="I229" s="278"/>
    </row>
    <row r="230" spans="1:9">
      <c r="A230" s="746">
        <v>175</v>
      </c>
      <c r="B230" s="284">
        <f t="shared" si="10"/>
        <v>0</v>
      </c>
      <c r="C230" s="284">
        <f t="shared" si="11"/>
        <v>0</v>
      </c>
      <c r="D230" s="284">
        <f t="shared" si="12"/>
        <v>0</v>
      </c>
      <c r="E230" s="284">
        <f t="shared" si="13"/>
        <v>0</v>
      </c>
      <c r="F230" s="283"/>
      <c r="G230" s="278"/>
      <c r="H230" s="272"/>
      <c r="I230" s="278"/>
    </row>
    <row r="231" spans="1:9">
      <c r="A231" s="746">
        <v>176</v>
      </c>
      <c r="B231" s="284">
        <f t="shared" si="10"/>
        <v>0</v>
      </c>
      <c r="C231" s="284">
        <f t="shared" si="11"/>
        <v>0</v>
      </c>
      <c r="D231" s="284">
        <f t="shared" si="12"/>
        <v>0</v>
      </c>
      <c r="E231" s="284">
        <f t="shared" si="13"/>
        <v>0</v>
      </c>
      <c r="F231" s="283"/>
      <c r="G231" s="278"/>
      <c r="H231" s="272"/>
      <c r="I231" s="278"/>
    </row>
    <row r="232" spans="1:9">
      <c r="A232" s="746">
        <v>177</v>
      </c>
      <c r="B232" s="284">
        <f t="shared" si="10"/>
        <v>0</v>
      </c>
      <c r="C232" s="284">
        <f t="shared" si="11"/>
        <v>0</v>
      </c>
      <c r="D232" s="284">
        <f t="shared" si="12"/>
        <v>0</v>
      </c>
      <c r="E232" s="284">
        <f t="shared" si="13"/>
        <v>0</v>
      </c>
      <c r="F232" s="283"/>
      <c r="G232" s="278"/>
      <c r="H232" s="272"/>
      <c r="I232" s="278"/>
    </row>
    <row r="233" spans="1:9">
      <c r="A233" s="746">
        <v>178</v>
      </c>
      <c r="B233" s="284">
        <f t="shared" si="10"/>
        <v>0</v>
      </c>
      <c r="C233" s="284">
        <f t="shared" si="11"/>
        <v>0</v>
      </c>
      <c r="D233" s="284">
        <f t="shared" si="12"/>
        <v>0</v>
      </c>
      <c r="E233" s="284">
        <f t="shared" si="13"/>
        <v>0</v>
      </c>
      <c r="F233" s="283"/>
      <c r="G233" s="278"/>
      <c r="H233" s="272"/>
      <c r="I233" s="278"/>
    </row>
    <row r="234" spans="1:9">
      <c r="A234" s="746">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6">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18" zoomScale="90" zoomScaleNormal="90" zoomScaleSheetLayoutView="90" workbookViewId="0">
      <selection activeCell="E27" sqref="E27"/>
    </sheetView>
  </sheetViews>
  <sheetFormatPr defaultColWidth="9.140625" defaultRowHeight="12.75"/>
  <cols>
    <col min="1" max="1" width="2.28515625" style="482" customWidth="1"/>
    <col min="2" max="2" width="5.28515625" style="482" customWidth="1"/>
    <col min="3" max="3" width="18" style="482" customWidth="1"/>
    <col min="4" max="4" width="12.7109375" style="482" customWidth="1"/>
    <col min="5" max="5" width="7.28515625" style="482" customWidth="1"/>
    <col min="6" max="6" width="10.28515625" style="482" customWidth="1"/>
    <col min="7" max="8" width="6.28515625" style="482" customWidth="1"/>
    <col min="9" max="9" width="1.7109375" style="482" customWidth="1"/>
    <col min="10" max="11" width="6.28515625" style="482" customWidth="1"/>
    <col min="12" max="12" width="1.7109375" style="482" customWidth="1"/>
    <col min="13" max="14" width="6.28515625" style="482" customWidth="1"/>
    <col min="15" max="15" width="1.7109375" style="482" customWidth="1"/>
    <col min="16" max="17" width="6.28515625" style="482" customWidth="1"/>
    <col min="18" max="18" width="1.7109375" style="482" customWidth="1"/>
    <col min="19" max="20" width="7" style="482" customWidth="1"/>
    <col min="21" max="16384" width="9.140625" style="482"/>
  </cols>
  <sheetData>
    <row r="1" spans="1:21" s="458" customFormat="1" ht="15" customHeight="1">
      <c r="A1" s="914" t="str">
        <f>CONCATENATE("PART FOUR -  USES OF FUNDS","  -  ",'Part I-Project Information'!$O$4," ",'Part I-Project Information'!$F$22,", ",'Part I-Project Information'!F24,", ",'Part I-Project Information'!J25," County")</f>
        <v>PART FOUR -  USES OF FUNDS  -  2011-044 Brentwood Place Apartments, Forsyth, Monroe County</v>
      </c>
      <c r="B1" s="915"/>
      <c r="C1" s="915"/>
      <c r="D1" s="915"/>
      <c r="E1" s="915"/>
      <c r="F1" s="915"/>
      <c r="G1" s="915"/>
      <c r="H1" s="915"/>
      <c r="I1" s="915"/>
      <c r="J1" s="915"/>
      <c r="K1" s="915"/>
      <c r="L1" s="915"/>
      <c r="M1" s="915"/>
      <c r="N1" s="915"/>
      <c r="O1" s="915"/>
      <c r="P1" s="915"/>
      <c r="Q1" s="915"/>
      <c r="R1" s="915"/>
      <c r="S1" s="915"/>
      <c r="T1" s="915"/>
    </row>
    <row r="2" spans="1:21" ht="4.9000000000000004" customHeight="1"/>
    <row r="3" spans="1:21" s="458" customFormat="1" ht="15" customHeight="1">
      <c r="A3" s="909" t="s">
        <v>358</v>
      </c>
      <c r="B3" s="909"/>
      <c r="C3" s="909"/>
      <c r="D3" s="909"/>
      <c r="E3" s="909"/>
      <c r="F3" s="909"/>
      <c r="G3" s="909"/>
      <c r="H3" s="909"/>
      <c r="I3" s="909"/>
      <c r="J3" s="909"/>
      <c r="K3" s="909"/>
      <c r="L3" s="909"/>
      <c r="M3" s="909"/>
      <c r="N3" s="909"/>
      <c r="O3" s="909"/>
      <c r="P3" s="909"/>
      <c r="Q3" s="909"/>
      <c r="R3" s="909"/>
      <c r="S3" s="909"/>
      <c r="T3" s="909"/>
    </row>
    <row r="4" spans="1:21" s="458" customFormat="1" ht="1.9" customHeight="1" thickBot="1">
      <c r="A4" s="737"/>
      <c r="B4" s="737"/>
      <c r="C4" s="737"/>
      <c r="D4" s="737"/>
      <c r="E4" s="737"/>
      <c r="F4" s="737"/>
      <c r="G4" s="737"/>
      <c r="H4" s="737"/>
      <c r="I4" s="737"/>
      <c r="J4" s="737"/>
      <c r="K4" s="737"/>
      <c r="L4" s="737"/>
      <c r="M4" s="737"/>
      <c r="N4" s="737"/>
      <c r="O4" s="737"/>
      <c r="P4" s="737"/>
      <c r="Q4" s="737"/>
      <c r="R4" s="737"/>
      <c r="S4" s="737"/>
      <c r="T4" s="737"/>
    </row>
    <row r="5" spans="1:21" s="458" customFormat="1" ht="21.4" customHeight="1" thickBot="1">
      <c r="A5" s="491" t="s">
        <v>951</v>
      </c>
      <c r="B5" s="461" t="s">
        <v>1495</v>
      </c>
      <c r="H5" s="723"/>
      <c r="I5" s="723"/>
      <c r="J5" s="900" t="s">
        <v>359</v>
      </c>
      <c r="K5" s="901"/>
      <c r="L5" s="522"/>
      <c r="M5" s="910" t="s">
        <v>721</v>
      </c>
      <c r="N5" s="911"/>
      <c r="P5" s="900" t="s">
        <v>360</v>
      </c>
      <c r="Q5" s="901"/>
      <c r="S5" s="900" t="s">
        <v>361</v>
      </c>
      <c r="T5" s="901"/>
    </row>
    <row r="6" spans="1:21" s="458" customFormat="1" ht="21.4" customHeight="1" thickBot="1">
      <c r="G6" s="904" t="s">
        <v>115</v>
      </c>
      <c r="H6" s="905"/>
      <c r="J6" s="902"/>
      <c r="K6" s="903"/>
      <c r="L6" s="522"/>
      <c r="M6" s="912"/>
      <c r="N6" s="913"/>
      <c r="P6" s="902"/>
      <c r="Q6" s="903"/>
      <c r="S6" s="902"/>
      <c r="T6" s="903"/>
    </row>
    <row r="7" spans="1:21" s="458" customFormat="1" ht="13.15" customHeight="1">
      <c r="B7" s="461" t="s">
        <v>116</v>
      </c>
      <c r="O7" s="737" t="str">
        <f>B7</f>
        <v>PRE-DEVELOPMENT COSTS</v>
      </c>
    </row>
    <row r="8" spans="1:21" s="458" customFormat="1" ht="12.6" customHeight="1">
      <c r="B8" s="458" t="s">
        <v>3079</v>
      </c>
      <c r="G8" s="1392">
        <v>13000</v>
      </c>
      <c r="H8" s="1393"/>
      <c r="J8" s="1392">
        <v>13000</v>
      </c>
      <c r="K8" s="1393"/>
      <c r="L8" s="735"/>
      <c r="M8" s="1392"/>
      <c r="N8" s="1393"/>
      <c r="P8" s="1392"/>
      <c r="Q8" s="1393"/>
      <c r="S8" s="1392"/>
      <c r="T8" s="1393"/>
    </row>
    <row r="9" spans="1:21" s="458" customFormat="1" ht="12.6" customHeight="1">
      <c r="B9" s="458" t="s">
        <v>672</v>
      </c>
      <c r="G9" s="1392">
        <v>9095</v>
      </c>
      <c r="H9" s="1393"/>
      <c r="J9" s="1392">
        <v>9095</v>
      </c>
      <c r="K9" s="1393"/>
      <c r="L9" s="735"/>
      <c r="M9" s="1392"/>
      <c r="N9" s="1393"/>
      <c r="P9" s="1392"/>
      <c r="Q9" s="1393"/>
      <c r="S9" s="1392"/>
      <c r="T9" s="1393"/>
    </row>
    <row r="10" spans="1:21" s="458" customFormat="1" ht="12.6" customHeight="1">
      <c r="B10" s="458" t="s">
        <v>718</v>
      </c>
      <c r="G10" s="1392">
        <v>13500</v>
      </c>
      <c r="H10" s="1393"/>
      <c r="J10" s="1392">
        <v>13500</v>
      </c>
      <c r="K10" s="1393"/>
      <c r="L10" s="735"/>
      <c r="M10" s="1392"/>
      <c r="N10" s="1393"/>
      <c r="P10" s="1392"/>
      <c r="Q10" s="1393"/>
      <c r="S10" s="1392"/>
      <c r="T10" s="1393"/>
    </row>
    <row r="11" spans="1:21" s="458" customFormat="1" ht="12.6" customHeight="1">
      <c r="B11" s="458" t="s">
        <v>719</v>
      </c>
      <c r="G11" s="1392">
        <v>8500</v>
      </c>
      <c r="H11" s="1393"/>
      <c r="J11" s="1392">
        <v>8500</v>
      </c>
      <c r="K11" s="1393"/>
      <c r="L11" s="735"/>
      <c r="M11" s="1392"/>
      <c r="N11" s="1393"/>
      <c r="P11" s="1392"/>
      <c r="Q11" s="1393"/>
      <c r="S11" s="1392"/>
      <c r="T11" s="1393"/>
    </row>
    <row r="12" spans="1:21" s="458" customFormat="1" ht="12.6" customHeight="1">
      <c r="B12" s="458" t="s">
        <v>3779</v>
      </c>
      <c r="G12" s="1392">
        <v>5000</v>
      </c>
      <c r="H12" s="1393"/>
      <c r="J12" s="1392">
        <v>5000</v>
      </c>
      <c r="K12" s="1393"/>
      <c r="L12" s="735"/>
      <c r="M12" s="1392"/>
      <c r="N12" s="1393"/>
      <c r="P12" s="1392"/>
      <c r="Q12" s="1393"/>
      <c r="S12" s="1392"/>
      <c r="T12" s="1393"/>
    </row>
    <row r="13" spans="1:21" s="458" customFormat="1" ht="12.6" customHeight="1">
      <c r="B13" s="458" t="s">
        <v>248</v>
      </c>
      <c r="G13" s="1392">
        <v>0</v>
      </c>
      <c r="H13" s="1393"/>
      <c r="J13" s="1392">
        <v>0</v>
      </c>
      <c r="K13" s="1393"/>
      <c r="L13" s="735"/>
      <c r="M13" s="1392"/>
      <c r="N13" s="1393"/>
      <c r="P13" s="1392"/>
      <c r="Q13" s="1393"/>
      <c r="S13" s="1392"/>
      <c r="T13" s="1393"/>
    </row>
    <row r="14" spans="1:21" s="458" customFormat="1" ht="12.6" customHeight="1">
      <c r="A14" s="562" t="str">
        <f>IF(AND(G14&gt;0,OR(C14="",C14="&lt;Enter detailed description here; use Comments section if needed&gt;")),"X","")</f>
        <v/>
      </c>
      <c r="B14" s="458" t="s">
        <v>1231</v>
      </c>
      <c r="C14" s="1394" t="s">
        <v>3990</v>
      </c>
      <c r="D14" s="1394"/>
      <c r="E14" s="1394"/>
      <c r="F14" s="1395"/>
      <c r="G14" s="1392">
        <v>400</v>
      </c>
      <c r="H14" s="1393"/>
      <c r="J14" s="1392">
        <v>400</v>
      </c>
      <c r="K14" s="1393"/>
      <c r="L14" s="735"/>
      <c r="M14" s="1392"/>
      <c r="N14" s="1393"/>
      <c r="P14" s="1392"/>
      <c r="Q14" s="1393"/>
      <c r="S14" s="1392"/>
      <c r="T14" s="1393"/>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1231</v>
      </c>
      <c r="C15" s="1394" t="s">
        <v>3991</v>
      </c>
      <c r="D15" s="1394"/>
      <c r="E15" s="1394"/>
      <c r="F15" s="1395"/>
      <c r="G15" s="1392">
        <v>3500</v>
      </c>
      <c r="H15" s="1393"/>
      <c r="J15" s="1392">
        <v>3500</v>
      </c>
      <c r="K15" s="1393"/>
      <c r="L15" s="735"/>
      <c r="M15" s="1392"/>
      <c r="N15" s="1393"/>
      <c r="P15" s="1392"/>
      <c r="Q15" s="1393"/>
      <c r="S15" s="1392"/>
      <c r="T15" s="1393"/>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1231</v>
      </c>
      <c r="C16" s="1394"/>
      <c r="D16" s="1394"/>
      <c r="E16" s="1394"/>
      <c r="F16" s="1395"/>
      <c r="G16" s="1392"/>
      <c r="H16" s="1393"/>
      <c r="J16" s="1396"/>
      <c r="K16" s="1397"/>
      <c r="L16" s="735"/>
      <c r="M16" s="1392"/>
      <c r="N16" s="1393"/>
      <c r="P16" s="1392"/>
      <c r="Q16" s="1393"/>
      <c r="S16" s="1396"/>
      <c r="T16" s="1397"/>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8">
        <f>SUM(G8:H16)</f>
        <v>52995</v>
      </c>
      <c r="H17" s="899"/>
      <c r="J17" s="898">
        <f>SUM(J8:K16)</f>
        <v>52995</v>
      </c>
      <c r="K17" s="922"/>
      <c r="L17" s="735"/>
      <c r="M17" s="898">
        <f>SUM(M8:N16)</f>
        <v>0</v>
      </c>
      <c r="N17" s="899"/>
      <c r="P17" s="898">
        <f>SUM(P8:Q16)</f>
        <v>0</v>
      </c>
      <c r="Q17" s="899"/>
      <c r="S17" s="898">
        <f>SUM(S8:T16)</f>
        <v>0</v>
      </c>
      <c r="T17" s="899"/>
    </row>
    <row r="18" spans="2:20" s="458" customFormat="1" ht="13.15" customHeight="1">
      <c r="B18" s="461" t="s">
        <v>3306</v>
      </c>
      <c r="J18" s="522"/>
      <c r="K18" s="522"/>
      <c r="M18" s="522"/>
      <c r="N18" s="522"/>
      <c r="O18" s="524" t="str">
        <f>B18</f>
        <v>ACQUISITION</v>
      </c>
      <c r="P18" s="522"/>
      <c r="Q18" s="522"/>
      <c r="S18" s="522"/>
      <c r="T18" s="522"/>
    </row>
    <row r="19" spans="2:20" s="458" customFormat="1" ht="12.6" customHeight="1">
      <c r="B19" s="458" t="s">
        <v>3307</v>
      </c>
      <c r="G19" s="1392">
        <v>400000</v>
      </c>
      <c r="H19" s="1393"/>
      <c r="J19" s="525"/>
      <c r="K19" s="522"/>
      <c r="L19" s="525"/>
      <c r="M19" s="525"/>
      <c r="N19" s="522"/>
      <c r="P19" s="525"/>
      <c r="Q19" s="522"/>
      <c r="S19" s="1392"/>
      <c r="T19" s="1393"/>
    </row>
    <row r="20" spans="2:20" s="458" customFormat="1" ht="12.6" customHeight="1">
      <c r="B20" s="458" t="s">
        <v>1751</v>
      </c>
      <c r="G20" s="1392"/>
      <c r="H20" s="1393"/>
      <c r="J20" s="525"/>
      <c r="K20" s="522"/>
      <c r="L20" s="525"/>
      <c r="M20" s="525"/>
      <c r="N20" s="522"/>
      <c r="P20" s="525"/>
      <c r="Q20" s="522"/>
      <c r="S20" s="1392"/>
      <c r="T20" s="1393"/>
    </row>
    <row r="21" spans="2:20" s="458" customFormat="1" ht="12.6" customHeight="1">
      <c r="B21" s="458" t="s">
        <v>673</v>
      </c>
      <c r="G21" s="1392"/>
      <c r="H21" s="1393"/>
      <c r="J21" s="525"/>
      <c r="K21" s="522"/>
      <c r="L21" s="525"/>
      <c r="M21" s="1392"/>
      <c r="N21" s="1393"/>
      <c r="P21" s="525"/>
      <c r="Q21" s="522"/>
      <c r="S21" s="1392"/>
      <c r="T21" s="1393"/>
    </row>
    <row r="22" spans="2:20" s="458" customFormat="1" ht="12.6" customHeight="1" thickBot="1">
      <c r="B22" s="458" t="s">
        <v>638</v>
      </c>
      <c r="G22" s="1398"/>
      <c r="H22" s="1399"/>
      <c r="J22" s="525"/>
      <c r="K22" s="522"/>
      <c r="L22" s="525"/>
      <c r="M22" s="1398"/>
      <c r="N22" s="1399"/>
      <c r="P22" s="525"/>
      <c r="Q22" s="522"/>
      <c r="S22" s="1392"/>
      <c r="T22" s="1393"/>
    </row>
    <row r="23" spans="2:20" s="458" customFormat="1" ht="12.6" customHeight="1" thickTop="1">
      <c r="F23" s="523" t="s">
        <v>249</v>
      </c>
      <c r="G23" s="898">
        <f>SUM(G19:H22)</f>
        <v>400000</v>
      </c>
      <c r="H23" s="899"/>
      <c r="J23" s="525"/>
      <c r="K23" s="522"/>
      <c r="L23" s="525"/>
      <c r="M23" s="898">
        <f>SUM(M21:N22)</f>
        <v>0</v>
      </c>
      <c r="N23" s="899"/>
      <c r="P23" s="525"/>
      <c r="Q23" s="522"/>
      <c r="S23" s="898">
        <f>SUM(S19:T22)</f>
        <v>0</v>
      </c>
      <c r="T23" s="899"/>
    </row>
    <row r="24" spans="2:20" s="458" customFormat="1" ht="13.15" customHeight="1">
      <c r="B24" s="461" t="s">
        <v>1752</v>
      </c>
      <c r="J24" s="525"/>
      <c r="K24" s="522"/>
      <c r="M24" s="525"/>
      <c r="N24" s="522"/>
      <c r="O24" s="524" t="str">
        <f>B24</f>
        <v>LAND IMPROVEMENTS</v>
      </c>
      <c r="P24" s="525"/>
      <c r="Q24" s="522"/>
      <c r="S24" s="525"/>
      <c r="T24" s="522"/>
    </row>
    <row r="25" spans="2:20" s="458" customFormat="1" ht="12.6" customHeight="1">
      <c r="B25" s="458" t="s">
        <v>1753</v>
      </c>
      <c r="G25" s="1392">
        <v>1341516</v>
      </c>
      <c r="H25" s="1393"/>
      <c r="J25" s="1396">
        <v>1341516</v>
      </c>
      <c r="K25" s="1397"/>
      <c r="L25" s="735"/>
      <c r="M25" s="1396"/>
      <c r="N25" s="1397"/>
      <c r="P25" s="1396"/>
      <c r="Q25" s="1397"/>
      <c r="S25" s="1392">
        <f>+G25-J25</f>
        <v>0</v>
      </c>
      <c r="T25" s="1393"/>
    </row>
    <row r="26" spans="2:20" s="458" customFormat="1" ht="12.6" customHeight="1" thickBot="1">
      <c r="B26" s="458" t="s">
        <v>1754</v>
      </c>
      <c r="G26" s="1392"/>
      <c r="H26" s="1393"/>
      <c r="J26" s="1396"/>
      <c r="K26" s="1397"/>
      <c r="L26" s="526"/>
      <c r="M26" s="916"/>
      <c r="N26" s="916"/>
      <c r="P26" s="916"/>
      <c r="Q26" s="916"/>
      <c r="S26" s="1392"/>
      <c r="T26" s="1393"/>
    </row>
    <row r="27" spans="2:20" s="458" customFormat="1" ht="12.6" customHeight="1" thickTop="1">
      <c r="F27" s="523" t="s">
        <v>249</v>
      </c>
      <c r="G27" s="898">
        <f>SUM(G25:H26)</f>
        <v>1341516</v>
      </c>
      <c r="H27" s="899"/>
      <c r="J27" s="898">
        <f>SUM(J25:K26)</f>
        <v>1341516</v>
      </c>
      <c r="K27" s="899"/>
      <c r="L27" s="525"/>
      <c r="M27" s="898">
        <f>M25</f>
        <v>0</v>
      </c>
      <c r="N27" s="899"/>
      <c r="P27" s="898">
        <f>P25</f>
        <v>0</v>
      </c>
      <c r="Q27" s="899"/>
      <c r="S27" s="898">
        <f>SUM(S25:T26)</f>
        <v>0</v>
      </c>
      <c r="T27" s="899"/>
    </row>
    <row r="28" spans="2:20" s="458" customFormat="1" ht="13.15" customHeight="1">
      <c r="B28" s="461" t="s">
        <v>1755</v>
      </c>
      <c r="J28" s="525"/>
      <c r="K28" s="522"/>
      <c r="M28" s="525"/>
      <c r="N28" s="522"/>
      <c r="O28" s="524" t="str">
        <f>B28</f>
        <v>STRUCTURES</v>
      </c>
      <c r="P28" s="525"/>
      <c r="Q28" s="522"/>
      <c r="S28" s="525"/>
      <c r="T28" s="522"/>
    </row>
    <row r="29" spans="2:20" s="458" customFormat="1" ht="12.6" customHeight="1">
      <c r="B29" s="458" t="s">
        <v>1756</v>
      </c>
      <c r="G29" s="1392">
        <v>4573750</v>
      </c>
      <c r="H29" s="1393"/>
      <c r="J29" s="1392">
        <v>4573750</v>
      </c>
      <c r="K29" s="1393"/>
      <c r="L29" s="735"/>
      <c r="M29" s="1392"/>
      <c r="N29" s="1393"/>
      <c r="P29" s="1392"/>
      <c r="Q29" s="1393"/>
      <c r="S29" s="1392"/>
      <c r="T29" s="1393"/>
    </row>
    <row r="30" spans="2:20" s="458" customFormat="1" ht="12.6" customHeight="1">
      <c r="B30" s="458" t="s">
        <v>1757</v>
      </c>
      <c r="G30" s="1392"/>
      <c r="H30" s="1393"/>
      <c r="J30" s="1392"/>
      <c r="K30" s="1393"/>
      <c r="L30" s="735"/>
      <c r="M30" s="1392"/>
      <c r="N30" s="1393"/>
      <c r="P30" s="1392"/>
      <c r="Q30" s="1393"/>
      <c r="S30" s="1392"/>
      <c r="T30" s="1393"/>
    </row>
    <row r="31" spans="2:20" ht="12.6" customHeight="1" thickBot="1">
      <c r="B31" s="458" t="s">
        <v>1758</v>
      </c>
      <c r="G31" s="1392">
        <v>189730</v>
      </c>
      <c r="H31" s="1393"/>
      <c r="I31" s="458"/>
      <c r="J31" s="1392">
        <v>189730</v>
      </c>
      <c r="K31" s="1393"/>
      <c r="L31" s="735"/>
      <c r="M31" s="1392"/>
      <c r="N31" s="1393"/>
      <c r="O31" s="458"/>
      <c r="P31" s="1392"/>
      <c r="Q31" s="1393"/>
      <c r="R31" s="458"/>
      <c r="S31" s="1392"/>
      <c r="T31" s="1393"/>
    </row>
    <row r="32" spans="2:20" s="458" customFormat="1" ht="12.6" customHeight="1" thickTop="1">
      <c r="C32" s="917"/>
      <c r="D32" s="917"/>
      <c r="E32" s="736"/>
      <c r="F32" s="523" t="s">
        <v>249</v>
      </c>
      <c r="G32" s="898">
        <f>SUM(G29:H31)</f>
        <v>4763480</v>
      </c>
      <c r="H32" s="899"/>
      <c r="J32" s="898">
        <f>SUM(J29:K31)</f>
        <v>4763480</v>
      </c>
      <c r="K32" s="899"/>
      <c r="L32" s="735"/>
      <c r="M32" s="898">
        <f>SUM(M29:N31)</f>
        <v>0</v>
      </c>
      <c r="N32" s="899"/>
      <c r="P32" s="898">
        <f>SUM(P29:Q31)</f>
        <v>0</v>
      </c>
      <c r="Q32" s="899"/>
      <c r="S32" s="898">
        <f>SUM(S29:T31)</f>
        <v>0</v>
      </c>
      <c r="T32" s="899"/>
    </row>
    <row r="33" spans="1:20" s="458" customFormat="1" ht="13.15" customHeight="1">
      <c r="B33" s="461" t="s">
        <v>3493</v>
      </c>
      <c r="E33" s="645">
        <f>E34+E35</f>
        <v>0.14000000000000001</v>
      </c>
      <c r="F33" s="729"/>
      <c r="G33" s="550"/>
      <c r="H33" s="482"/>
      <c r="I33" s="482"/>
      <c r="J33" s="525"/>
      <c r="K33" s="522"/>
      <c r="M33" s="525"/>
      <c r="N33" s="522"/>
      <c r="O33" s="524" t="str">
        <f>B33</f>
        <v>CONTRACTOR SERVICES</v>
      </c>
      <c r="P33" s="525"/>
      <c r="Q33" s="522"/>
      <c r="S33" s="525"/>
      <c r="T33" s="522"/>
    </row>
    <row r="34" spans="1:20" s="458" customFormat="1" ht="12.6" customHeight="1">
      <c r="B34" s="458" t="s">
        <v>3494</v>
      </c>
      <c r="E34" s="527">
        <f>'DCA Underwriting Assumptions'!$R$38</f>
        <v>0.06</v>
      </c>
      <c r="F34" s="620">
        <f>E34*($G$27+$G$32)</f>
        <v>366299.76</v>
      </c>
      <c r="G34" s="1392">
        <v>366299</v>
      </c>
      <c r="H34" s="1393"/>
      <c r="I34" s="482"/>
      <c r="J34" s="1392">
        <v>366299</v>
      </c>
      <c r="K34" s="1393"/>
      <c r="L34" s="735"/>
      <c r="M34" s="1392"/>
      <c r="N34" s="1393"/>
      <c r="P34" s="1392"/>
      <c r="Q34" s="1393"/>
      <c r="S34" s="1392"/>
      <c r="T34" s="1393"/>
    </row>
    <row r="35" spans="1:20" s="458" customFormat="1" ht="12.6" customHeight="1" thickBot="1">
      <c r="B35" s="458" t="s">
        <v>3130</v>
      </c>
      <c r="E35" s="619">
        <f>'DCA Underwriting Assumptions'!$R$39+'DCA Underwriting Assumptions'!$R$40</f>
        <v>0.08</v>
      </c>
      <c r="F35" s="620">
        <f>E35*($G$27+$G$32)</f>
        <v>488399.68</v>
      </c>
      <c r="G35" s="1392">
        <v>488400</v>
      </c>
      <c r="H35" s="1393"/>
      <c r="I35" s="482"/>
      <c r="J35" s="1392">
        <v>488400</v>
      </c>
      <c r="K35" s="1393"/>
      <c r="L35" s="735"/>
      <c r="M35" s="1392"/>
      <c r="N35" s="1393"/>
      <c r="P35" s="1392"/>
      <c r="Q35" s="1393"/>
      <c r="S35" s="1392"/>
      <c r="T35" s="1393"/>
    </row>
    <row r="36" spans="1:20" s="458" customFormat="1" ht="12.6" customHeight="1" thickTop="1">
      <c r="B36" s="458" t="s">
        <v>3131</v>
      </c>
      <c r="D36" s="530"/>
      <c r="E36" s="723"/>
      <c r="F36" s="621" t="s">
        <v>249</v>
      </c>
      <c r="G36" s="898">
        <f>SUM(G34:H35)</f>
        <v>854699</v>
      </c>
      <c r="H36" s="899"/>
      <c r="J36" s="898">
        <f>SUM(J34:K35)</f>
        <v>854699</v>
      </c>
      <c r="K36" s="899"/>
      <c r="L36" s="525"/>
      <c r="M36" s="898">
        <f>SUM(M34:N35)</f>
        <v>0</v>
      </c>
      <c r="N36" s="899"/>
      <c r="P36" s="898">
        <f>SUM(P34:Q35)</f>
        <v>0</v>
      </c>
      <c r="Q36" s="899"/>
      <c r="S36" s="898">
        <f>SUM(S34:T35)</f>
        <v>0</v>
      </c>
      <c r="T36" s="899"/>
    </row>
    <row r="37" spans="1:20" s="458" customFormat="1" ht="6" customHeight="1">
      <c r="A37" s="737"/>
      <c r="B37" s="737"/>
      <c r="C37" s="737"/>
      <c r="D37" s="622"/>
      <c r="E37" s="622"/>
      <c r="F37" s="622"/>
      <c r="G37" s="737"/>
      <c r="H37" s="737"/>
      <c r="I37" s="737"/>
      <c r="J37" s="737"/>
      <c r="K37" s="737"/>
      <c r="L37" s="737"/>
      <c r="M37" s="737"/>
      <c r="N37" s="737"/>
      <c r="O37" s="737"/>
      <c r="P37" s="737"/>
      <c r="Q37" s="737"/>
      <c r="R37" s="737"/>
      <c r="S37" s="737"/>
      <c r="T37" s="737"/>
    </row>
    <row r="38" spans="1:20" s="458" customFormat="1" ht="12.6" customHeight="1">
      <c r="B38" s="531" t="s">
        <v>1761</v>
      </c>
      <c r="C38" s="532"/>
      <c r="D38" s="533">
        <f>B39/'Part VI-Revenues &amp; Expenses'!$M$63</f>
        <v>88097.405063291139</v>
      </c>
      <c r="E38" s="533"/>
      <c r="F38" s="534" t="s">
        <v>2111</v>
      </c>
    </row>
    <row r="39" spans="1:20" s="458" customFormat="1" ht="12.6" customHeight="1">
      <c r="B39" s="918">
        <f>G27+G32+G36</f>
        <v>6959695</v>
      </c>
      <c r="C39" s="919"/>
      <c r="D39" s="535">
        <f>B39/'Part VI-Revenues &amp; Expenses'!$M$98</f>
        <v>91.274688524590161</v>
      </c>
      <c r="E39" s="535"/>
      <c r="F39" s="536" t="s">
        <v>1338</v>
      </c>
      <c r="J39" s="522"/>
      <c r="K39" s="522"/>
      <c r="L39" s="537"/>
      <c r="M39" s="522"/>
      <c r="N39" s="735"/>
      <c r="P39" s="522"/>
      <c r="Q39" s="735"/>
      <c r="S39" s="522"/>
      <c r="T39" s="735"/>
    </row>
    <row r="40" spans="1:20" s="458" customFormat="1" ht="6" customHeight="1">
      <c r="A40" s="737"/>
      <c r="B40" s="737"/>
      <c r="C40" s="737"/>
      <c r="D40" s="737"/>
      <c r="E40" s="737"/>
      <c r="F40" s="737"/>
      <c r="G40" s="737"/>
      <c r="H40" s="737"/>
      <c r="I40" s="737"/>
      <c r="J40" s="737"/>
      <c r="K40" s="737"/>
      <c r="L40" s="737"/>
      <c r="M40" s="737"/>
      <c r="N40" s="737"/>
      <c r="O40" s="737"/>
      <c r="P40" s="737"/>
      <c r="Q40" s="737"/>
      <c r="R40" s="737"/>
      <c r="S40" s="737"/>
      <c r="T40" s="737"/>
    </row>
    <row r="41" spans="1:20" s="458" customFormat="1" ht="13.15" customHeight="1">
      <c r="B41" s="461" t="s">
        <v>1759</v>
      </c>
      <c r="J41" s="525"/>
      <c r="K41" s="522"/>
      <c r="M41" s="525"/>
      <c r="N41" s="522"/>
      <c r="O41" s="524" t="str">
        <f>B41</f>
        <v>CONSTRUCTION CONTINGENCY</v>
      </c>
      <c r="P41" s="525"/>
      <c r="Q41" s="522"/>
      <c r="S41" s="525"/>
      <c r="T41" s="522"/>
    </row>
    <row r="42" spans="1:20" ht="12.6" customHeight="1">
      <c r="B42" s="458" t="s">
        <v>3038</v>
      </c>
      <c r="F42" s="646">
        <f>G42/$B$39</f>
        <v>5.0000035921114357E-2</v>
      </c>
      <c r="G42" s="1392">
        <v>347985</v>
      </c>
      <c r="H42" s="1393"/>
      <c r="I42" s="458"/>
      <c r="J42" s="1392">
        <v>347985</v>
      </c>
      <c r="K42" s="1393"/>
      <c r="L42" s="735"/>
      <c r="M42" s="1392"/>
      <c r="N42" s="1393"/>
      <c r="O42" s="458"/>
      <c r="P42" s="1392"/>
      <c r="Q42" s="1393"/>
      <c r="R42" s="458"/>
      <c r="S42" s="1392"/>
      <c r="T42" s="1393"/>
    </row>
    <row r="43" spans="1:20" s="458" customFormat="1" ht="6" customHeight="1">
      <c r="A43" s="737"/>
      <c r="B43" s="737"/>
      <c r="C43" s="737"/>
      <c r="D43" s="737"/>
      <c r="E43" s="737"/>
      <c r="F43" s="737"/>
      <c r="G43" s="737"/>
      <c r="H43" s="737"/>
      <c r="I43" s="737"/>
      <c r="J43" s="737"/>
      <c r="K43" s="737"/>
      <c r="L43" s="737"/>
      <c r="M43" s="737"/>
      <c r="N43" s="737"/>
      <c r="O43" s="737"/>
      <c r="P43" s="737"/>
      <c r="Q43" s="737"/>
      <c r="R43" s="737"/>
      <c r="S43" s="737"/>
      <c r="T43" s="737"/>
    </row>
    <row r="44" spans="1:20" s="458" customFormat="1" ht="3.4" customHeight="1" thickBot="1">
      <c r="A44" s="737"/>
      <c r="B44" s="737"/>
      <c r="C44" s="737"/>
      <c r="D44" s="737"/>
      <c r="E44" s="737"/>
      <c r="F44" s="737"/>
      <c r="G44" s="737"/>
      <c r="H44" s="737"/>
      <c r="I44" s="737"/>
      <c r="J44" s="737"/>
      <c r="K44" s="737"/>
      <c r="L44" s="737"/>
      <c r="M44" s="737"/>
      <c r="N44" s="737"/>
      <c r="O44" s="737"/>
      <c r="P44" s="737"/>
      <c r="Q44" s="737"/>
      <c r="R44" s="737"/>
      <c r="S44" s="737"/>
      <c r="T44" s="737"/>
    </row>
    <row r="45" spans="1:20" s="458" customFormat="1" ht="21.4" customHeight="1" thickBot="1">
      <c r="A45" s="491" t="s">
        <v>951</v>
      </c>
      <c r="B45" s="461" t="s">
        <v>1495</v>
      </c>
      <c r="H45" s="723"/>
      <c r="I45" s="723"/>
      <c r="J45" s="900" t="s">
        <v>359</v>
      </c>
      <c r="K45" s="901"/>
      <c r="L45" s="522"/>
      <c r="M45" s="910" t="s">
        <v>721</v>
      </c>
      <c r="N45" s="911"/>
      <c r="P45" s="900" t="s">
        <v>360</v>
      </c>
      <c r="Q45" s="901"/>
      <c r="S45" s="900" t="s">
        <v>361</v>
      </c>
      <c r="T45" s="901"/>
    </row>
    <row r="46" spans="1:20" s="458" customFormat="1" ht="21.4" customHeight="1" thickBot="1">
      <c r="G46" s="904" t="s">
        <v>115</v>
      </c>
      <c r="H46" s="905"/>
      <c r="J46" s="902"/>
      <c r="K46" s="903"/>
      <c r="L46" s="522"/>
      <c r="M46" s="912"/>
      <c r="N46" s="913"/>
      <c r="P46" s="902"/>
      <c r="Q46" s="903"/>
      <c r="S46" s="902"/>
      <c r="T46" s="903"/>
    </row>
    <row r="47" spans="1:20" s="458" customFormat="1" ht="13.15" customHeight="1">
      <c r="B47" s="461" t="s">
        <v>1092</v>
      </c>
      <c r="J47" s="525"/>
      <c r="K47" s="522"/>
      <c r="M47" s="525"/>
      <c r="N47" s="522"/>
      <c r="O47" s="524" t="str">
        <f>B47</f>
        <v>CONSTRUCTION PERIOD FINANCING</v>
      </c>
      <c r="P47" s="525"/>
      <c r="Q47" s="522"/>
      <c r="S47" s="525"/>
      <c r="T47" s="522"/>
    </row>
    <row r="48" spans="1:20" s="458" customFormat="1" ht="13.15" customHeight="1">
      <c r="B48" s="458" t="s">
        <v>3496</v>
      </c>
      <c r="G48" s="1392">
        <v>12500</v>
      </c>
      <c r="H48" s="1393"/>
      <c r="J48" s="1392">
        <v>12500</v>
      </c>
      <c r="K48" s="1393"/>
      <c r="L48" s="735"/>
      <c r="M48" s="1392"/>
      <c r="N48" s="1393"/>
      <c r="P48" s="1392"/>
      <c r="Q48" s="1393"/>
      <c r="S48" s="1392"/>
      <c r="T48" s="1393"/>
    </row>
    <row r="49" spans="1:21" s="458" customFormat="1" ht="13.15" customHeight="1">
      <c r="B49" s="458" t="s">
        <v>3497</v>
      </c>
      <c r="G49" s="1392">
        <v>72660</v>
      </c>
      <c r="H49" s="1393"/>
      <c r="J49" s="1392">
        <v>54495</v>
      </c>
      <c r="K49" s="1393"/>
      <c r="L49" s="735"/>
      <c r="M49" s="1392"/>
      <c r="N49" s="1393"/>
      <c r="P49" s="1392"/>
      <c r="Q49" s="1393"/>
      <c r="S49" s="1392"/>
      <c r="T49" s="1393"/>
    </row>
    <row r="50" spans="1:21" s="458" customFormat="1" ht="13.15" customHeight="1">
      <c r="B50" s="458" t="s">
        <v>3498</v>
      </c>
      <c r="G50" s="1392">
        <v>30000</v>
      </c>
      <c r="H50" s="1393"/>
      <c r="J50" s="1392">
        <v>30000</v>
      </c>
      <c r="K50" s="1393"/>
      <c r="L50" s="735"/>
      <c r="M50" s="1392"/>
      <c r="N50" s="1393"/>
      <c r="P50" s="1392"/>
      <c r="Q50" s="1393"/>
      <c r="S50" s="1392"/>
      <c r="T50" s="1393"/>
    </row>
    <row r="51" spans="1:21" s="458" customFormat="1" ht="13.15" customHeight="1">
      <c r="B51" s="458" t="s">
        <v>1093</v>
      </c>
      <c r="G51" s="1392">
        <v>10000</v>
      </c>
      <c r="H51" s="1393"/>
      <c r="J51" s="1392">
        <v>7000</v>
      </c>
      <c r="K51" s="1393"/>
      <c r="L51" s="735"/>
      <c r="M51" s="1392"/>
      <c r="N51" s="1393"/>
      <c r="P51" s="1392"/>
      <c r="Q51" s="1393"/>
      <c r="S51" s="1392"/>
      <c r="T51" s="1393"/>
    </row>
    <row r="52" spans="1:21" s="458" customFormat="1" ht="13.15" customHeight="1">
      <c r="B52" s="458" t="s">
        <v>3499</v>
      </c>
      <c r="G52" s="1392">
        <v>37857</v>
      </c>
      <c r="H52" s="1393"/>
      <c r="J52" s="1392">
        <v>37857</v>
      </c>
      <c r="K52" s="1393"/>
      <c r="L52" s="735"/>
      <c r="M52" s="1392"/>
      <c r="N52" s="1393"/>
      <c r="P52" s="1392"/>
      <c r="Q52" s="1393"/>
      <c r="S52" s="1392"/>
      <c r="T52" s="1393"/>
    </row>
    <row r="53" spans="1:21" s="458" customFormat="1" ht="13.15" customHeight="1">
      <c r="B53" s="458" t="s">
        <v>372</v>
      </c>
      <c r="G53" s="1392"/>
      <c r="H53" s="1393"/>
      <c r="J53" s="1392"/>
      <c r="K53" s="1393"/>
      <c r="L53" s="735"/>
      <c r="M53" s="1392"/>
      <c r="N53" s="1393"/>
      <c r="P53" s="1392"/>
      <c r="Q53" s="1393"/>
      <c r="S53" s="1392"/>
      <c r="T53" s="1393"/>
    </row>
    <row r="54" spans="1:21" s="458" customFormat="1" ht="12.6" customHeight="1">
      <c r="B54" s="529" t="s">
        <v>1796</v>
      </c>
      <c r="D54" s="527"/>
      <c r="E54" s="527"/>
      <c r="F54" s="528"/>
      <c r="G54" s="1392">
        <v>47322</v>
      </c>
      <c r="H54" s="1393"/>
      <c r="I54" s="482"/>
      <c r="J54" s="1392">
        <v>47322</v>
      </c>
      <c r="K54" s="1393"/>
      <c r="L54" s="735"/>
      <c r="M54" s="1392"/>
      <c r="N54" s="1393"/>
      <c r="P54" s="1392"/>
      <c r="Q54" s="1393"/>
      <c r="S54" s="1392"/>
      <c r="T54" s="1393"/>
    </row>
    <row r="55" spans="1:21" s="458" customFormat="1" ht="13.15" customHeight="1" thickBot="1">
      <c r="A55" s="562" t="str">
        <f>IF(AND(G55&gt;0,OR(C55="",C55="&lt;Enter detailed description here; use Comments section if needed&gt;")),"X","")</f>
        <v/>
      </c>
      <c r="B55" s="458" t="s">
        <v>1231</v>
      </c>
      <c r="C55" s="1394" t="s">
        <v>3992</v>
      </c>
      <c r="D55" s="1394"/>
      <c r="E55" s="1394"/>
      <c r="F55" s="1395"/>
      <c r="G55" s="1398">
        <v>13200</v>
      </c>
      <c r="H55" s="1399"/>
      <c r="J55" s="1398">
        <v>13200</v>
      </c>
      <c r="K55" s="1399"/>
      <c r="L55" s="735"/>
      <c r="M55" s="1398"/>
      <c r="N55" s="1399"/>
      <c r="P55" s="1398"/>
      <c r="Q55" s="1399"/>
      <c r="S55" s="1392"/>
      <c r="T55" s="1393"/>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8">
        <f>SUM(G48:H55)</f>
        <v>223539</v>
      </c>
      <c r="H56" s="899"/>
      <c r="J56" s="898">
        <f>SUM(J48:K55)</f>
        <v>202374</v>
      </c>
      <c r="K56" s="899"/>
      <c r="L56" s="525"/>
      <c r="M56" s="898">
        <f>SUM(M48:N55)</f>
        <v>0</v>
      </c>
      <c r="N56" s="899"/>
      <c r="P56" s="898">
        <f>SUM(P48:Q55)</f>
        <v>0</v>
      </c>
      <c r="Q56" s="899"/>
      <c r="S56" s="898">
        <f>SUM(S48:T55)</f>
        <v>0</v>
      </c>
      <c r="T56" s="899"/>
    </row>
    <row r="57" spans="1:21" s="458" customFormat="1" ht="13.15" customHeight="1">
      <c r="B57" s="461" t="s">
        <v>705</v>
      </c>
      <c r="G57" s="522"/>
      <c r="H57" s="522"/>
      <c r="J57" s="522"/>
      <c r="K57" s="522"/>
      <c r="M57" s="522"/>
      <c r="N57" s="522"/>
      <c r="O57" s="524" t="str">
        <f>B57</f>
        <v>PROFESSIONAL SERVICES</v>
      </c>
      <c r="P57" s="522"/>
      <c r="Q57" s="522"/>
      <c r="S57" s="522"/>
      <c r="T57" s="522"/>
    </row>
    <row r="58" spans="1:21" s="458" customFormat="1" ht="13.15" customHeight="1">
      <c r="B58" s="458" t="s">
        <v>706</v>
      </c>
      <c r="G58" s="1392">
        <v>161500</v>
      </c>
      <c r="H58" s="1393"/>
      <c r="J58" s="1392">
        <v>161500</v>
      </c>
      <c r="K58" s="1393"/>
      <c r="L58" s="735"/>
      <c r="M58" s="1392"/>
      <c r="N58" s="1393"/>
      <c r="P58" s="1392"/>
      <c r="Q58" s="1393"/>
      <c r="S58" s="1392"/>
      <c r="T58" s="1393"/>
    </row>
    <row r="59" spans="1:21" s="458" customFormat="1" ht="13.15" customHeight="1">
      <c r="B59" s="458" t="s">
        <v>707</v>
      </c>
      <c r="G59" s="1392">
        <v>12000</v>
      </c>
      <c r="H59" s="1393"/>
      <c r="J59" s="1392">
        <v>12000</v>
      </c>
      <c r="K59" s="1393"/>
      <c r="L59" s="735"/>
      <c r="M59" s="1392"/>
      <c r="N59" s="1393"/>
      <c r="P59" s="1392"/>
      <c r="Q59" s="1393"/>
      <c r="S59" s="1392"/>
      <c r="T59" s="1393"/>
    </row>
    <row r="60" spans="1:21" s="458" customFormat="1" ht="13.15" customHeight="1">
      <c r="B60" s="458" t="s">
        <v>1762</v>
      </c>
      <c r="G60" s="1392">
        <v>20000</v>
      </c>
      <c r="H60" s="1393"/>
      <c r="J60" s="1392">
        <v>20000</v>
      </c>
      <c r="K60" s="1393"/>
      <c r="L60" s="735"/>
      <c r="M60" s="1392"/>
      <c r="N60" s="1393"/>
      <c r="P60" s="1392"/>
      <c r="Q60" s="1393"/>
      <c r="S60" s="1392"/>
      <c r="T60" s="1393"/>
    </row>
    <row r="61" spans="1:21" s="458" customFormat="1" ht="13.15" customHeight="1">
      <c r="B61" s="458" t="s">
        <v>1763</v>
      </c>
      <c r="G61" s="1392">
        <v>10925</v>
      </c>
      <c r="H61" s="1393"/>
      <c r="J61" s="1392">
        <v>10925</v>
      </c>
      <c r="K61" s="1393"/>
      <c r="L61" s="735"/>
      <c r="M61" s="1392"/>
      <c r="N61" s="1393"/>
      <c r="P61" s="1392"/>
      <c r="Q61" s="1393"/>
      <c r="S61" s="1392"/>
      <c r="T61" s="1393"/>
    </row>
    <row r="62" spans="1:21" s="458" customFormat="1" ht="13.15" customHeight="1">
      <c r="B62" s="458" t="s">
        <v>1764</v>
      </c>
      <c r="G62" s="1392">
        <v>3900</v>
      </c>
      <c r="H62" s="1393"/>
      <c r="J62" s="1392">
        <v>3900</v>
      </c>
      <c r="K62" s="1393"/>
      <c r="L62" s="735"/>
      <c r="M62" s="1392"/>
      <c r="N62" s="1393"/>
      <c r="P62" s="1392"/>
      <c r="Q62" s="1393"/>
      <c r="S62" s="1392"/>
      <c r="T62" s="1393"/>
    </row>
    <row r="63" spans="1:21" s="458" customFormat="1" ht="13.15" customHeight="1">
      <c r="B63" s="458" t="s">
        <v>1765</v>
      </c>
      <c r="G63" s="1392">
        <v>60600</v>
      </c>
      <c r="H63" s="1393"/>
      <c r="J63" s="1392">
        <v>60600</v>
      </c>
      <c r="K63" s="1393"/>
      <c r="L63" s="735"/>
      <c r="M63" s="1392"/>
      <c r="N63" s="1393"/>
      <c r="P63" s="1392"/>
      <c r="Q63" s="1393"/>
      <c r="S63" s="1392"/>
      <c r="T63" s="1393"/>
    </row>
    <row r="64" spans="1:21" s="458" customFormat="1" ht="13.15" customHeight="1">
      <c r="B64" s="458" t="s">
        <v>708</v>
      </c>
      <c r="G64" s="1392">
        <v>53500</v>
      </c>
      <c r="H64" s="1393"/>
      <c r="J64" s="1392">
        <v>53500</v>
      </c>
      <c r="K64" s="1393"/>
      <c r="L64" s="735"/>
      <c r="M64" s="1392"/>
      <c r="N64" s="1393"/>
      <c r="P64" s="1392"/>
      <c r="Q64" s="1393"/>
      <c r="S64" s="1392"/>
      <c r="T64" s="1393"/>
    </row>
    <row r="65" spans="1:21" s="458" customFormat="1" ht="13.15" customHeight="1">
      <c r="B65" s="458" t="s">
        <v>709</v>
      </c>
      <c r="G65" s="1392">
        <v>120000</v>
      </c>
      <c r="H65" s="1393"/>
      <c r="J65" s="1392">
        <v>120000</v>
      </c>
      <c r="K65" s="1393"/>
      <c r="L65" s="735"/>
      <c r="M65" s="1392"/>
      <c r="N65" s="1393"/>
      <c r="P65" s="1392"/>
      <c r="Q65" s="1393"/>
      <c r="S65" s="1392"/>
      <c r="T65" s="1393"/>
    </row>
    <row r="66" spans="1:21" s="458" customFormat="1" ht="13.15" customHeight="1">
      <c r="B66" s="458" t="s">
        <v>3141</v>
      </c>
      <c r="G66" s="1392">
        <v>27500</v>
      </c>
      <c r="H66" s="1393"/>
      <c r="J66" s="1392">
        <v>27500</v>
      </c>
      <c r="K66" s="1393"/>
      <c r="L66" s="735"/>
      <c r="M66" s="1392"/>
      <c r="N66" s="1393"/>
      <c r="P66" s="1392"/>
      <c r="Q66" s="1393"/>
      <c r="S66" s="1392"/>
      <c r="T66" s="1393"/>
    </row>
    <row r="67" spans="1:21" s="458" customFormat="1" ht="13.15" customHeight="1" thickBot="1">
      <c r="A67" s="562" t="str">
        <f>IF(AND(G67&gt;0,OR(C67="",C67="&lt;Enter detailed description here; use Comments section if needed&gt;")),"X","")</f>
        <v/>
      </c>
      <c r="B67" s="458" t="s">
        <v>1231</v>
      </c>
      <c r="C67" s="1394"/>
      <c r="D67" s="1394"/>
      <c r="E67" s="1394"/>
      <c r="F67" s="1395"/>
      <c r="G67" s="1392"/>
      <c r="H67" s="1393"/>
      <c r="J67" s="1392"/>
      <c r="K67" s="1393"/>
      <c r="L67" s="735"/>
      <c r="M67" s="1392"/>
      <c r="N67" s="1393"/>
      <c r="P67" s="1392"/>
      <c r="Q67" s="1393"/>
      <c r="S67" s="1392"/>
      <c r="T67" s="1393"/>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8">
        <f>SUM(G58:H67)</f>
        <v>469925</v>
      </c>
      <c r="H68" s="899"/>
      <c r="J68" s="898">
        <f>SUM(J58:K67)</f>
        <v>469925</v>
      </c>
      <c r="K68" s="899"/>
      <c r="L68" s="525"/>
      <c r="M68" s="898">
        <f>SUM(M58:N67)</f>
        <v>0</v>
      </c>
      <c r="N68" s="899"/>
      <c r="P68" s="898">
        <f>SUM(P58:Q67)</f>
        <v>0</v>
      </c>
      <c r="Q68" s="899"/>
      <c r="S68" s="898">
        <f>SUM(S58:T67)</f>
        <v>0</v>
      </c>
      <c r="T68" s="899"/>
    </row>
    <row r="69" spans="1:21" ht="13.15" customHeight="1">
      <c r="A69" s="458"/>
      <c r="B69" s="461" t="s">
        <v>1954</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1955</v>
      </c>
      <c r="G70" s="1392">
        <v>17600</v>
      </c>
      <c r="H70" s="1393"/>
      <c r="J70" s="1392">
        <v>17600</v>
      </c>
      <c r="K70" s="1393"/>
      <c r="L70" s="735"/>
      <c r="M70" s="1392"/>
      <c r="N70" s="1393"/>
      <c r="P70" s="1392"/>
      <c r="Q70" s="1393"/>
      <c r="S70" s="1392"/>
      <c r="T70" s="1393"/>
    </row>
    <row r="71" spans="1:21" s="458" customFormat="1" ht="13.15" customHeight="1">
      <c r="B71" s="458" t="s">
        <v>1956</v>
      </c>
      <c r="G71" s="1392"/>
      <c r="H71" s="1393"/>
      <c r="J71" s="1392"/>
      <c r="K71" s="1393"/>
      <c r="L71" s="735"/>
      <c r="M71" s="1392"/>
      <c r="N71" s="1393"/>
      <c r="P71" s="1392"/>
      <c r="Q71" s="1393"/>
      <c r="S71" s="1392"/>
      <c r="T71" s="1393"/>
    </row>
    <row r="72" spans="1:21" s="458" customFormat="1" ht="13.15" customHeight="1">
      <c r="B72" s="458" t="s">
        <v>1957</v>
      </c>
      <c r="D72" s="539" t="s">
        <v>2112</v>
      </c>
      <c r="E72" s="1400" t="s">
        <v>3923</v>
      </c>
      <c r="G72" s="1392">
        <v>15500</v>
      </c>
      <c r="H72" s="1393"/>
      <c r="I72" s="482"/>
      <c r="J72" s="1392">
        <v>15500</v>
      </c>
      <c r="K72" s="1393"/>
      <c r="L72" s="735"/>
      <c r="M72" s="1392"/>
      <c r="N72" s="1393"/>
      <c r="P72" s="1392"/>
      <c r="Q72" s="1393"/>
      <c r="S72" s="1392"/>
      <c r="T72" s="1393"/>
    </row>
    <row r="73" spans="1:21" s="458" customFormat="1" ht="13.15" customHeight="1" thickBot="1">
      <c r="B73" s="458" t="s">
        <v>1958</v>
      </c>
      <c r="D73" s="539" t="s">
        <v>2112</v>
      </c>
      <c r="E73" s="1400" t="s">
        <v>3923</v>
      </c>
      <c r="G73" s="1392">
        <v>8250</v>
      </c>
      <c r="H73" s="1393"/>
      <c r="I73" s="482"/>
      <c r="J73" s="1392">
        <v>8250</v>
      </c>
      <c r="K73" s="1393"/>
      <c r="L73" s="735"/>
      <c r="M73" s="1392"/>
      <c r="N73" s="1393"/>
      <c r="P73" s="1392"/>
      <c r="Q73" s="1393"/>
      <c r="S73" s="1392"/>
      <c r="T73" s="1393"/>
    </row>
    <row r="74" spans="1:21" s="458" customFormat="1" ht="13.15" customHeight="1" thickTop="1">
      <c r="F74" s="523" t="s">
        <v>249</v>
      </c>
      <c r="G74" s="898">
        <f>SUM(G70:H73)</f>
        <v>41350</v>
      </c>
      <c r="H74" s="899"/>
      <c r="J74" s="898">
        <f>SUM(J70:K73)</f>
        <v>41350</v>
      </c>
      <c r="K74" s="899"/>
      <c r="L74" s="525"/>
      <c r="M74" s="898">
        <f>SUM(M70:N73)</f>
        <v>0</v>
      </c>
      <c r="N74" s="899"/>
      <c r="P74" s="898">
        <f>SUM(P70:Q73)</f>
        <v>0</v>
      </c>
      <c r="Q74" s="899"/>
      <c r="S74" s="898">
        <f>SUM(S70:T73)</f>
        <v>0</v>
      </c>
      <c r="T74" s="899"/>
    </row>
    <row r="75" spans="1:21" s="458" customFormat="1" ht="13.15" customHeight="1">
      <c r="B75" s="461" t="s">
        <v>1094</v>
      </c>
      <c r="J75" s="525"/>
      <c r="K75" s="525"/>
      <c r="M75" s="525"/>
      <c r="N75" s="525"/>
      <c r="O75" s="524" t="str">
        <f>B75</f>
        <v>PERMANENT FINANCING FEES</v>
      </c>
      <c r="P75" s="525"/>
      <c r="Q75" s="525"/>
      <c r="S75" s="525"/>
      <c r="T75" s="525"/>
    </row>
    <row r="76" spans="1:21" s="458" customFormat="1" ht="13.15" customHeight="1">
      <c r="B76" s="458" t="s">
        <v>1959</v>
      </c>
      <c r="G76" s="1392"/>
      <c r="H76" s="1393"/>
      <c r="J76" s="897"/>
      <c r="K76" s="897"/>
      <c r="L76" s="735"/>
      <c r="M76" s="897"/>
      <c r="N76" s="897"/>
      <c r="P76" s="897"/>
      <c r="Q76" s="897"/>
      <c r="S76" s="1392"/>
      <c r="T76" s="1393"/>
    </row>
    <row r="77" spans="1:21" s="458" customFormat="1" ht="13.15" customHeight="1">
      <c r="B77" s="458" t="s">
        <v>1960</v>
      </c>
      <c r="G77" s="1392"/>
      <c r="H77" s="1393"/>
      <c r="J77" s="906"/>
      <c r="K77" s="906"/>
      <c r="L77" s="735"/>
      <c r="M77" s="906"/>
      <c r="N77" s="906"/>
      <c r="P77" s="906"/>
      <c r="Q77" s="906"/>
      <c r="S77" s="1392"/>
      <c r="T77" s="1393"/>
    </row>
    <row r="78" spans="1:21" s="458" customFormat="1" ht="13.15" customHeight="1">
      <c r="B78" s="458" t="s">
        <v>1961</v>
      </c>
      <c r="G78" s="1392">
        <v>20804</v>
      </c>
      <c r="H78" s="1393"/>
      <c r="J78" s="1392">
        <v>20804</v>
      </c>
      <c r="K78" s="1393"/>
      <c r="L78" s="735"/>
      <c r="M78" s="1392"/>
      <c r="N78" s="1393"/>
      <c r="P78" s="1392"/>
      <c r="Q78" s="1393"/>
      <c r="S78" s="1392"/>
      <c r="T78" s="1393"/>
    </row>
    <row r="79" spans="1:21" s="458" customFormat="1" ht="13.15" customHeight="1">
      <c r="B79" s="458" t="s">
        <v>1962</v>
      </c>
      <c r="G79" s="1392">
        <v>8000</v>
      </c>
      <c r="H79" s="1393"/>
      <c r="J79" s="1392">
        <v>8000</v>
      </c>
      <c r="K79" s="1393"/>
      <c r="L79" s="735"/>
      <c r="M79" s="1392"/>
      <c r="N79" s="1393"/>
      <c r="P79" s="1392"/>
      <c r="Q79" s="1393"/>
      <c r="S79" s="1392"/>
      <c r="T79" s="1393"/>
    </row>
    <row r="80" spans="1:21" s="458" customFormat="1" ht="13.15" customHeight="1">
      <c r="B80" s="458" t="s">
        <v>1963</v>
      </c>
      <c r="G80" s="1392"/>
      <c r="H80" s="1393"/>
      <c r="J80" s="1392"/>
      <c r="K80" s="1393"/>
      <c r="L80" s="735"/>
      <c r="M80" s="1392"/>
      <c r="N80" s="1393"/>
      <c r="P80" s="1392"/>
      <c r="Q80" s="1393"/>
      <c r="S80" s="1392"/>
      <c r="T80" s="1393"/>
    </row>
    <row r="81" spans="1:21" s="458" customFormat="1" ht="13.15" customHeight="1">
      <c r="B81" s="458" t="s">
        <v>3439</v>
      </c>
      <c r="G81" s="1392"/>
      <c r="H81" s="1393"/>
      <c r="J81" s="1392"/>
      <c r="K81" s="1393"/>
      <c r="L81" s="735"/>
      <c r="M81" s="1392"/>
      <c r="N81" s="1393"/>
      <c r="P81" s="1392"/>
      <c r="Q81" s="1393"/>
      <c r="S81" s="1392"/>
      <c r="T81" s="1393"/>
    </row>
    <row r="82" spans="1:21" s="458" customFormat="1" ht="13.15" customHeight="1" thickBot="1">
      <c r="A82" s="562" t="str">
        <f>IF(AND(G82&gt;0,OR(C82="",C82="&lt;Enter detailed description here; use Comments section if needed&gt;")),"X","")</f>
        <v/>
      </c>
      <c r="B82" s="458" t="s">
        <v>1231</v>
      </c>
      <c r="C82" s="1394"/>
      <c r="D82" s="1394"/>
      <c r="E82" s="1394"/>
      <c r="F82" s="1395"/>
      <c r="G82" s="1392"/>
      <c r="H82" s="1393"/>
      <c r="J82" s="1392"/>
      <c r="K82" s="1393"/>
      <c r="L82" s="735"/>
      <c r="M82" s="1392"/>
      <c r="N82" s="1393"/>
      <c r="P82" s="1392"/>
      <c r="Q82" s="1393"/>
      <c r="S82" s="1392"/>
      <c r="T82" s="1393"/>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8">
        <f>SUM(G76:H82)</f>
        <v>28804</v>
      </c>
      <c r="H83" s="899"/>
      <c r="J83" s="898">
        <f>SUM(J78:K82)</f>
        <v>28804</v>
      </c>
      <c r="K83" s="899"/>
      <c r="L83" s="525"/>
      <c r="M83" s="898">
        <f>SUM(M78:N82)</f>
        <v>0</v>
      </c>
      <c r="N83" s="899"/>
      <c r="P83" s="898">
        <f>SUM(P78:Q82)</f>
        <v>0</v>
      </c>
      <c r="Q83" s="899"/>
      <c r="S83" s="898">
        <f>SUM(S76:T82)</f>
        <v>0</v>
      </c>
      <c r="T83" s="899"/>
    </row>
    <row r="84" spans="1:21" s="458" customFormat="1" ht="3.6" customHeight="1">
      <c r="A84" s="737"/>
      <c r="B84" s="737"/>
      <c r="C84" s="737"/>
      <c r="D84" s="737"/>
      <c r="E84" s="737"/>
      <c r="F84" s="737"/>
      <c r="G84" s="737"/>
      <c r="H84" s="737"/>
      <c r="I84" s="737"/>
      <c r="J84" s="737"/>
      <c r="K84" s="737"/>
      <c r="L84" s="737"/>
      <c r="M84" s="737"/>
      <c r="N84" s="737"/>
      <c r="O84" s="737"/>
      <c r="P84" s="737"/>
      <c r="Q84" s="737"/>
      <c r="R84" s="737"/>
      <c r="S84" s="737"/>
      <c r="T84" s="737"/>
    </row>
    <row r="85" spans="1:21" s="458" customFormat="1" ht="6" customHeight="1" thickBot="1">
      <c r="A85" s="737"/>
      <c r="B85" s="737"/>
      <c r="C85" s="737"/>
      <c r="D85" s="737"/>
      <c r="E85" s="737"/>
      <c r="F85" s="737"/>
      <c r="G85" s="737"/>
      <c r="H85" s="737"/>
      <c r="I85" s="737"/>
      <c r="J85" s="737"/>
      <c r="K85" s="737"/>
      <c r="L85" s="737"/>
      <c r="M85" s="737"/>
      <c r="N85" s="737"/>
      <c r="O85" s="737"/>
      <c r="P85" s="737"/>
      <c r="Q85" s="737"/>
      <c r="R85" s="737"/>
      <c r="S85" s="737"/>
      <c r="T85" s="737"/>
    </row>
    <row r="86" spans="1:21" s="458" customFormat="1" ht="18" customHeight="1" thickBot="1">
      <c r="A86" s="491" t="s">
        <v>951</v>
      </c>
      <c r="B86" s="461" t="s">
        <v>1495</v>
      </c>
      <c r="H86" s="723"/>
      <c r="I86" s="723"/>
      <c r="J86" s="900" t="s">
        <v>359</v>
      </c>
      <c r="K86" s="901"/>
      <c r="L86" s="522"/>
      <c r="M86" s="910" t="s">
        <v>721</v>
      </c>
      <c r="N86" s="911"/>
      <c r="P86" s="900" t="s">
        <v>360</v>
      </c>
      <c r="Q86" s="901"/>
      <c r="S86" s="900" t="s">
        <v>361</v>
      </c>
      <c r="T86" s="901"/>
    </row>
    <row r="87" spans="1:21" s="458" customFormat="1" ht="18" customHeight="1" thickBot="1">
      <c r="G87" s="904" t="s">
        <v>115</v>
      </c>
      <c r="H87" s="905"/>
      <c r="J87" s="902"/>
      <c r="K87" s="903"/>
      <c r="L87" s="522"/>
      <c r="M87" s="912"/>
      <c r="N87" s="913"/>
      <c r="P87" s="902"/>
      <c r="Q87" s="903"/>
      <c r="S87" s="902"/>
      <c r="T87" s="903"/>
    </row>
    <row r="88" spans="1:21" s="458" customFormat="1" ht="13.15" customHeight="1">
      <c r="B88" s="461" t="s">
        <v>1095</v>
      </c>
      <c r="J88" s="525"/>
      <c r="K88" s="525"/>
      <c r="M88" s="525"/>
      <c r="N88" s="525"/>
      <c r="O88" s="524" t="str">
        <f>B88</f>
        <v>DCA-RELATED COSTS</v>
      </c>
      <c r="P88" s="525"/>
      <c r="Q88" s="525"/>
      <c r="S88" s="525"/>
      <c r="T88" s="525"/>
    </row>
    <row r="89" spans="1:21" s="458" customFormat="1" ht="12.6" customHeight="1">
      <c r="B89" s="458" t="s">
        <v>2289</v>
      </c>
      <c r="G89" s="1392">
        <v>500</v>
      </c>
      <c r="H89" s="1393"/>
      <c r="J89" s="525"/>
      <c r="K89" s="525"/>
      <c r="L89" s="735"/>
      <c r="M89" s="525"/>
      <c r="N89" s="525"/>
      <c r="P89" s="525"/>
      <c r="Q89" s="525"/>
      <c r="S89" s="1392"/>
      <c r="T89" s="1393"/>
    </row>
    <row r="90" spans="1:21" s="458" customFormat="1" ht="12.6" customHeight="1">
      <c r="B90" s="458" t="s">
        <v>1859</v>
      </c>
      <c r="G90" s="1392">
        <v>3000</v>
      </c>
      <c r="H90" s="1393"/>
      <c r="J90" s="525"/>
      <c r="K90" s="525"/>
      <c r="L90" s="540"/>
      <c r="M90" s="525"/>
      <c r="N90" s="525"/>
      <c r="P90" s="525"/>
      <c r="Q90" s="525"/>
      <c r="S90" s="1392"/>
      <c r="T90" s="1393"/>
    </row>
    <row r="91" spans="1:21" s="458" customFormat="1" ht="12.6" customHeight="1">
      <c r="B91" s="458" t="s">
        <v>2748</v>
      </c>
      <c r="G91" s="1392"/>
      <c r="H91" s="1393"/>
      <c r="J91" s="525"/>
      <c r="K91" s="525"/>
      <c r="L91" s="540"/>
      <c r="M91" s="525"/>
      <c r="N91" s="525"/>
      <c r="O91" s="723"/>
      <c r="P91" s="525"/>
      <c r="Q91" s="525"/>
      <c r="S91" s="1392"/>
      <c r="T91" s="1393"/>
    </row>
    <row r="92" spans="1:21" s="458" customFormat="1" ht="12.6" customHeight="1">
      <c r="B92" s="458" t="s">
        <v>812</v>
      </c>
      <c r="E92" s="920">
        <f>'DCA Underwriting Assumptions'!$Q$41*$J$165</f>
        <v>59696.000000000007</v>
      </c>
      <c r="F92" s="921"/>
      <c r="G92" s="1392">
        <v>59696</v>
      </c>
      <c r="H92" s="1393"/>
      <c r="J92" s="525"/>
      <c r="K92" s="525"/>
      <c r="L92" s="735"/>
      <c r="M92" s="525"/>
      <c r="N92" s="525"/>
      <c r="O92" s="723"/>
      <c r="P92" s="525"/>
      <c r="Q92" s="525"/>
      <c r="S92" s="1392"/>
      <c r="T92" s="1393"/>
    </row>
    <row r="93" spans="1:21" s="458" customFormat="1" ht="12.6" customHeight="1">
      <c r="B93" s="458" t="s">
        <v>1245</v>
      </c>
      <c r="E93" s="920">
        <f>'Part VI-Revenues &amp; Expenses'!$M$63*'DCA Underwriting Assumptions'!$Q$44</f>
        <v>55300</v>
      </c>
      <c r="F93" s="921"/>
      <c r="G93" s="1392">
        <v>55300</v>
      </c>
      <c r="H93" s="1393"/>
      <c r="J93" s="418"/>
      <c r="K93" s="418"/>
      <c r="L93" s="418"/>
      <c r="M93" s="418"/>
      <c r="N93" s="418"/>
      <c r="O93" s="418"/>
      <c r="P93" s="418"/>
      <c r="Q93" s="418"/>
      <c r="S93" s="1392"/>
      <c r="T93" s="1393"/>
    </row>
    <row r="94" spans="1:21" s="458" customFormat="1" ht="12.6" customHeight="1">
      <c r="B94" s="458" t="s">
        <v>716</v>
      </c>
      <c r="G94" s="1392"/>
      <c r="H94" s="1393"/>
      <c r="J94" s="418"/>
      <c r="K94" s="418"/>
      <c r="L94" s="418"/>
      <c r="M94" s="418"/>
      <c r="N94" s="418"/>
      <c r="O94" s="418"/>
      <c r="P94" s="418"/>
      <c r="Q94" s="418"/>
      <c r="S94" s="1392"/>
      <c r="T94" s="1393"/>
    </row>
    <row r="95" spans="1:21" s="458" customFormat="1" ht="12.6" customHeight="1">
      <c r="B95" s="458" t="s">
        <v>3553</v>
      </c>
      <c r="G95" s="1392"/>
      <c r="H95" s="1393"/>
      <c r="J95" s="418"/>
      <c r="K95" s="418"/>
      <c r="L95" s="418"/>
      <c r="M95" s="418"/>
      <c r="N95" s="418"/>
      <c r="O95" s="418"/>
      <c r="P95" s="418"/>
      <c r="Q95" s="418"/>
      <c r="S95" s="1392"/>
      <c r="T95" s="1393"/>
    </row>
    <row r="96" spans="1:21" s="458" customFormat="1" ht="12.6" customHeight="1">
      <c r="A96" s="562" t="str">
        <f>IF(AND(G96&gt;0,OR(C96="",C96="&lt;Enter detailed description here; use Comments section if needed&gt;")),"X","")</f>
        <v/>
      </c>
      <c r="B96" s="458" t="s">
        <v>1231</v>
      </c>
      <c r="C96" s="1394"/>
      <c r="D96" s="1394"/>
      <c r="E96" s="1394"/>
      <c r="F96" s="1395"/>
      <c r="G96" s="1392"/>
      <c r="H96" s="1393"/>
      <c r="J96" s="418"/>
      <c r="K96" s="418"/>
      <c r="L96" s="418"/>
      <c r="M96" s="418"/>
      <c r="N96" s="418"/>
      <c r="O96" s="418"/>
      <c r="P96" s="418"/>
      <c r="Q96" s="418"/>
      <c r="S96" s="1392"/>
      <c r="T96" s="1393"/>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1231</v>
      </c>
      <c r="C97" s="1394"/>
      <c r="D97" s="1394"/>
      <c r="E97" s="1394"/>
      <c r="F97" s="1395"/>
      <c r="G97" s="1392"/>
      <c r="H97" s="1393"/>
      <c r="J97" s="418"/>
      <c r="K97" s="418"/>
      <c r="L97" s="418"/>
      <c r="M97" s="418"/>
      <c r="N97" s="418"/>
      <c r="O97" s="418"/>
      <c r="P97" s="418"/>
      <c r="Q97" s="418"/>
      <c r="S97" s="1392"/>
      <c r="T97" s="1393"/>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8">
        <f>SUM(G89:H97)</f>
        <v>118496</v>
      </c>
      <c r="H98" s="899"/>
      <c r="J98" s="525"/>
      <c r="K98" s="525"/>
      <c r="L98" s="735"/>
      <c r="M98" s="525"/>
      <c r="N98" s="525"/>
      <c r="P98" s="525"/>
      <c r="Q98" s="525"/>
      <c r="S98" s="898">
        <f>SUM(S89:T97)</f>
        <v>0</v>
      </c>
      <c r="T98" s="899"/>
    </row>
    <row r="99" spans="1:21" s="458" customFormat="1" ht="13.15" customHeight="1">
      <c r="B99" s="461" t="s">
        <v>3440</v>
      </c>
      <c r="J99" s="525"/>
      <c r="K99" s="525"/>
      <c r="M99" s="525"/>
      <c r="N99" s="525"/>
      <c r="O99" s="524" t="str">
        <f>B99</f>
        <v>EQUITY COSTS</v>
      </c>
      <c r="P99" s="525"/>
      <c r="Q99" s="525"/>
      <c r="S99" s="525"/>
      <c r="T99" s="525"/>
    </row>
    <row r="100" spans="1:21" s="458" customFormat="1" ht="12.6" customHeight="1">
      <c r="B100" s="458" t="s">
        <v>371</v>
      </c>
      <c r="G100" s="1392">
        <v>9500</v>
      </c>
      <c r="H100" s="1393"/>
      <c r="J100" s="897"/>
      <c r="K100" s="897"/>
      <c r="L100" s="735"/>
      <c r="M100" s="897"/>
      <c r="N100" s="897"/>
      <c r="O100" s="723"/>
      <c r="P100" s="897"/>
      <c r="Q100" s="897"/>
      <c r="S100" s="1392"/>
      <c r="T100" s="1393"/>
    </row>
    <row r="101" spans="1:21" s="458" customFormat="1" ht="12.6" customHeight="1">
      <c r="B101" s="458" t="s">
        <v>373</v>
      </c>
      <c r="G101" s="1392">
        <v>15000</v>
      </c>
      <c r="H101" s="1393"/>
      <c r="J101" s="897"/>
      <c r="K101" s="897"/>
      <c r="L101" s="735"/>
      <c r="M101" s="897"/>
      <c r="N101" s="897"/>
      <c r="O101" s="723"/>
      <c r="P101" s="897"/>
      <c r="Q101" s="897"/>
      <c r="S101" s="1392"/>
      <c r="T101" s="1393"/>
    </row>
    <row r="102" spans="1:21" s="458" customFormat="1" ht="12.6" customHeight="1">
      <c r="B102" s="458" t="s">
        <v>3615</v>
      </c>
      <c r="G102" s="1392">
        <v>50000</v>
      </c>
      <c r="H102" s="1393"/>
      <c r="J102" s="897"/>
      <c r="K102" s="897"/>
      <c r="L102" s="735"/>
      <c r="M102" s="897"/>
      <c r="N102" s="897"/>
      <c r="O102" s="723"/>
      <c r="P102" s="897"/>
      <c r="Q102" s="897"/>
      <c r="S102" s="1392"/>
      <c r="T102" s="1393"/>
    </row>
    <row r="103" spans="1:21" s="458" customFormat="1" ht="12.6" customHeight="1" thickBot="1">
      <c r="A103" s="562" t="str">
        <f>IF(AND(G103&gt;0,OR(C103="",C103="&lt;Enter detailed description here; use Comments section if needed&gt;")),"X","")</f>
        <v/>
      </c>
      <c r="B103" s="458" t="s">
        <v>1231</v>
      </c>
      <c r="C103" s="1394" t="s">
        <v>4014</v>
      </c>
      <c r="D103" s="1394"/>
      <c r="E103" s="1394"/>
      <c r="F103" s="1395"/>
      <c r="G103" s="1392">
        <v>20000</v>
      </c>
      <c r="H103" s="1393"/>
      <c r="J103" s="897"/>
      <c r="K103" s="897"/>
      <c r="L103" s="735"/>
      <c r="M103" s="897"/>
      <c r="N103" s="897"/>
      <c r="O103" s="723"/>
      <c r="P103" s="897"/>
      <c r="Q103" s="897"/>
      <c r="S103" s="1392"/>
      <c r="T103" s="1393"/>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8">
        <f>SUM(G100:H103)</f>
        <v>94500</v>
      </c>
      <c r="H104" s="899"/>
      <c r="J104" s="897"/>
      <c r="K104" s="897"/>
      <c r="L104" s="735"/>
      <c r="M104" s="897"/>
      <c r="N104" s="897"/>
      <c r="O104" s="723"/>
      <c r="P104" s="897"/>
      <c r="Q104" s="897"/>
      <c r="S104" s="898">
        <f>SUM(S100:T103)</f>
        <v>0</v>
      </c>
      <c r="T104" s="899"/>
    </row>
    <row r="105" spans="1:21" s="458" customFormat="1" ht="13.15" customHeight="1">
      <c r="B105" s="461" t="s">
        <v>374</v>
      </c>
      <c r="J105" s="525"/>
      <c r="K105" s="522"/>
      <c r="M105" s="525"/>
      <c r="N105" s="522"/>
      <c r="O105" s="524" t="str">
        <f>B105</f>
        <v>DEVELOPER'S FEE</v>
      </c>
      <c r="P105" s="525"/>
      <c r="Q105" s="522"/>
      <c r="S105" s="525"/>
      <c r="T105" s="522"/>
    </row>
    <row r="106" spans="1:21" s="458" customFormat="1" ht="12.6" customHeight="1">
      <c r="B106" s="458" t="s">
        <v>2915</v>
      </c>
      <c r="F106" s="647">
        <f>G106/$G$109</f>
        <v>0.12</v>
      </c>
      <c r="G106" s="1392">
        <v>150000</v>
      </c>
      <c r="H106" s="1393"/>
      <c r="J106" s="1392">
        <v>150000</v>
      </c>
      <c r="K106" s="1393"/>
      <c r="L106" s="524"/>
      <c r="M106" s="1392"/>
      <c r="N106" s="1393"/>
      <c r="P106" s="1392"/>
      <c r="Q106" s="1393"/>
      <c r="S106" s="1392"/>
      <c r="T106" s="1393"/>
    </row>
    <row r="107" spans="1:21" s="458" customFormat="1" ht="12.6" customHeight="1">
      <c r="B107" s="458" t="s">
        <v>2916</v>
      </c>
      <c r="F107" s="647">
        <f>G107/$G$109</f>
        <v>0.32</v>
      </c>
      <c r="G107" s="1392">
        <v>400000</v>
      </c>
      <c r="H107" s="1393"/>
      <c r="J107" s="1392">
        <v>400000</v>
      </c>
      <c r="K107" s="1393"/>
      <c r="L107" s="735"/>
      <c r="M107" s="1392"/>
      <c r="N107" s="1393"/>
      <c r="P107" s="1392"/>
      <c r="Q107" s="1393"/>
      <c r="S107" s="1392"/>
      <c r="T107" s="1393"/>
    </row>
    <row r="108" spans="1:21" s="458" customFormat="1" ht="12.6" customHeight="1" thickBot="1">
      <c r="B108" s="458" t="s">
        <v>2908</v>
      </c>
      <c r="F108" s="647">
        <f>G108/$G$109</f>
        <v>0.56000000000000005</v>
      </c>
      <c r="G108" s="1392">
        <v>700000</v>
      </c>
      <c r="H108" s="1393"/>
      <c r="J108" s="1392">
        <v>700000</v>
      </c>
      <c r="K108" s="1393"/>
      <c r="L108" s="735"/>
      <c r="M108" s="1392"/>
      <c r="N108" s="1393"/>
      <c r="P108" s="1392"/>
      <c r="Q108" s="1393"/>
      <c r="S108" s="1392"/>
      <c r="T108" s="1393"/>
    </row>
    <row r="109" spans="1:21" s="458" customFormat="1" ht="12.6" customHeight="1" thickTop="1">
      <c r="C109" s="561" t="str">
        <f>IF(G109&lt;='DCA Underwriting Assumptions'!$Q$46,"","Developer Fee exceeds DCA Program Maximum !!!")</f>
        <v/>
      </c>
      <c r="F109" s="523" t="s">
        <v>249</v>
      </c>
      <c r="G109" s="898">
        <f>SUM(G106:H108)</f>
        <v>1250000</v>
      </c>
      <c r="H109" s="899"/>
      <c r="J109" s="898">
        <f>SUM(J106:K108)</f>
        <v>1250000</v>
      </c>
      <c r="K109" s="899"/>
      <c r="L109" s="735"/>
      <c r="M109" s="898">
        <f>SUM(M106:N108)</f>
        <v>0</v>
      </c>
      <c r="N109" s="899"/>
      <c r="P109" s="898">
        <f>SUM(P106:Q108)</f>
        <v>0</v>
      </c>
      <c r="Q109" s="899"/>
      <c r="S109" s="898">
        <f>SUM(S106:T108)</f>
        <v>0</v>
      </c>
      <c r="T109" s="899"/>
    </row>
    <row r="110" spans="1:21" s="458" customFormat="1" ht="13.15" customHeight="1">
      <c r="B110" s="461" t="s">
        <v>2011</v>
      </c>
      <c r="J110" s="522"/>
      <c r="K110" s="522"/>
      <c r="M110" s="522"/>
      <c r="N110" s="522"/>
      <c r="O110" s="524" t="str">
        <f>B110</f>
        <v>START-UP AND RESERVES</v>
      </c>
      <c r="P110" s="522"/>
      <c r="Q110" s="522"/>
      <c r="S110" s="522"/>
      <c r="T110" s="522"/>
    </row>
    <row r="111" spans="1:21" s="458" customFormat="1" ht="12.6" customHeight="1">
      <c r="B111" s="458" t="s">
        <v>324</v>
      </c>
      <c r="G111" s="1392">
        <v>30000</v>
      </c>
      <c r="H111" s="1393"/>
      <c r="J111" s="541"/>
      <c r="K111" s="541"/>
      <c r="L111" s="541"/>
      <c r="M111" s="541"/>
      <c r="N111" s="541"/>
      <c r="P111" s="541"/>
      <c r="Q111" s="541"/>
      <c r="S111" s="1392"/>
      <c r="T111" s="1393"/>
    </row>
    <row r="112" spans="1:21" s="458" customFormat="1" ht="12.6" customHeight="1">
      <c r="B112" s="458" t="s">
        <v>2288</v>
      </c>
      <c r="G112" s="1392">
        <v>84717</v>
      </c>
      <c r="H112" s="1393"/>
      <c r="J112" s="897"/>
      <c r="K112" s="897"/>
      <c r="L112" s="735"/>
      <c r="M112" s="897"/>
      <c r="N112" s="897"/>
      <c r="O112" s="723"/>
      <c r="P112" s="897"/>
      <c r="Q112" s="897"/>
      <c r="R112" s="723"/>
      <c r="S112" s="1392"/>
      <c r="T112" s="1393"/>
    </row>
    <row r="113" spans="1:21" s="458" customFormat="1" ht="12.6" customHeight="1">
      <c r="B113" s="458" t="s">
        <v>1029</v>
      </c>
      <c r="F113" s="482"/>
      <c r="G113" s="1392">
        <v>205461</v>
      </c>
      <c r="H113" s="1393"/>
      <c r="J113" s="540"/>
      <c r="K113" s="540"/>
      <c r="L113" s="540"/>
      <c r="M113" s="540"/>
      <c r="N113" s="540"/>
      <c r="O113" s="723"/>
      <c r="P113" s="540"/>
      <c r="Q113" s="540"/>
      <c r="R113" s="723"/>
      <c r="S113" s="1392"/>
      <c r="T113" s="1393"/>
    </row>
    <row r="114" spans="1:21" s="458" customFormat="1" ht="12.6" customHeight="1">
      <c r="B114" s="458" t="s">
        <v>1923</v>
      </c>
      <c r="G114" s="1392"/>
      <c r="H114" s="1393"/>
      <c r="J114" s="541"/>
      <c r="K114" s="541"/>
      <c r="L114" s="541"/>
      <c r="M114" s="541"/>
      <c r="N114" s="541"/>
      <c r="P114" s="541"/>
      <c r="Q114" s="541"/>
      <c r="S114" s="1392"/>
      <c r="T114" s="1393"/>
    </row>
    <row r="115" spans="1:21" s="458" customFormat="1" ht="12.6" customHeight="1">
      <c r="B115" s="458" t="s">
        <v>1924</v>
      </c>
      <c r="E115" s="458" t="s">
        <v>1472</v>
      </c>
      <c r="F115" s="647">
        <f>G115/'Part VI-Revenues &amp; Expenses'!$M$63</f>
        <v>500</v>
      </c>
      <c r="G115" s="1392">
        <v>39500</v>
      </c>
      <c r="H115" s="1393"/>
      <c r="J115" s="1392">
        <v>39500</v>
      </c>
      <c r="K115" s="1393"/>
      <c r="L115" s="735"/>
      <c r="M115" s="1392"/>
      <c r="N115" s="1393"/>
      <c r="P115" s="1392"/>
      <c r="Q115" s="1393"/>
      <c r="S115" s="1392"/>
      <c r="T115" s="1393"/>
    </row>
    <row r="116" spans="1:21" s="458" customFormat="1" ht="12.6" customHeight="1" thickBot="1">
      <c r="A116" s="562" t="str">
        <f>IF(AND(G116&gt;0,OR(C116="",C116="&lt;Enter detailed description here; use Comments section if needed&gt;")),"X","")</f>
        <v/>
      </c>
      <c r="B116" s="458" t="s">
        <v>1231</v>
      </c>
      <c r="C116" s="1394"/>
      <c r="D116" s="1394"/>
      <c r="E116" s="1394"/>
      <c r="F116" s="1395"/>
      <c r="G116" s="1392"/>
      <c r="H116" s="1393"/>
      <c r="J116" s="1392"/>
      <c r="K116" s="1393"/>
      <c r="L116" s="735"/>
      <c r="M116" s="1392"/>
      <c r="N116" s="1393"/>
      <c r="P116" s="1392"/>
      <c r="Q116" s="1393"/>
      <c r="S116" s="1392"/>
      <c r="T116" s="1393"/>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8">
        <f>SUM(G111:H116)</f>
        <v>359678</v>
      </c>
      <c r="H117" s="899"/>
      <c r="J117" s="898">
        <f>SUM(J115:K116)</f>
        <v>39500</v>
      </c>
      <c r="K117" s="899"/>
      <c r="L117" s="735"/>
      <c r="M117" s="898">
        <f>SUM(M115:N116)</f>
        <v>0</v>
      </c>
      <c r="N117" s="899"/>
      <c r="P117" s="898">
        <f>SUM(P115:Q116)</f>
        <v>0</v>
      </c>
      <c r="Q117" s="899"/>
      <c r="S117" s="898">
        <f>SUM(S111:T116)</f>
        <v>0</v>
      </c>
      <c r="T117" s="899"/>
    </row>
    <row r="118" spans="1:21" s="458" customFormat="1" ht="13.15" customHeight="1">
      <c r="B118" s="461" t="s">
        <v>944</v>
      </c>
      <c r="C118" s="716"/>
      <c r="H118" s="538"/>
      <c r="I118" s="538"/>
      <c r="J118" s="522"/>
      <c r="K118" s="522"/>
      <c r="M118" s="522"/>
      <c r="N118" s="522"/>
      <c r="O118" s="524" t="str">
        <f>B118</f>
        <v>OTHER COSTS</v>
      </c>
      <c r="P118" s="522"/>
      <c r="Q118" s="522"/>
      <c r="S118" s="522"/>
      <c r="T118" s="522"/>
    </row>
    <row r="119" spans="1:21" s="458" customFormat="1" ht="12.6" customHeight="1">
      <c r="B119" s="458" t="s">
        <v>945</v>
      </c>
      <c r="C119" s="716"/>
      <c r="G119" s="1392"/>
      <c r="H119" s="1393"/>
      <c r="J119" s="1392"/>
      <c r="K119" s="1393"/>
      <c r="L119" s="524"/>
      <c r="M119" s="1392"/>
      <c r="N119" s="1393"/>
      <c r="P119" s="1392"/>
      <c r="Q119" s="1393"/>
      <c r="S119" s="1392"/>
      <c r="T119" s="1393"/>
    </row>
    <row r="120" spans="1:21" s="458" customFormat="1" ht="12.6" customHeight="1" thickBot="1">
      <c r="A120" s="562" t="str">
        <f>IF(AND(G120&gt;0,OR(C120="",C120="&lt;Enter detailed description here; use Comments section if needed&gt;")),"X","")</f>
        <v/>
      </c>
      <c r="B120" s="458" t="s">
        <v>1231</v>
      </c>
      <c r="C120" s="1394" t="s">
        <v>4067</v>
      </c>
      <c r="D120" s="1394"/>
      <c r="E120" s="1394"/>
      <c r="F120" s="1395"/>
      <c r="G120" s="1392">
        <v>83502</v>
      </c>
      <c r="H120" s="1393"/>
      <c r="J120" s="1392">
        <v>83502</v>
      </c>
      <c r="K120" s="1393"/>
      <c r="L120" s="735"/>
      <c r="M120" s="1392"/>
      <c r="N120" s="1393"/>
      <c r="P120" s="1392"/>
      <c r="Q120" s="1393"/>
      <c r="S120" s="1392"/>
      <c r="T120" s="1393"/>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6"/>
      <c r="F121" s="523" t="s">
        <v>249</v>
      </c>
      <c r="G121" s="898">
        <f>SUM(G119:H120)</f>
        <v>83502</v>
      </c>
      <c r="H121" s="899"/>
      <c r="J121" s="898">
        <f>SUM(J119:K120)</f>
        <v>83502</v>
      </c>
      <c r="K121" s="899"/>
      <c r="L121" s="735"/>
      <c r="M121" s="898">
        <f>SUM(M119:N120)</f>
        <v>0</v>
      </c>
      <c r="N121" s="899"/>
      <c r="P121" s="898">
        <f>SUM(P119:Q120)</f>
        <v>0</v>
      </c>
      <c r="Q121" s="899"/>
      <c r="S121" s="898">
        <f>SUM(S119:T120)</f>
        <v>0</v>
      </c>
      <c r="T121" s="899"/>
    </row>
    <row r="122" spans="1:21" s="458" customFormat="1" ht="3.4" customHeight="1" thickBot="1">
      <c r="C122" s="716"/>
      <c r="H122" s="538"/>
      <c r="I122" s="538"/>
      <c r="L122" s="723"/>
    </row>
    <row r="123" spans="1:21" s="458" customFormat="1" ht="13.9" customHeight="1" thickBot="1">
      <c r="B123" s="465" t="s">
        <v>375</v>
      </c>
      <c r="G123" s="907">
        <f>G17+G23+G27+G32+G36+G42+G56+G68+G74+G83+G98+G104+G109+G117+G121</f>
        <v>10430469</v>
      </c>
      <c r="H123" s="908"/>
      <c r="J123" s="907">
        <f>J17+J23+J27+J32+J36+J42+J56+J68+J74+J83+J98+J104+J109+J117+J121</f>
        <v>9476130</v>
      </c>
      <c r="K123" s="908"/>
      <c r="M123" s="907">
        <f>M17+M23+M27+M32+M36+M42+M56+M68+M74+M83+M98+M104+M109+M117+M121</f>
        <v>0</v>
      </c>
      <c r="N123" s="908"/>
      <c r="P123" s="907">
        <f>P17+P23+P27+P32+P36+P42+P56+P68+P74+P83+P98+P104+P109+P117+P121</f>
        <v>0</v>
      </c>
      <c r="Q123" s="908"/>
      <c r="S123" s="907">
        <f>S17+S23+S27+S32+S36+S42+S56+S68+S74+S83+S98+S104+S109+S117+S121</f>
        <v>0</v>
      </c>
      <c r="T123" s="908"/>
    </row>
    <row r="124" spans="1:21" s="458" customFormat="1" ht="3.4" customHeight="1" thickBot="1">
      <c r="C124" s="716"/>
      <c r="H124" s="538"/>
      <c r="I124" s="538"/>
      <c r="L124" s="723"/>
    </row>
    <row r="125" spans="1:21" s="458" customFormat="1" ht="13.9" customHeight="1" thickBot="1">
      <c r="B125" s="465" t="s">
        <v>3895</v>
      </c>
      <c r="D125" s="951">
        <f>IF(AND($T$155 = "Yes", 'Part IX A-Scoring Criteria'!$O$176 &gt; 0),'DCA Underwriting Assumptions'!$R$13, IF(AND('Part IV-Uses of Funds'!$T$156="Yes", 'Part IX A-Scoring Criteria'!$O$74&gt;0),'DCA Underwriting Assumptions'!$R$12, 'DCA Underwriting Assumptions'!$R$11))</f>
        <v>12824553</v>
      </c>
      <c r="E125" s="952"/>
      <c r="F125" s="461" t="s">
        <v>1039</v>
      </c>
      <c r="G125" s="936">
        <f>G123/'Part VI-Revenues &amp; Expenses'!$M$63</f>
        <v>132031.25316455695</v>
      </c>
      <c r="H125" s="937"/>
      <c r="I125" s="543"/>
      <c r="J125" s="465" t="s">
        <v>1040</v>
      </c>
      <c r="M125" s="936">
        <f>G123/'Part VI-Revenues &amp; Expenses'!$M$98</f>
        <v>136.79303606557377</v>
      </c>
      <c r="N125" s="937"/>
    </row>
    <row r="126" spans="1:21" s="458" customFormat="1" ht="3.4" customHeight="1">
      <c r="I126" s="543"/>
      <c r="L126" s="543"/>
    </row>
    <row r="127" spans="1:21" s="458" customFormat="1" ht="3.6" customHeight="1" thickBot="1">
      <c r="D127" s="716"/>
      <c r="E127" s="716"/>
      <c r="I127" s="538"/>
      <c r="J127" s="538"/>
      <c r="K127" s="544"/>
      <c r="L127" s="464"/>
      <c r="P127" s="723"/>
    </row>
    <row r="128" spans="1:21" s="458" customFormat="1" ht="26.1" customHeight="1">
      <c r="A128" s="406" t="s">
        <v>1230</v>
      </c>
      <c r="B128" s="408" t="s">
        <v>2146</v>
      </c>
      <c r="C128" s="459"/>
      <c r="D128" s="735"/>
      <c r="E128" s="735"/>
      <c r="G128" s="723"/>
      <c r="H128" s="723"/>
      <c r="I128" s="545"/>
      <c r="J128" s="900" t="s">
        <v>359</v>
      </c>
      <c r="K128" s="901"/>
      <c r="M128" s="900" t="s">
        <v>114</v>
      </c>
      <c r="N128" s="901"/>
      <c r="P128" s="900" t="s">
        <v>360</v>
      </c>
      <c r="Q128" s="901"/>
    </row>
    <row r="129" spans="2:17" s="458" customFormat="1" ht="15" customHeight="1" thickBot="1">
      <c r="B129" s="465" t="s">
        <v>3136</v>
      </c>
      <c r="D129" s="735"/>
      <c r="E129" s="735"/>
      <c r="I129" s="545"/>
      <c r="J129" s="902"/>
      <c r="K129" s="903"/>
      <c r="L129" s="459"/>
      <c r="M129" s="902"/>
      <c r="N129" s="903"/>
      <c r="P129" s="902"/>
      <c r="Q129" s="903"/>
    </row>
    <row r="130" spans="2:17" s="458" customFormat="1" ht="6" customHeight="1">
      <c r="D130" s="716"/>
      <c r="E130" s="716"/>
      <c r="I130" s="538"/>
      <c r="J130" s="538"/>
      <c r="K130" s="544"/>
      <c r="L130" s="464"/>
      <c r="P130" s="723"/>
    </row>
    <row r="131" spans="2:17" s="458" customFormat="1" ht="13.9" customHeight="1">
      <c r="B131" s="716" t="s">
        <v>185</v>
      </c>
      <c r="D131" s="723"/>
      <c r="E131" s="723"/>
      <c r="F131" s="723"/>
      <c r="G131" s="723"/>
      <c r="H131" s="723"/>
      <c r="I131" s="545"/>
      <c r="J131" s="1401"/>
      <c r="K131" s="1402"/>
      <c r="P131" s="1401"/>
      <c r="Q131" s="1402"/>
    </row>
    <row r="132" spans="2:17" s="458" customFormat="1" ht="13.9" customHeight="1">
      <c r="B132" s="723" t="s">
        <v>3256</v>
      </c>
      <c r="D132" s="723"/>
      <c r="E132" s="723"/>
      <c r="F132" s="723"/>
      <c r="G132" s="723"/>
      <c r="H132" s="723"/>
      <c r="I132" s="545"/>
      <c r="J132" s="1401"/>
      <c r="K132" s="1402"/>
      <c r="P132" s="1401"/>
      <c r="Q132" s="1402"/>
    </row>
    <row r="133" spans="2:17" s="458" customFormat="1" ht="13.9" customHeight="1">
      <c r="B133" s="723" t="s">
        <v>2918</v>
      </c>
      <c r="D133" s="723"/>
      <c r="E133" s="723"/>
      <c r="I133" s="545"/>
      <c r="J133" s="1401"/>
      <c r="K133" s="1402"/>
      <c r="P133" s="1401"/>
      <c r="Q133" s="1402"/>
    </row>
    <row r="134" spans="2:17" s="458" customFormat="1" ht="13.9" customHeight="1">
      <c r="B134" s="723" t="s">
        <v>2919</v>
      </c>
      <c r="D134" s="723"/>
      <c r="E134" s="723"/>
      <c r="I134" s="545"/>
      <c r="J134" s="1401"/>
      <c r="K134" s="1402"/>
      <c r="P134" s="1401"/>
      <c r="Q134" s="1402"/>
    </row>
    <row r="135" spans="2:17" s="458" customFormat="1" ht="13.9" customHeight="1">
      <c r="B135" s="723" t="s">
        <v>329</v>
      </c>
      <c r="D135" s="723"/>
      <c r="E135" s="723"/>
      <c r="I135" s="545"/>
      <c r="J135" s="1401"/>
      <c r="K135" s="1402"/>
      <c r="P135" s="1401"/>
      <c r="Q135" s="1402"/>
    </row>
    <row r="136" spans="2:17" s="458" customFormat="1" ht="13.9" customHeight="1" thickBot="1">
      <c r="B136" s="723" t="s">
        <v>2364</v>
      </c>
      <c r="C136" s="1394"/>
      <c r="D136" s="1394"/>
      <c r="E136" s="1394"/>
      <c r="F136" s="1394"/>
      <c r="G136" s="1394"/>
      <c r="H136" s="1394"/>
      <c r="I136" s="1395"/>
      <c r="J136" s="1401"/>
      <c r="K136" s="1402"/>
      <c r="P136" s="1401"/>
      <c r="Q136" s="1402"/>
    </row>
    <row r="137" spans="2:17" s="458" customFormat="1" ht="13.9" customHeight="1" thickBot="1">
      <c r="B137" s="470" t="s">
        <v>2920</v>
      </c>
      <c r="C137" s="473"/>
      <c r="J137" s="861">
        <f>SUM(J131:K136)</f>
        <v>0</v>
      </c>
      <c r="K137" s="862"/>
      <c r="P137" s="861">
        <f>SUM(P131:Q136)</f>
        <v>0</v>
      </c>
      <c r="Q137" s="862"/>
    </row>
    <row r="138" spans="2:17" s="458" customFormat="1" ht="3.4" customHeight="1"/>
    <row r="139" spans="2:17" s="458" customFormat="1" ht="15" customHeight="1" thickBot="1">
      <c r="B139" s="461" t="s">
        <v>3488</v>
      </c>
    </row>
    <row r="140" spans="2:17" s="458" customFormat="1" ht="13.9" customHeight="1">
      <c r="B140" s="458" t="s">
        <v>2822</v>
      </c>
      <c r="J140" s="923">
        <f>J123</f>
        <v>9476130</v>
      </c>
      <c r="K140" s="924"/>
      <c r="M140" s="934">
        <f>M123</f>
        <v>0</v>
      </c>
      <c r="N140" s="935"/>
      <c r="P140" s="923">
        <f>P123</f>
        <v>0</v>
      </c>
      <c r="Q140" s="924"/>
    </row>
    <row r="141" spans="2:17" s="458" customFormat="1" ht="13.9" customHeight="1">
      <c r="B141" s="458" t="s">
        <v>3344</v>
      </c>
      <c r="J141" s="925">
        <f>J137</f>
        <v>0</v>
      </c>
      <c r="K141" s="926"/>
      <c r="M141" s="928"/>
      <c r="N141" s="928"/>
      <c r="P141" s="925">
        <f>P137</f>
        <v>0</v>
      </c>
      <c r="Q141" s="926"/>
    </row>
    <row r="142" spans="2:17" s="458" customFormat="1" ht="13.9" customHeight="1">
      <c r="B142" s="458" t="s">
        <v>3345</v>
      </c>
      <c r="J142" s="925">
        <f>J140-J141</f>
        <v>9476130</v>
      </c>
      <c r="K142" s="926"/>
      <c r="M142" s="925">
        <f>M140</f>
        <v>0</v>
      </c>
      <c r="N142" s="926"/>
      <c r="P142" s="925">
        <f>P140-P141</f>
        <v>0</v>
      </c>
      <c r="Q142" s="926"/>
    </row>
    <row r="143" spans="2:17" s="458" customFormat="1" ht="13.9" customHeight="1">
      <c r="B143" s="458" t="s">
        <v>2229</v>
      </c>
      <c r="G143" s="715" t="s">
        <v>2735</v>
      </c>
      <c r="H143" s="1403" t="s">
        <v>2801</v>
      </c>
      <c r="I143" s="1404"/>
      <c r="J143" s="1405">
        <v>1</v>
      </c>
      <c r="K143" s="1406"/>
      <c r="M143" s="933"/>
      <c r="N143" s="933"/>
      <c r="P143" s="1405"/>
      <c r="Q143" s="1406"/>
    </row>
    <row r="144" spans="2:17" s="458" customFormat="1" ht="13.9" customHeight="1">
      <c r="B144" s="458" t="s">
        <v>3150</v>
      </c>
      <c r="J144" s="925">
        <f>J142*J143</f>
        <v>9476130</v>
      </c>
      <c r="K144" s="926"/>
      <c r="M144" s="925">
        <f>+M142</f>
        <v>0</v>
      </c>
      <c r="N144" s="926"/>
      <c r="P144" s="925">
        <f>P142*P143</f>
        <v>0</v>
      </c>
      <c r="Q144" s="926"/>
    </row>
    <row r="145" spans="1:20" s="458" customFormat="1" ht="13.9" customHeight="1">
      <c r="B145" s="458" t="s">
        <v>3839</v>
      </c>
      <c r="J145" s="895">
        <f>MIN('Part VI-Revenues &amp; Expenses'!$M$59/'Part VI-Revenues &amp; Expenses'!$M$61,'Part VI-Revenues &amp; Expenses'!$M$94/'Part VI-Revenues &amp; Expenses'!$M$96)</f>
        <v>1</v>
      </c>
      <c r="K145" s="896"/>
      <c r="M145" s="895">
        <f>MIN('Part VI-Revenues &amp; Expenses'!$M$59/'Part VI-Revenues &amp; Expenses'!$M$61,'Part VI-Revenues &amp; Expenses'!$M$94/'Part VI-Revenues &amp; Expenses'!$M$96)</f>
        <v>1</v>
      </c>
      <c r="N145" s="896"/>
      <c r="P145" s="895">
        <f>MIN('Part VI-Revenues &amp; Expenses'!$M$59/'Part VI-Revenues &amp; Expenses'!$M$61,'Part VI-Revenues &amp; Expenses'!$M$94/'Part VI-Revenues &amp; Expenses'!$M$96)</f>
        <v>1</v>
      </c>
      <c r="Q145" s="896"/>
    </row>
    <row r="146" spans="1:20" s="458" customFormat="1" ht="13.9" customHeight="1">
      <c r="B146" s="458" t="s">
        <v>3137</v>
      </c>
      <c r="J146" s="925">
        <f>J144*J145</f>
        <v>9476130</v>
      </c>
      <c r="K146" s="926"/>
      <c r="M146" s="925">
        <f>M144*M145</f>
        <v>0</v>
      </c>
      <c r="N146" s="926"/>
      <c r="P146" s="925">
        <f>P144*P145</f>
        <v>0</v>
      </c>
      <c r="Q146" s="926"/>
    </row>
    <row r="147" spans="1:20" s="458" customFormat="1" ht="13.9" customHeight="1">
      <c r="B147" s="458" t="s">
        <v>3138</v>
      </c>
      <c r="J147" s="1405">
        <v>0.09</v>
      </c>
      <c r="K147" s="1406"/>
      <c r="M147" s="1405"/>
      <c r="N147" s="1406"/>
      <c r="P147" s="1405"/>
      <c r="Q147" s="1406"/>
    </row>
    <row r="148" spans="1:20" s="458" customFormat="1" ht="13.9" customHeight="1" thickBot="1">
      <c r="B148" s="458" t="s">
        <v>3840</v>
      </c>
      <c r="J148" s="929">
        <f>J146*J147</f>
        <v>852851.7</v>
      </c>
      <c r="K148" s="930"/>
      <c r="M148" s="929">
        <f>M146*M147</f>
        <v>0</v>
      </c>
      <c r="N148" s="930"/>
      <c r="P148" s="929">
        <f>P146*P147</f>
        <v>0</v>
      </c>
      <c r="Q148" s="930"/>
    </row>
    <row r="149" spans="1:20" s="458" customFormat="1" ht="13.9" customHeight="1" thickBot="1">
      <c r="B149" s="458" t="s">
        <v>2144</v>
      </c>
      <c r="J149" s="861">
        <f>J148+M148+P148</f>
        <v>852851.7</v>
      </c>
      <c r="K149" s="927"/>
      <c r="L149" s="927"/>
      <c r="M149" s="927"/>
      <c r="N149" s="927"/>
      <c r="O149" s="927"/>
      <c r="P149" s="927"/>
      <c r="Q149" s="862"/>
    </row>
    <row r="150" spans="1:20" s="458" customFormat="1" ht="6" customHeight="1" thickBot="1">
      <c r="B150" s="546"/>
      <c r="L150" s="547"/>
      <c r="M150" s="547"/>
      <c r="N150" s="547"/>
      <c r="O150" s="547"/>
    </row>
    <row r="151" spans="1:20" s="458" customFormat="1" ht="15" customHeight="1">
      <c r="A151" s="461" t="s">
        <v>1232</v>
      </c>
      <c r="B151" s="461" t="s">
        <v>2147</v>
      </c>
      <c r="I151" s="723"/>
      <c r="J151" s="932" t="s">
        <v>345</v>
      </c>
      <c r="K151" s="932"/>
      <c r="L151" s="932"/>
      <c r="M151" s="953" t="str">
        <f>IF(J153&gt;D125,"TDC exceeds PUCL!","")</f>
        <v/>
      </c>
      <c r="N151" s="954"/>
      <c r="O151" s="954"/>
      <c r="P151" s="954"/>
      <c r="Q151" s="954"/>
      <c r="R151" s="955"/>
      <c r="S151" s="938" t="s">
        <v>2651</v>
      </c>
      <c r="T151" s="939"/>
    </row>
    <row r="152" spans="1:20" s="458" customFormat="1" ht="15" customHeight="1">
      <c r="B152" s="461" t="s">
        <v>231</v>
      </c>
      <c r="I152" s="723"/>
      <c r="J152" s="931">
        <f>MIN(G123,D125)</f>
        <v>10430469</v>
      </c>
      <c r="K152" s="931"/>
      <c r="L152" s="931"/>
      <c r="M152" s="956" t="s">
        <v>3645</v>
      </c>
      <c r="N152" s="957"/>
      <c r="O152" s="957"/>
      <c r="P152" s="957"/>
      <c r="Q152" s="957"/>
      <c r="R152" s="958"/>
      <c r="S152" s="940"/>
      <c r="T152" s="941"/>
    </row>
    <row r="153" spans="1:20" s="458" customFormat="1" ht="13.9" customHeight="1">
      <c r="B153" s="458" t="s">
        <v>2650</v>
      </c>
      <c r="J153" s="1407">
        <v>10430469</v>
      </c>
      <c r="K153" s="1408"/>
      <c r="L153" s="1408"/>
      <c r="M153" s="956"/>
      <c r="N153" s="957"/>
      <c r="O153" s="957"/>
      <c r="P153" s="957"/>
      <c r="Q153" s="957"/>
      <c r="R153" s="958"/>
      <c r="S153" s="940"/>
      <c r="T153" s="941"/>
    </row>
    <row r="154" spans="1:20" s="458" customFormat="1" ht="13.9" customHeight="1">
      <c r="B154" s="458" t="s">
        <v>341</v>
      </c>
      <c r="J154" s="925">
        <f>'Part III A-Sources of Funds'!$H$49-'Part III A-Sources of Funds'!$H$37-'Part III A-Sources of Funds'!$H$40-'Part III A-Sources of Funds'!$H$41</f>
        <v>1540029</v>
      </c>
      <c r="K154" s="928"/>
      <c r="L154" s="928"/>
      <c r="M154" s="956"/>
      <c r="N154" s="957"/>
      <c r="O154" s="957"/>
      <c r="P154" s="957"/>
      <c r="Q154" s="957"/>
      <c r="R154" s="958"/>
      <c r="S154" s="685"/>
      <c r="T154" s="688" t="s">
        <v>344</v>
      </c>
    </row>
    <row r="155" spans="1:20" s="458" customFormat="1" ht="13.9" customHeight="1">
      <c r="B155" s="458" t="s">
        <v>3357</v>
      </c>
      <c r="J155" s="925">
        <f>+J153-J154</f>
        <v>8890440</v>
      </c>
      <c r="K155" s="928"/>
      <c r="L155" s="928"/>
      <c r="M155" s="945" t="s">
        <v>342</v>
      </c>
      <c r="N155" s="932"/>
      <c r="O155" s="932" t="s">
        <v>2653</v>
      </c>
      <c r="P155" s="932"/>
      <c r="Q155" s="932"/>
      <c r="R155" s="946"/>
      <c r="S155" s="686" t="s">
        <v>2652</v>
      </c>
      <c r="T155" s="1409" t="s">
        <v>3923</v>
      </c>
    </row>
    <row r="156" spans="1:20" s="458" customFormat="1" ht="13.9" customHeight="1" thickBot="1">
      <c r="B156" s="458" t="s">
        <v>1987</v>
      </c>
      <c r="J156" s="950" t="str">
        <f>"/ 10"</f>
        <v>/ 10</v>
      </c>
      <c r="K156" s="950"/>
      <c r="L156" s="950"/>
      <c r="M156" s="1410"/>
      <c r="N156" s="1411"/>
      <c r="O156" s="1412"/>
      <c r="P156" s="1412"/>
      <c r="Q156" s="1412"/>
      <c r="R156" s="1413"/>
      <c r="S156" s="687" t="s">
        <v>343</v>
      </c>
      <c r="T156" s="1414" t="s">
        <v>3923</v>
      </c>
    </row>
    <row r="157" spans="1:20" s="458" customFormat="1" ht="13.9" customHeight="1">
      <c r="B157" s="458" t="s">
        <v>1988</v>
      </c>
      <c r="J157" s="925">
        <f>J155/10</f>
        <v>889044</v>
      </c>
      <c r="K157" s="928"/>
      <c r="L157" s="926"/>
      <c r="M157" s="482"/>
      <c r="N157" s="782" t="s">
        <v>1989</v>
      </c>
      <c r="O157" s="782"/>
      <c r="Q157" s="782" t="s">
        <v>2831</v>
      </c>
      <c r="R157" s="782"/>
    </row>
    <row r="158" spans="1:20" s="458" customFormat="1" ht="13.9" customHeight="1" thickBot="1">
      <c r="B158" s="458" t="s">
        <v>2228</v>
      </c>
      <c r="J158" s="942">
        <f>N158+Q158</f>
        <v>1.0425</v>
      </c>
      <c r="K158" s="943"/>
      <c r="L158" s="944"/>
      <c r="M158" s="715" t="s">
        <v>1990</v>
      </c>
      <c r="N158" s="1415">
        <v>0.76249999999999996</v>
      </c>
      <c r="O158" s="1416"/>
      <c r="P158" s="715" t="s">
        <v>946</v>
      </c>
      <c r="Q158" s="1415">
        <v>0.28000000000000003</v>
      </c>
      <c r="R158" s="1416"/>
    </row>
    <row r="159" spans="1:20" s="458" customFormat="1" ht="13.9" customHeight="1" thickBot="1">
      <c r="B159" s="458" t="s">
        <v>2145</v>
      </c>
      <c r="J159" s="861">
        <f>IF(J158=0,"",J157/J158)</f>
        <v>852800</v>
      </c>
      <c r="K159" s="927"/>
      <c r="L159" s="862"/>
      <c r="M159" s="482"/>
      <c r="N159" s="723"/>
      <c r="O159" s="723"/>
    </row>
    <row r="160" spans="1:20" s="458" customFormat="1" ht="9" customHeight="1">
      <c r="J160" s="548"/>
      <c r="K160" s="548"/>
      <c r="L160" s="548"/>
      <c r="M160" s="482"/>
      <c r="N160" s="721"/>
      <c r="O160" s="721"/>
    </row>
    <row r="161" spans="1:20" s="458" customFormat="1" ht="16.149999999999999" customHeight="1">
      <c r="B161" s="461" t="s">
        <v>448</v>
      </c>
      <c r="J161" s="947">
        <f>+MIN(J149,J159,'DCA Underwriting Assumptions'!$R$6)</f>
        <v>852800</v>
      </c>
      <c r="K161" s="948"/>
      <c r="L161" s="949"/>
      <c r="M161" s="482"/>
      <c r="N161" s="721"/>
      <c r="O161" s="721"/>
    </row>
    <row r="162" spans="1:20" s="458" customFormat="1" ht="9.75" customHeight="1">
      <c r="J162" s="548"/>
      <c r="K162" s="548"/>
      <c r="L162" s="548"/>
      <c r="M162" s="482"/>
      <c r="N162" s="721"/>
      <c r="O162" s="721"/>
    </row>
    <row r="163" spans="1:20" s="458" customFormat="1" ht="16.149999999999999" customHeight="1">
      <c r="B163" s="461" t="s">
        <v>449</v>
      </c>
      <c r="J163" s="1417">
        <v>852800</v>
      </c>
      <c r="K163" s="1418"/>
      <c r="L163" s="1419"/>
      <c r="M163" s="549" t="str">
        <f>IF(J163&gt;J161,"ALLOCATION CANNOT EXCEED MAXIMUM - REVISE ALLOCATION!","")</f>
        <v/>
      </c>
      <c r="N163" s="721"/>
      <c r="O163" s="721"/>
    </row>
    <row r="164" spans="1:20" s="458" customFormat="1" ht="9.75" customHeight="1">
      <c r="J164" s="548"/>
      <c r="K164" s="548"/>
      <c r="L164" s="548"/>
      <c r="M164" s="482"/>
      <c r="N164" s="721"/>
      <c r="O164" s="721"/>
    </row>
    <row r="165" spans="1:20" s="458" customFormat="1" ht="16.149999999999999" customHeight="1">
      <c r="A165" s="461" t="s">
        <v>2824</v>
      </c>
      <c r="B165" s="461" t="s">
        <v>450</v>
      </c>
      <c r="D165" s="482"/>
      <c r="E165" s="482"/>
      <c r="F165" s="464"/>
      <c r="J165" s="947">
        <f>+MIN(J161,J163)</f>
        <v>852800</v>
      </c>
      <c r="K165" s="948"/>
      <c r="L165" s="949"/>
      <c r="N165" s="1420"/>
      <c r="O165" s="1420"/>
      <c r="P165" s="1420"/>
      <c r="Q165" s="1420"/>
      <c r="R165" s="1420"/>
      <c r="S165" s="1420"/>
      <c r="T165" s="1420"/>
    </row>
    <row r="166" spans="1:20" ht="3.4" customHeight="1"/>
    <row r="167" spans="1:20" ht="6" customHeight="1"/>
    <row r="168" spans="1:20" ht="12.4" customHeight="1">
      <c r="A168" s="461" t="s">
        <v>2826</v>
      </c>
      <c r="B168" s="491" t="s">
        <v>880</v>
      </c>
      <c r="K168" s="461" t="s">
        <v>823</v>
      </c>
      <c r="L168" s="461" t="s">
        <v>89</v>
      </c>
    </row>
    <row r="169" spans="1:20" ht="64.5" customHeight="1">
      <c r="A169" s="1421" t="s">
        <v>4065</v>
      </c>
      <c r="B169" s="1422"/>
      <c r="C169" s="1422"/>
      <c r="D169" s="1422"/>
      <c r="E169" s="1422"/>
      <c r="F169" s="1422"/>
      <c r="G169" s="1422"/>
      <c r="H169" s="1422"/>
      <c r="I169" s="1422"/>
      <c r="J169" s="1423"/>
      <c r="K169" s="1424"/>
      <c r="L169" s="1422"/>
      <c r="M169" s="1422"/>
      <c r="N169" s="1422"/>
      <c r="O169" s="1422"/>
      <c r="P169" s="1422"/>
      <c r="Q169" s="1422"/>
      <c r="R169" s="1422"/>
      <c r="S169" s="1422"/>
      <c r="T169" s="1423"/>
    </row>
    <row r="170" spans="1:20" ht="42.75" customHeight="1">
      <c r="A170" s="1425" t="s">
        <v>4068</v>
      </c>
      <c r="B170" s="1426"/>
      <c r="C170" s="1426"/>
      <c r="D170" s="1426"/>
      <c r="E170" s="1426"/>
      <c r="F170" s="1426"/>
      <c r="G170" s="1426"/>
      <c r="H170" s="1426"/>
      <c r="I170" s="1426"/>
      <c r="J170" s="1427"/>
      <c r="K170" s="1428"/>
      <c r="L170" s="1426"/>
      <c r="M170" s="1426"/>
      <c r="N170" s="1426"/>
      <c r="O170" s="1426"/>
      <c r="P170" s="1426"/>
      <c r="Q170" s="1426"/>
      <c r="R170" s="1426"/>
      <c r="S170" s="1426"/>
      <c r="T170" s="1427"/>
    </row>
    <row r="171" spans="1:20" s="458" customFormat="1" ht="107.65" customHeight="1">
      <c r="A171" s="1429" t="s">
        <v>4073</v>
      </c>
      <c r="B171" s="1426"/>
      <c r="C171" s="1426"/>
      <c r="D171" s="1426"/>
      <c r="E171" s="1426"/>
      <c r="F171" s="1426"/>
      <c r="G171" s="1426"/>
      <c r="H171" s="1426"/>
      <c r="I171" s="1426"/>
      <c r="J171" s="1427"/>
      <c r="K171" s="1428"/>
      <c r="L171" s="1426"/>
      <c r="M171" s="1426"/>
      <c r="N171" s="1426"/>
      <c r="O171" s="1426"/>
      <c r="P171" s="1426"/>
      <c r="Q171" s="1426"/>
      <c r="R171" s="1426"/>
      <c r="S171" s="1426"/>
      <c r="T171" s="1427"/>
    </row>
    <row r="172" spans="1:20" ht="107.65" customHeight="1">
      <c r="A172" s="1430"/>
      <c r="B172" s="1431"/>
      <c r="C172" s="1431"/>
      <c r="D172" s="1431"/>
      <c r="E172" s="1431"/>
      <c r="F172" s="1431"/>
      <c r="G172" s="1431"/>
      <c r="H172" s="1431"/>
      <c r="I172" s="1431"/>
      <c r="J172" s="1432"/>
      <c r="K172" s="1433"/>
      <c r="L172" s="1431"/>
      <c r="M172" s="1431"/>
      <c r="N172" s="1431"/>
      <c r="O172" s="1431"/>
      <c r="P172" s="1431"/>
      <c r="Q172" s="1431"/>
      <c r="R172" s="1431"/>
      <c r="S172" s="1431"/>
      <c r="T172" s="1432"/>
    </row>
    <row r="173" spans="1:20" ht="11.25" customHeight="1"/>
    <row r="174" spans="1:20" ht="12.4" customHeight="1"/>
    <row r="175" spans="1:20" ht="12.4"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7"/>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33:Q133"/>
    <mergeCell ref="P132:Q132"/>
    <mergeCell ref="M128:N129"/>
    <mergeCell ref="P117:Q117"/>
    <mergeCell ref="M120:N120"/>
    <mergeCell ref="P119:Q119"/>
    <mergeCell ref="P120:Q120"/>
    <mergeCell ref="M121:N121"/>
    <mergeCell ref="M143:N143"/>
    <mergeCell ref="M140:N140"/>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G25:H25"/>
    <mergeCell ref="S19:T19"/>
    <mergeCell ref="M23:N23"/>
    <mergeCell ref="J26:K26"/>
    <mergeCell ref="J25:K25"/>
    <mergeCell ref="M25:N25"/>
    <mergeCell ref="G23:H23"/>
    <mergeCell ref="G27:H27"/>
    <mergeCell ref="G29:H29"/>
    <mergeCell ref="G26:H26"/>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79:T79"/>
    <mergeCell ref="P63:Q63"/>
    <mergeCell ref="P66:Q66"/>
    <mergeCell ref="M74:N74"/>
    <mergeCell ref="S92:T92"/>
    <mergeCell ref="P79:Q79"/>
    <mergeCell ref="J71:K71"/>
    <mergeCell ref="P71:Q71"/>
    <mergeCell ref="P86:Q87"/>
    <mergeCell ref="P82:Q82"/>
    <mergeCell ref="P80:Q80"/>
    <mergeCell ref="P81:Q81"/>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s>
  <phoneticPr fontId="5" type="noConversion"/>
  <conditionalFormatting sqref="G34">
    <cfRule type="cellIs" dxfId="9" priority="3" stopIfTrue="1" operator="greaterThan">
      <formula>$F34</formula>
    </cfRule>
  </conditionalFormatting>
  <conditionalFormatting sqref="J152">
    <cfRule type="cellIs" dxfId="8" priority="4" stopIfTrue="1" operator="lessThan">
      <formula>$J$153</formula>
    </cfRule>
  </conditionalFormatting>
  <conditionalFormatting sqref="J165:L165">
    <cfRule type="cellIs" dxfId="7" priority="5" stopIfTrue="1" operator="greaterThan">
      <formula>$J$161</formula>
    </cfRule>
  </conditionalFormatting>
  <conditionalFormatting sqref="G35">
    <cfRule type="cellIs" dxfId="6"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5" priority="8" stopIfTrue="1" operator="greaterThan">
      <formula>$J$152</formula>
    </cfRule>
  </conditionalFormatting>
  <conditionalFormatting sqref="J35">
    <cfRule type="cellIs" dxfId="4" priority="2" stopIfTrue="1" operator="greaterThan">
      <formula>#REF!</formula>
    </cfRule>
  </conditionalFormatting>
  <conditionalFormatting sqref="J35">
    <cfRule type="cellIs" dxfId="3" priority="1" stopIfTrue="1" operator="greaterThan">
      <formula>#REF!</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36" bottom="0.45" header="0.17"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zoomScaleNormal="100" workbookViewId="0">
      <selection activeCell="D27" sqref="D27:E27"/>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2011-044 Brentwood Place Apartments, Forsyth, Monroe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807</v>
      </c>
      <c r="I3" s="744" t="str">
        <f>VLOOKUP('Part I-Project Information'!$J$25,'Part I-Project Information'!$C$183:$D$342,2)</f>
        <v>Middle</v>
      </c>
    </row>
    <row r="4" spans="1:20" s="9" customFormat="1"/>
    <row r="5" spans="1:20" s="9" customFormat="1">
      <c r="A5" s="16" t="s">
        <v>951</v>
      </c>
      <c r="B5" s="16" t="s">
        <v>3352</v>
      </c>
      <c r="F5" s="9" t="s">
        <v>3805</v>
      </c>
      <c r="I5" s="1361" t="s">
        <v>3993</v>
      </c>
      <c r="J5" s="1362"/>
      <c r="K5" s="1362"/>
      <c r="L5" s="1362"/>
      <c r="M5" s="1363"/>
    </row>
    <row r="6" spans="1:20" s="9" customFormat="1" ht="13.15" customHeight="1">
      <c r="A6" s="16"/>
      <c r="F6" s="9" t="s">
        <v>973</v>
      </c>
      <c r="H6" s="31"/>
      <c r="I6" s="1364">
        <v>40695</v>
      </c>
      <c r="J6" s="1365"/>
      <c r="K6" s="77" t="s">
        <v>834</v>
      </c>
      <c r="L6" s="1366" t="s">
        <v>3939</v>
      </c>
      <c r="M6" s="1363"/>
    </row>
    <row r="7" spans="1:20" s="9" customFormat="1" ht="6" customHeight="1">
      <c r="A7" s="16"/>
    </row>
    <row r="8" spans="1:20" s="16" customFormat="1">
      <c r="B8" s="337"/>
      <c r="C8" s="337"/>
      <c r="D8" s="337"/>
      <c r="E8" s="337"/>
      <c r="F8" s="960" t="s">
        <v>943</v>
      </c>
      <c r="G8" s="960"/>
      <c r="I8" s="959" t="s">
        <v>258</v>
      </c>
      <c r="J8" s="959"/>
      <c r="K8" s="959"/>
      <c r="L8" s="959"/>
      <c r="M8" s="959"/>
    </row>
    <row r="9" spans="1:20" s="16" customFormat="1">
      <c r="B9" s="337" t="s">
        <v>1381</v>
      </c>
      <c r="D9" s="337" t="s">
        <v>2362</v>
      </c>
      <c r="F9" s="738" t="s">
        <v>979</v>
      </c>
      <c r="G9" s="738" t="s">
        <v>2904</v>
      </c>
      <c r="I9" s="338">
        <v>0</v>
      </c>
      <c r="J9" s="339">
        <v>1</v>
      </c>
      <c r="K9" s="339">
        <v>2</v>
      </c>
      <c r="L9" s="339">
        <v>3</v>
      </c>
      <c r="M9" s="339">
        <v>4</v>
      </c>
    </row>
    <row r="10" spans="1:20" s="9" customFormat="1">
      <c r="B10" s="340" t="s">
        <v>2906</v>
      </c>
      <c r="C10" s="341"/>
      <c r="D10" s="1367" t="s">
        <v>3975</v>
      </c>
      <c r="E10" s="1368"/>
      <c r="F10" s="1369" t="s">
        <v>652</v>
      </c>
      <c r="G10" s="1369"/>
      <c r="H10" s="342"/>
      <c r="I10" s="1370"/>
      <c r="J10" s="1370">
        <v>7</v>
      </c>
      <c r="K10" s="1370">
        <v>9</v>
      </c>
      <c r="L10" s="1370">
        <v>13</v>
      </c>
      <c r="M10" s="1370"/>
    </row>
    <row r="11" spans="1:20" s="9" customFormat="1">
      <c r="B11" s="343" t="s">
        <v>687</v>
      </c>
      <c r="C11" s="344"/>
      <c r="D11" s="343" t="s">
        <v>2358</v>
      </c>
      <c r="E11" s="344"/>
      <c r="F11" s="1371" t="s">
        <v>652</v>
      </c>
      <c r="G11" s="1371"/>
      <c r="H11" s="345"/>
      <c r="I11" s="1372"/>
      <c r="J11" s="1372">
        <v>32</v>
      </c>
      <c r="K11" s="1372">
        <v>41</v>
      </c>
      <c r="L11" s="1373">
        <v>49</v>
      </c>
      <c r="M11" s="1373"/>
    </row>
    <row r="12" spans="1:20" s="9" customFormat="1">
      <c r="B12" s="343" t="s">
        <v>2359</v>
      </c>
      <c r="C12" s="344"/>
      <c r="D12" s="1374" t="s">
        <v>2358</v>
      </c>
      <c r="E12" s="1375"/>
      <c r="F12" s="1371" t="s">
        <v>652</v>
      </c>
      <c r="G12" s="1371"/>
      <c r="H12" s="345"/>
      <c r="I12" s="1372"/>
      <c r="J12" s="1372">
        <v>9</v>
      </c>
      <c r="K12" s="1372">
        <v>12</v>
      </c>
      <c r="L12" s="1373">
        <v>14</v>
      </c>
      <c r="M12" s="1373"/>
    </row>
    <row r="13" spans="1:20" s="9" customFormat="1">
      <c r="B13" s="343" t="s">
        <v>2360</v>
      </c>
      <c r="C13" s="344"/>
      <c r="D13" s="1374" t="s">
        <v>2358</v>
      </c>
      <c r="E13" s="1375"/>
      <c r="F13" s="1371" t="s">
        <v>652</v>
      </c>
      <c r="G13" s="1371"/>
      <c r="H13" s="345"/>
      <c r="I13" s="1372"/>
      <c r="J13" s="1372">
        <v>28</v>
      </c>
      <c r="K13" s="1372">
        <v>36</v>
      </c>
      <c r="L13" s="1373">
        <v>44</v>
      </c>
      <c r="M13" s="1373"/>
    </row>
    <row r="14" spans="1:20" s="9" customFormat="1">
      <c r="B14" s="343" t="s">
        <v>2361</v>
      </c>
      <c r="C14" s="344"/>
      <c r="D14" s="343" t="s">
        <v>2358</v>
      </c>
      <c r="E14" s="346"/>
      <c r="F14" s="1371" t="s">
        <v>652</v>
      </c>
      <c r="G14" s="1371"/>
      <c r="H14" s="345"/>
      <c r="I14" s="1372"/>
      <c r="J14" s="1372">
        <v>26</v>
      </c>
      <c r="K14" s="1372">
        <v>33</v>
      </c>
      <c r="L14" s="1373">
        <v>41</v>
      </c>
      <c r="M14" s="1373"/>
    </row>
    <row r="15" spans="1:20" s="9" customFormat="1">
      <c r="B15" s="343" t="s">
        <v>2073</v>
      </c>
      <c r="C15" s="344"/>
      <c r="D15" s="343" t="s">
        <v>3351</v>
      </c>
      <c r="E15" s="1376" t="s">
        <v>3923</v>
      </c>
      <c r="F15" s="1371"/>
      <c r="G15" s="1371" t="s">
        <v>652</v>
      </c>
      <c r="H15" s="345"/>
      <c r="I15" s="1372"/>
      <c r="J15" s="1372"/>
      <c r="K15" s="1372"/>
      <c r="L15" s="1373"/>
      <c r="M15" s="1373"/>
    </row>
    <row r="16" spans="1:20" s="9" customFormat="1">
      <c r="B16" s="347" t="s">
        <v>2905</v>
      </c>
      <c r="C16" s="348"/>
      <c r="D16" s="347"/>
      <c r="E16" s="315"/>
      <c r="F16" s="1377"/>
      <c r="G16" s="1377" t="s">
        <v>652</v>
      </c>
      <c r="H16" s="349"/>
      <c r="I16" s="1378"/>
      <c r="J16" s="1378"/>
      <c r="K16" s="1378"/>
      <c r="L16" s="1379"/>
      <c r="M16" s="1379"/>
    </row>
    <row r="17" spans="1:19" s="9" customFormat="1">
      <c r="B17" s="337" t="s">
        <v>1641</v>
      </c>
      <c r="D17" s="31"/>
      <c r="E17" s="31"/>
      <c r="F17" s="111"/>
      <c r="G17" s="111"/>
      <c r="I17" s="738">
        <f>SUM(I10:I16)</f>
        <v>0</v>
      </c>
      <c r="J17" s="738">
        <f>SUM(J10:J16)</f>
        <v>102</v>
      </c>
      <c r="K17" s="738">
        <f>SUM(K10:K16)</f>
        <v>131</v>
      </c>
      <c r="L17" s="738">
        <f>SUM(L10:L16)</f>
        <v>161</v>
      </c>
      <c r="M17" s="738">
        <f>SUM(M10:M16)</f>
        <v>0</v>
      </c>
    </row>
    <row r="18" spans="1:19" s="9" customFormat="1" ht="11.25" customHeight="1">
      <c r="M18" s="31"/>
      <c r="N18" s="31"/>
      <c r="O18" s="31"/>
      <c r="P18" s="31"/>
      <c r="Q18" s="31"/>
      <c r="R18" s="31"/>
      <c r="S18" s="31"/>
    </row>
    <row r="19" spans="1:19" s="9" customFormat="1">
      <c r="A19" s="16" t="s">
        <v>1230</v>
      </c>
      <c r="B19" s="16" t="s">
        <v>3353</v>
      </c>
      <c r="F19" s="9" t="s">
        <v>3805</v>
      </c>
      <c r="I19" s="1366"/>
      <c r="J19" s="1362"/>
      <c r="K19" s="1362"/>
      <c r="L19" s="1362"/>
      <c r="M19" s="1363"/>
    </row>
    <row r="20" spans="1:19" s="9" customFormat="1" ht="13.15" customHeight="1">
      <c r="A20" s="16"/>
      <c r="B20" s="16"/>
      <c r="F20" s="9" t="s">
        <v>973</v>
      </c>
      <c r="H20" s="31"/>
      <c r="I20" s="1364"/>
      <c r="J20" s="1365"/>
      <c r="K20" s="77" t="s">
        <v>834</v>
      </c>
      <c r="L20" s="1366"/>
      <c r="M20" s="1363"/>
    </row>
    <row r="21" spans="1:19" s="9" customFormat="1" ht="6" customHeight="1">
      <c r="A21" s="16"/>
    </row>
    <row r="22" spans="1:19" s="16" customFormat="1">
      <c r="B22" s="337"/>
      <c r="C22" s="337"/>
      <c r="D22" s="337"/>
      <c r="E22" s="337"/>
      <c r="F22" s="960" t="s">
        <v>943</v>
      </c>
      <c r="G22" s="960"/>
      <c r="I22" s="959" t="s">
        <v>258</v>
      </c>
      <c r="J22" s="959"/>
      <c r="K22" s="959"/>
      <c r="L22" s="959"/>
      <c r="M22" s="959"/>
    </row>
    <row r="23" spans="1:19" s="16" customFormat="1">
      <c r="B23" s="337" t="s">
        <v>1381</v>
      </c>
      <c r="D23" s="337" t="s">
        <v>2362</v>
      </c>
      <c r="F23" s="738" t="s">
        <v>979</v>
      </c>
      <c r="G23" s="738" t="s">
        <v>2904</v>
      </c>
      <c r="I23" s="338">
        <v>0</v>
      </c>
      <c r="J23" s="339">
        <v>1</v>
      </c>
      <c r="K23" s="339">
        <v>2</v>
      </c>
      <c r="L23" s="339">
        <v>3</v>
      </c>
      <c r="M23" s="339">
        <v>4</v>
      </c>
    </row>
    <row r="24" spans="1:19" s="9" customFormat="1">
      <c r="B24" s="340" t="s">
        <v>2906</v>
      </c>
      <c r="C24" s="341"/>
      <c r="D24" s="1367" t="s">
        <v>2862</v>
      </c>
      <c r="E24" s="1368"/>
      <c r="F24" s="1369"/>
      <c r="G24" s="1369"/>
      <c r="H24" s="342"/>
      <c r="I24" s="1370"/>
      <c r="J24" s="1370"/>
      <c r="K24" s="1370"/>
      <c r="L24" s="1370"/>
      <c r="M24" s="1370"/>
    </row>
    <row r="25" spans="1:19" s="9" customFormat="1">
      <c r="B25" s="343" t="s">
        <v>687</v>
      </c>
      <c r="C25" s="344"/>
      <c r="D25" s="343" t="s">
        <v>2358</v>
      </c>
      <c r="E25" s="344"/>
      <c r="F25" s="1371"/>
      <c r="G25" s="1371"/>
      <c r="H25" s="345"/>
      <c r="I25" s="1372"/>
      <c r="J25" s="1372"/>
      <c r="K25" s="1372"/>
      <c r="L25" s="1373"/>
      <c r="M25" s="1373"/>
    </row>
    <row r="26" spans="1:19" s="9" customFormat="1">
      <c r="B26" s="343" t="s">
        <v>2359</v>
      </c>
      <c r="C26" s="344"/>
      <c r="D26" s="1374" t="s">
        <v>2862</v>
      </c>
      <c r="E26" s="1375"/>
      <c r="F26" s="1371"/>
      <c r="G26" s="1371"/>
      <c r="H26" s="345"/>
      <c r="I26" s="1372"/>
      <c r="J26" s="1372"/>
      <c r="K26" s="1372"/>
      <c r="L26" s="1373"/>
      <c r="M26" s="1373"/>
    </row>
    <row r="27" spans="1:19" s="9" customFormat="1">
      <c r="B27" s="343" t="s">
        <v>2360</v>
      </c>
      <c r="C27" s="344"/>
      <c r="D27" s="1374" t="s">
        <v>2862</v>
      </c>
      <c r="E27" s="1375"/>
      <c r="F27" s="1371"/>
      <c r="G27" s="1371"/>
      <c r="H27" s="345"/>
      <c r="I27" s="1372"/>
      <c r="J27" s="1372"/>
      <c r="K27" s="1372"/>
      <c r="L27" s="1373"/>
      <c r="M27" s="1373"/>
    </row>
    <row r="28" spans="1:19" s="9" customFormat="1">
      <c r="B28" s="343" t="s">
        <v>2361</v>
      </c>
      <c r="C28" s="344"/>
      <c r="D28" s="343" t="s">
        <v>2358</v>
      </c>
      <c r="E28" s="346"/>
      <c r="F28" s="1371"/>
      <c r="G28" s="1371"/>
      <c r="H28" s="345"/>
      <c r="I28" s="1372"/>
      <c r="J28" s="1372"/>
      <c r="K28" s="1372"/>
      <c r="L28" s="1373"/>
      <c r="M28" s="1373"/>
    </row>
    <row r="29" spans="1:19" s="9" customFormat="1">
      <c r="B29" s="343" t="s">
        <v>2073</v>
      </c>
      <c r="C29" s="344"/>
      <c r="D29" s="343" t="s">
        <v>3351</v>
      </c>
      <c r="E29" s="1376" t="s">
        <v>259</v>
      </c>
      <c r="F29" s="1371"/>
      <c r="G29" s="1371"/>
      <c r="H29" s="345"/>
      <c r="I29" s="1372"/>
      <c r="J29" s="1372"/>
      <c r="K29" s="1372"/>
      <c r="L29" s="1373"/>
      <c r="M29" s="1373"/>
    </row>
    <row r="30" spans="1:19" s="9" customFormat="1">
      <c r="B30" s="347" t="s">
        <v>2905</v>
      </c>
      <c r="C30" s="348"/>
      <c r="D30" s="347"/>
      <c r="E30" s="315"/>
      <c r="F30" s="1377"/>
      <c r="G30" s="1377"/>
      <c r="H30" s="349"/>
      <c r="I30" s="1378"/>
      <c r="J30" s="1378"/>
      <c r="K30" s="1378"/>
      <c r="L30" s="1379"/>
      <c r="M30" s="1379"/>
    </row>
    <row r="31" spans="1:19" s="9" customFormat="1">
      <c r="B31" s="337" t="s">
        <v>1641</v>
      </c>
      <c r="D31" s="31"/>
      <c r="E31" s="31"/>
      <c r="F31" s="111"/>
      <c r="G31" s="111"/>
      <c r="I31" s="738">
        <f>SUM(I24:I30)</f>
        <v>0</v>
      </c>
      <c r="J31" s="738">
        <f>SUM(J24:J30)</f>
        <v>0</v>
      </c>
      <c r="K31" s="738">
        <f>SUM(K24:K30)</f>
        <v>0</v>
      </c>
      <c r="L31" s="738">
        <f>SUM(L24:L30)</f>
        <v>0</v>
      </c>
      <c r="M31" s="738">
        <f>SUM(M24:M30)</f>
        <v>0</v>
      </c>
    </row>
    <row r="32" spans="1:19">
      <c r="A32" s="9"/>
    </row>
    <row r="33" spans="1:19">
      <c r="B33" s="350" t="s">
        <v>2841</v>
      </c>
    </row>
    <row r="34" spans="1:19" s="9" customFormat="1" ht="6" customHeight="1">
      <c r="M34" s="31"/>
      <c r="N34" s="31"/>
      <c r="O34" s="31"/>
      <c r="P34" s="31"/>
      <c r="Q34" s="31"/>
      <c r="R34" s="31"/>
      <c r="S34" s="31"/>
    </row>
    <row r="35" spans="1:19" s="9" customFormat="1" ht="12.4" customHeight="1">
      <c r="A35" s="16"/>
      <c r="B35" s="16" t="s">
        <v>880</v>
      </c>
      <c r="M35" s="31"/>
      <c r="N35" s="31"/>
      <c r="O35" s="31"/>
      <c r="P35" s="31"/>
      <c r="Q35" s="31"/>
      <c r="R35" s="31"/>
      <c r="S35" s="31"/>
    </row>
    <row r="36" spans="1:19" s="9" customFormat="1" ht="12.4" customHeight="1">
      <c r="B36" s="1380" t="s">
        <v>4015</v>
      </c>
      <c r="C36" s="1381"/>
      <c r="D36" s="1381"/>
      <c r="E36" s="1381"/>
      <c r="F36" s="1381"/>
      <c r="G36" s="1381"/>
      <c r="H36" s="1381"/>
      <c r="I36" s="1381"/>
      <c r="J36" s="1381"/>
      <c r="K36" s="1381"/>
      <c r="L36" s="1381"/>
      <c r="M36" s="1382"/>
      <c r="N36" s="31"/>
      <c r="O36" s="31"/>
      <c r="P36" s="31"/>
      <c r="Q36" s="31"/>
      <c r="R36" s="31"/>
      <c r="S36" s="31"/>
    </row>
    <row r="37" spans="1:19" s="9" customFormat="1" ht="12.4" customHeight="1">
      <c r="B37" s="1383"/>
      <c r="C37" s="1384"/>
      <c r="D37" s="1384"/>
      <c r="E37" s="1384"/>
      <c r="F37" s="1384"/>
      <c r="G37" s="1384"/>
      <c r="H37" s="1384"/>
      <c r="I37" s="1384"/>
      <c r="J37" s="1384"/>
      <c r="K37" s="1384"/>
      <c r="L37" s="1384"/>
      <c r="M37" s="1385"/>
      <c r="N37" s="31"/>
      <c r="O37" s="31"/>
      <c r="P37" s="31"/>
      <c r="Q37" s="31"/>
      <c r="R37" s="31"/>
      <c r="S37" s="31"/>
    </row>
    <row r="38" spans="1:19" s="9" customFormat="1" ht="3.4" customHeight="1">
      <c r="M38" s="31"/>
      <c r="N38" s="31"/>
      <c r="O38" s="31"/>
      <c r="P38" s="31"/>
      <c r="Q38" s="31"/>
      <c r="R38" s="31"/>
      <c r="S38" s="31"/>
    </row>
    <row r="39" spans="1:19" s="9" customFormat="1" ht="12.4" customHeight="1">
      <c r="A39" s="16"/>
      <c r="B39" s="16" t="s">
        <v>2898</v>
      </c>
      <c r="M39" s="31"/>
      <c r="N39" s="31"/>
      <c r="O39" s="31"/>
      <c r="P39" s="31"/>
      <c r="Q39" s="31"/>
      <c r="R39" s="31"/>
      <c r="S39" s="31"/>
    </row>
    <row r="40" spans="1:19" s="9" customFormat="1" ht="12.4" customHeight="1">
      <c r="B40" s="1386"/>
      <c r="C40" s="1387"/>
      <c r="D40" s="1387"/>
      <c r="E40" s="1387"/>
      <c r="F40" s="1387"/>
      <c r="G40" s="1387"/>
      <c r="H40" s="1387"/>
      <c r="I40" s="1387"/>
      <c r="J40" s="1387"/>
      <c r="K40" s="1387"/>
      <c r="L40" s="1387"/>
      <c r="M40" s="1388"/>
      <c r="N40" s="31"/>
      <c r="O40" s="31"/>
      <c r="P40" s="31"/>
      <c r="Q40" s="31"/>
      <c r="R40" s="31"/>
      <c r="S40" s="31"/>
    </row>
    <row r="41" spans="1:19" s="9" customFormat="1" ht="12.4" customHeight="1">
      <c r="B41" s="1389"/>
      <c r="C41" s="1390"/>
      <c r="D41" s="1390"/>
      <c r="E41" s="1390"/>
      <c r="F41" s="1390"/>
      <c r="G41" s="1390"/>
      <c r="H41" s="1390"/>
      <c r="I41" s="1390"/>
      <c r="J41" s="1390"/>
      <c r="K41" s="1390"/>
      <c r="L41" s="1390"/>
      <c r="M41" s="1391"/>
      <c r="N41" s="31"/>
      <c r="O41" s="31"/>
      <c r="P41" s="31"/>
      <c r="Q41" s="31"/>
      <c r="R41" s="31"/>
      <c r="S41" s="31"/>
    </row>
  </sheetData>
  <sheetProtection password="DDE0" sheet="1" objects="1" scenarios="1"/>
  <mergeCells count="21">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2011-06-23T00:42:07Z</cp:lastPrinted>
  <dcterms:created xsi:type="dcterms:W3CDTF">2005-09-15T20:51:37Z</dcterms:created>
  <dcterms:modified xsi:type="dcterms:W3CDTF">2011-08-11T15:08:29Z</dcterms:modified>
</cp:coreProperties>
</file>